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folio Holdings Q4 2024" sheetId="1" r:id="rId3"/>
    <sheet state="visible" name="Portfolio Holdings Q3 2024" sheetId="2" r:id="rId4"/>
    <sheet state="visible" name="Portfolio Holdings Q2 2024" sheetId="3" r:id="rId5"/>
    <sheet state="visible" name="Portfolio Holdings Q1 2024" sheetId="4" r:id="rId6"/>
    <sheet state="visible" name="Portfolio Holdings Q4 2023" sheetId="5" r:id="rId7"/>
    <sheet state="visible" name="Portfolio Holdings Q3 2023" sheetId="6" r:id="rId8"/>
    <sheet state="visible" name="Portfolio Holdings Q2 2023" sheetId="7" r:id="rId9"/>
    <sheet state="visible" name="Portfolio Holdings Q1 2023" sheetId="8" r:id="rId10"/>
    <sheet state="visible" name="Portfolio Holdings Q4 2022" sheetId="9" r:id="rId11"/>
    <sheet state="visible" name="Portfolio Holdings Q3 2022" sheetId="10" r:id="rId12"/>
    <sheet state="visible" name="Portfolio Holdings Q2 2022" sheetId="11" r:id="rId13"/>
    <sheet state="visible" name="Portfolio Holdings Q1 2022" sheetId="12" r:id="rId14"/>
    <sheet state="visible" name="Portfolio Holdings Q4 2021" sheetId="13" r:id="rId15"/>
    <sheet state="visible" name="Portfolio Holdings Q3 2021" sheetId="14" r:id="rId16"/>
    <sheet state="visible" name="Portfolio Holdings Q2 2021" sheetId="15" r:id="rId17"/>
    <sheet state="visible" name="Portfolio Holdings Q1 2021" sheetId="16" r:id="rId18"/>
    <sheet state="visible" name="Portfolio Holdings Q4 2020" sheetId="17" r:id="rId19"/>
    <sheet state="visible" name="Portfolio Holdings Q3 2020" sheetId="18" r:id="rId20"/>
    <sheet state="visible" name="Portfolio Holdings Q2 2020" sheetId="19" r:id="rId21"/>
    <sheet state="visible" name="Portfolio Holdings Q1 2020" sheetId="20" r:id="rId22"/>
    <sheet state="visible" name="Portfolio Holdings Q4 2019" sheetId="21" r:id="rId23"/>
    <sheet state="visible" name="Portfolio Holdings Q3 2019" sheetId="22" r:id="rId24"/>
    <sheet state="visible" name="Portfolio Holdings Q2 2019" sheetId="23" r:id="rId25"/>
    <sheet state="visible" name="Portfolio Holdings Q1 2019" sheetId="24" r:id="rId26"/>
  </sheets>
  <definedNames>
    <definedName hidden="1" localSheetId="21" name="_xlnm._FilterDatabase">'Portfolio Holdings Q3 2019'!$N$67:$O$68</definedName>
  </definedNames>
  <calcPr/>
</workbook>
</file>

<file path=xl/sharedStrings.xml><?xml version="1.0" encoding="utf-8"?>
<sst xmlns="http://schemas.openxmlformats.org/spreadsheetml/2006/main" count="14715" uniqueCount="1136">
  <si>
    <t>AWP Stocks/ETFs (non-GSM)</t>
  </si>
  <si>
    <t>Diverse Technology</t>
  </si>
  <si>
    <t>% of portfolio assets</t>
  </si>
  <si>
    <t>Company</t>
  </si>
  <si>
    <t>Ticker</t>
  </si>
  <si>
    <t>TT Score</t>
  </si>
  <si>
    <t>Shares</t>
  </si>
  <si>
    <t>Starting position + adds</t>
  </si>
  <si>
    <t>Current position + adds/sales</t>
  </si>
  <si>
    <t xml:space="preserve">Price at start/add </t>
  </si>
  <si>
    <t>Day Chng %</t>
  </si>
  <si>
    <t>Current price</t>
  </si>
  <si>
    <t>Sale price/strike price</t>
  </si>
  <si>
    <t>Price change</t>
  </si>
  <si>
    <t xml:space="preserve">% Gain/loss </t>
  </si>
  <si>
    <t>Gain/Loss</t>
  </si>
  <si>
    <t>Div Yield</t>
  </si>
  <si>
    <t>Div Income</t>
  </si>
  <si>
    <t>Active CCD Info</t>
  </si>
  <si>
    <t>CCD Income</t>
  </si>
  <si>
    <t>Active collar/put info</t>
  </si>
  <si>
    <t>Sales in quarter</t>
  </si>
  <si>
    <t>Sell date</t>
  </si>
  <si>
    <t xml:space="preserve">Sale price </t>
  </si>
  <si>
    <t xml:space="preserve">Position size </t>
  </si>
  <si>
    <t>Adds in quarter</t>
  </si>
  <si>
    <t>Date added</t>
  </si>
  <si>
    <t>Buy in price</t>
  </si>
  <si>
    <t>Position size</t>
  </si>
  <si>
    <t>% of total assets</t>
  </si>
  <si>
    <t xml:space="preserve">Google </t>
  </si>
  <si>
    <t>GOOG</t>
  </si>
  <si>
    <t xml:space="preserve">Baidu </t>
  </si>
  <si>
    <t xml:space="preserve">BIDU </t>
  </si>
  <si>
    <t>BIDU</t>
  </si>
  <si>
    <t>Tesla *</t>
  </si>
  <si>
    <t>TSLA</t>
  </si>
  <si>
    <t xml:space="preserve">Tesla </t>
  </si>
  <si>
    <t>100% - 1/17/25, $420SP, $23.40P</t>
  </si>
  <si>
    <t>AMD *</t>
  </si>
  <si>
    <t>AMD</t>
  </si>
  <si>
    <t xml:space="preserve">AMD </t>
  </si>
  <si>
    <t>Amazon *</t>
  </si>
  <si>
    <t>AMZN</t>
  </si>
  <si>
    <t xml:space="preserve">Amazon </t>
  </si>
  <si>
    <t>Palantir *</t>
  </si>
  <si>
    <t>PLTR</t>
  </si>
  <si>
    <t xml:space="preserve">Exercised </t>
  </si>
  <si>
    <t xml:space="preserve">Palantir </t>
  </si>
  <si>
    <t>100% - 1/17/24, $72.50, $3.40P</t>
  </si>
  <si>
    <t>Nvidia *</t>
  </si>
  <si>
    <t xml:space="preserve">NVDA </t>
  </si>
  <si>
    <t xml:space="preserve">Nvidia </t>
  </si>
  <si>
    <t>NVDA</t>
  </si>
  <si>
    <t xml:space="preserve">Broadcom </t>
  </si>
  <si>
    <t>AVGO</t>
  </si>
  <si>
    <t>SoundHound</t>
  </si>
  <si>
    <t>SOUN</t>
  </si>
  <si>
    <t xml:space="preserve">Meta Platforms </t>
  </si>
  <si>
    <t>META</t>
  </si>
  <si>
    <t>Dell *</t>
  </si>
  <si>
    <t>DELL</t>
  </si>
  <si>
    <t xml:space="preserve">Dell </t>
  </si>
  <si>
    <t>Snowflake</t>
  </si>
  <si>
    <t>SNOW</t>
  </si>
  <si>
    <t xml:space="preserve">CrowdStrike </t>
  </si>
  <si>
    <t>CRWD</t>
  </si>
  <si>
    <t xml:space="preserve">Micron </t>
  </si>
  <si>
    <t>MU</t>
  </si>
  <si>
    <t xml:space="preserve">Ouster </t>
  </si>
  <si>
    <t>OUST</t>
  </si>
  <si>
    <t>Zscaler</t>
  </si>
  <si>
    <t>ZS</t>
  </si>
  <si>
    <t xml:space="preserve">Microsoft </t>
  </si>
  <si>
    <t>MSFT</t>
  </si>
  <si>
    <t>OKTA</t>
  </si>
  <si>
    <t xml:space="preserve">Qualcomm </t>
  </si>
  <si>
    <t>QCOM</t>
  </si>
  <si>
    <t>ASML Holdings</t>
  </si>
  <si>
    <t>ASML</t>
  </si>
  <si>
    <t>SentinelOne</t>
  </si>
  <si>
    <t>S</t>
  </si>
  <si>
    <t xml:space="preserve">Lam Research </t>
  </si>
  <si>
    <t>LRCX</t>
  </si>
  <si>
    <t>Monolithic Power</t>
  </si>
  <si>
    <t>MPWR</t>
  </si>
  <si>
    <t xml:space="preserve">Snap Inc. </t>
  </si>
  <si>
    <t>SNAP</t>
  </si>
  <si>
    <t>SANP</t>
  </si>
  <si>
    <t>Total</t>
  </si>
  <si>
    <t>Oil</t>
  </si>
  <si>
    <t>Collar play/put</t>
  </si>
  <si>
    <t>Devon</t>
  </si>
  <si>
    <t>DVN</t>
  </si>
  <si>
    <t>Schlumberger</t>
  </si>
  <si>
    <t>SLB</t>
  </si>
  <si>
    <t>APA Corp.</t>
  </si>
  <si>
    <t>APA</t>
  </si>
  <si>
    <t>Hess Corp.</t>
  </si>
  <si>
    <t>HES</t>
  </si>
  <si>
    <t>Biotech/Pharma</t>
  </si>
  <si>
    <t>Regeneron</t>
  </si>
  <si>
    <t>REGN</t>
  </si>
  <si>
    <t xml:space="preserve">Amgen </t>
  </si>
  <si>
    <t>AMGN</t>
  </si>
  <si>
    <t>Pfizer</t>
  </si>
  <si>
    <t>PFE</t>
  </si>
  <si>
    <t xml:space="preserve">UnitedHealth </t>
  </si>
  <si>
    <t>UNH</t>
  </si>
  <si>
    <t>Cigna</t>
  </si>
  <si>
    <t>CI</t>
  </si>
  <si>
    <t>AbbVie</t>
  </si>
  <si>
    <t>ABBV</t>
  </si>
  <si>
    <t xml:space="preserve">Total </t>
  </si>
  <si>
    <t xml:space="preserve">Defense </t>
  </si>
  <si>
    <t xml:space="preserve">General Dynamics </t>
  </si>
  <si>
    <t>GD</t>
  </si>
  <si>
    <t>Lockheed Martin</t>
  </si>
  <si>
    <t>LMT</t>
  </si>
  <si>
    <t xml:space="preserve">Northrop Grumman </t>
  </si>
  <si>
    <t>NOC</t>
  </si>
  <si>
    <t xml:space="preserve">L3 Harris </t>
  </si>
  <si>
    <t>LHX</t>
  </si>
  <si>
    <t>CACI International</t>
  </si>
  <si>
    <t>CACI</t>
  </si>
  <si>
    <t xml:space="preserve">Industrials/Materials </t>
  </si>
  <si>
    <t xml:space="preserve">Arcadium Lithium </t>
  </si>
  <si>
    <t>ALTM</t>
  </si>
  <si>
    <t>N/A</t>
  </si>
  <si>
    <t>Rio Tinto</t>
  </si>
  <si>
    <t>RIO</t>
  </si>
  <si>
    <t xml:space="preserve">Mosaic </t>
  </si>
  <si>
    <t>MOS</t>
  </si>
  <si>
    <t xml:space="preserve">Intrepid Potash </t>
  </si>
  <si>
    <t>IPI</t>
  </si>
  <si>
    <t xml:space="preserve">Cameco </t>
  </si>
  <si>
    <t>CCJ</t>
  </si>
  <si>
    <t xml:space="preserve">Oklo </t>
  </si>
  <si>
    <t>OKLO</t>
  </si>
  <si>
    <t>Centrus</t>
  </si>
  <si>
    <t>LEU</t>
  </si>
  <si>
    <t xml:space="preserve">Constellation </t>
  </si>
  <si>
    <t>CEG</t>
  </si>
  <si>
    <t xml:space="preserve">Lithium Americas </t>
  </si>
  <si>
    <t>LAC</t>
  </si>
  <si>
    <t>Sociedad</t>
  </si>
  <si>
    <t>SQM</t>
  </si>
  <si>
    <t xml:space="preserve">Albemarle </t>
  </si>
  <si>
    <t>ALB</t>
  </si>
  <si>
    <t>GSMs (gold, silver, miners)</t>
  </si>
  <si>
    <t>Company/Asset</t>
  </si>
  <si>
    <t>Physical Gold</t>
  </si>
  <si>
    <t>Gold</t>
  </si>
  <si>
    <t>Total physical GSM</t>
  </si>
  <si>
    <t>Physical Silver</t>
  </si>
  <si>
    <t>Silver</t>
  </si>
  <si>
    <t xml:space="preserve">Physical GSM % of portfolio </t>
  </si>
  <si>
    <t xml:space="preserve">Gold miner ETF </t>
  </si>
  <si>
    <t>GDX</t>
  </si>
  <si>
    <t>Total non-physical GSM</t>
  </si>
  <si>
    <t>Junior Gold miner ETF</t>
  </si>
  <si>
    <t>GDXJ</t>
  </si>
  <si>
    <t>Non-physical GSM %</t>
  </si>
  <si>
    <t>Agnico Eagle Mines *</t>
  </si>
  <si>
    <t>AEM</t>
  </si>
  <si>
    <t xml:space="preserve">Agnico Eagle Mines </t>
  </si>
  <si>
    <t>Kinross Gold</t>
  </si>
  <si>
    <t>KGC</t>
  </si>
  <si>
    <t>Newmont *</t>
  </si>
  <si>
    <t>NEM</t>
  </si>
  <si>
    <t xml:space="preserve">Newmont </t>
  </si>
  <si>
    <t xml:space="preserve">Barrick Gold </t>
  </si>
  <si>
    <t>GOLD</t>
  </si>
  <si>
    <t xml:space="preserve">Pan American Silver </t>
  </si>
  <si>
    <t>PAAS</t>
  </si>
  <si>
    <t xml:space="preserve">Hecla Mining </t>
  </si>
  <si>
    <t>HL</t>
  </si>
  <si>
    <t>B2Gold</t>
  </si>
  <si>
    <t>BTG</t>
  </si>
  <si>
    <t>Gold/silver mining ETF</t>
  </si>
  <si>
    <t>SLVP</t>
  </si>
  <si>
    <t xml:space="preserve">Digital Asset Basket </t>
  </si>
  <si>
    <t>Coin</t>
  </si>
  <si>
    <t>Coin/stock</t>
  </si>
  <si>
    <t xml:space="preserve">Bitcoin </t>
  </si>
  <si>
    <t>BTCUSD</t>
  </si>
  <si>
    <t>BTC</t>
  </si>
  <si>
    <t xml:space="preserve">Ethereum </t>
  </si>
  <si>
    <t>ETHUSD</t>
  </si>
  <si>
    <t>ETH</t>
  </si>
  <si>
    <t xml:space="preserve">Doge </t>
  </si>
  <si>
    <t>DOGEUSD</t>
  </si>
  <si>
    <t>DOGE</t>
  </si>
  <si>
    <t>7,7</t>
  </si>
  <si>
    <t xml:space="preserve">Polkadot </t>
  </si>
  <si>
    <t>DOTUSD</t>
  </si>
  <si>
    <t>DOT</t>
  </si>
  <si>
    <t>Zilliqa</t>
  </si>
  <si>
    <t>ZILUSD</t>
  </si>
  <si>
    <t>ZIL</t>
  </si>
  <si>
    <t>Ripple</t>
  </si>
  <si>
    <t>XRPUSD</t>
  </si>
  <si>
    <t>XRP</t>
  </si>
  <si>
    <t>Litecoin</t>
  </si>
  <si>
    <t>LTCUSD</t>
  </si>
  <si>
    <t>LTC</t>
  </si>
  <si>
    <t>Bitcoin Cash</t>
  </si>
  <si>
    <t>BCHUSD</t>
  </si>
  <si>
    <t>BCH</t>
  </si>
  <si>
    <t>ChainLink</t>
  </si>
  <si>
    <t>LINKUSD</t>
  </si>
  <si>
    <t>LINK</t>
  </si>
  <si>
    <t>Caradno</t>
  </si>
  <si>
    <t>ADAUSD</t>
  </si>
  <si>
    <t>ADA</t>
  </si>
  <si>
    <t xml:space="preserve">Shiba </t>
  </si>
  <si>
    <t>SHIBUSD</t>
  </si>
  <si>
    <t>SHIB</t>
  </si>
  <si>
    <t>Ethereum Classic</t>
  </si>
  <si>
    <t>ETCUSD</t>
  </si>
  <si>
    <t>ETC</t>
  </si>
  <si>
    <t>Blockchain ETF</t>
  </si>
  <si>
    <t>BKCH</t>
  </si>
  <si>
    <t xml:space="preserve">Ethereum Trust </t>
  </si>
  <si>
    <t>ETHE</t>
  </si>
  <si>
    <t>MicroStrategy</t>
  </si>
  <si>
    <t>MSTR</t>
  </si>
  <si>
    <t xml:space="preserve">Total Assets </t>
  </si>
  <si>
    <t>Position %</t>
  </si>
  <si>
    <t>Starting position w adds</t>
  </si>
  <si>
    <t xml:space="preserve">Starting position </t>
  </si>
  <si>
    <t>Current position w adds/sales</t>
  </si>
  <si>
    <t xml:space="preserve">Gain/loss </t>
  </si>
  <si>
    <t>Covered call dividends/CCD</t>
  </si>
  <si>
    <t>Dividends/D</t>
  </si>
  <si>
    <t>Collar/Put options</t>
  </si>
  <si>
    <t>Stock/ETF gain w/CCD/D/P</t>
  </si>
  <si>
    <t xml:space="preserve">Diversified Tech Segment </t>
  </si>
  <si>
    <t>"Other" Stock Segments</t>
  </si>
  <si>
    <t>Gold/Silver/Miners (GSMs)</t>
  </si>
  <si>
    <t>Cryptocurrency Basket</t>
  </si>
  <si>
    <t>Cash/Money Market</t>
  </si>
  <si>
    <t>AWP at the start of 2024</t>
  </si>
  <si>
    <t xml:space="preserve">AWP Current Total </t>
  </si>
  <si>
    <t xml:space="preserve">YTD Profit/Loss </t>
  </si>
  <si>
    <t>2024 YTD Return</t>
  </si>
  <si>
    <t xml:space="preserve">Total   </t>
  </si>
  <si>
    <t>Core positions are marked with an *</t>
  </si>
  <si>
    <t xml:space="preserve">Major Averages </t>
  </si>
  <si>
    <t>Start Q4 2024</t>
  </si>
  <si>
    <t xml:space="preserve">Current </t>
  </si>
  <si>
    <t>QTD Gain/Loss</t>
  </si>
  <si>
    <t>Change QTD</t>
  </si>
  <si>
    <t>CCD Table - Shares</t>
  </si>
  <si>
    <t>Stock</t>
  </si>
  <si>
    <t>CCD date</t>
  </si>
  <si>
    <t>Expiration date</t>
  </si>
  <si>
    <t>Strike price</t>
  </si>
  <si>
    <t>Option premium</t>
  </si>
  <si>
    <t>Total premium</t>
  </si>
  <si>
    <t>Close date</t>
  </si>
  <si>
    <t>Close premium</t>
  </si>
  <si>
    <t>Profit/loss</t>
  </si>
  <si>
    <t>Collar/Put Table</t>
  </si>
  <si>
    <t>Collar/Put date</t>
  </si>
  <si>
    <t xml:space="preserve">Dow Jones </t>
  </si>
  <si>
    <t>.DJI</t>
  </si>
  <si>
    <t>S&amp;P 500</t>
  </si>
  <si>
    <t>.INX</t>
  </si>
  <si>
    <t>Nasdaq</t>
  </si>
  <si>
    <t>.IXIC</t>
  </si>
  <si>
    <t>Russell 2000</t>
  </si>
  <si>
    <t>RUT</t>
  </si>
  <si>
    <t>NYSE Composite</t>
  </si>
  <si>
    <t>NYA</t>
  </si>
  <si>
    <t>Start 2024</t>
  </si>
  <si>
    <t>YTD Gain/Loss</t>
  </si>
  <si>
    <t>Change YTD</t>
  </si>
  <si>
    <t xml:space="preserve">The All-Weather Portfolio </t>
  </si>
  <si>
    <t>https://rc.seekingalpha.com/group/All-Weather-Portfolio-Updates</t>
  </si>
  <si>
    <t>The Financial Prophet</t>
  </si>
  <si>
    <t>https://rc.seekingalpha.com/group/the-financial-prophet</t>
  </si>
  <si>
    <t>Ask The Prophet</t>
  </si>
  <si>
    <t>https://rc.seekingalpha.com/group/Ask-The-Prophet</t>
  </si>
  <si>
    <t xml:space="preserve">The Prophet's ETF Portfolio </t>
  </si>
  <si>
    <t>https://seekingalpha.com/mp/1129-the-financial-prophet/articles/5986827-the-all-weather-etf-portfolio-embedded</t>
  </si>
  <si>
    <t xml:space="preserve">               </t>
  </si>
  <si>
    <t>Baidu *</t>
  </si>
  <si>
    <t>Match Group</t>
  </si>
  <si>
    <t>MTCH</t>
  </si>
  <si>
    <t>Super Micro Computer</t>
  </si>
  <si>
    <t>SMCI</t>
  </si>
  <si>
    <t xml:space="preserve"> </t>
  </si>
  <si>
    <t>Broadcom *</t>
  </si>
  <si>
    <t xml:space="preserve">Meta Platforms* </t>
  </si>
  <si>
    <t xml:space="preserve">Zscaler </t>
  </si>
  <si>
    <t>Salesforce</t>
  </si>
  <si>
    <t>CRM</t>
  </si>
  <si>
    <t>Block</t>
  </si>
  <si>
    <t>SQ</t>
  </si>
  <si>
    <t>PDD Holdings</t>
  </si>
  <si>
    <t>PDD</t>
  </si>
  <si>
    <t>JD</t>
  </si>
  <si>
    <t>Energy</t>
  </si>
  <si>
    <t>Solar ETF</t>
  </si>
  <si>
    <t>TAN</t>
  </si>
  <si>
    <t>Clean Energy ETF</t>
  </si>
  <si>
    <t>ICLN</t>
  </si>
  <si>
    <t>NOV Inc.</t>
  </si>
  <si>
    <t>NOV</t>
  </si>
  <si>
    <t xml:space="preserve">Enphase Energy </t>
  </si>
  <si>
    <t>ENPH</t>
  </si>
  <si>
    <t xml:space="preserve">Biotech/Healthcare </t>
  </si>
  <si>
    <t xml:space="preserve">Pfizer </t>
  </si>
  <si>
    <t xml:space="preserve">Gilead </t>
  </si>
  <si>
    <t>GILD</t>
  </si>
  <si>
    <t>Bristol-Myers Squibb</t>
  </si>
  <si>
    <t>BMY</t>
  </si>
  <si>
    <t>Exelixis</t>
  </si>
  <si>
    <t>EXEL</t>
  </si>
  <si>
    <t xml:space="preserve">Materials/Lithium </t>
  </si>
  <si>
    <t>Barrick Gold *</t>
  </si>
  <si>
    <t xml:space="preserve">Ethereum Mini Trust </t>
  </si>
  <si>
    <t>End position w adds/sales</t>
  </si>
  <si>
    <t xml:space="preserve">AWP Q3 End Total </t>
  </si>
  <si>
    <t xml:space="preserve">Q3 End Profit/Loss </t>
  </si>
  <si>
    <t>Q3 2024 End Return</t>
  </si>
  <si>
    <t>Start Q3 2024</t>
  </si>
  <si>
    <t>End Q3 2024</t>
  </si>
  <si>
    <t>Q3 Gain/Loss</t>
  </si>
  <si>
    <t>Q3 End Gain/Loss</t>
  </si>
  <si>
    <t>Google *</t>
  </si>
  <si>
    <t xml:space="preserve">Block </t>
  </si>
  <si>
    <t>Next Gen Internet ETF</t>
  </si>
  <si>
    <t>ARKW</t>
  </si>
  <si>
    <t>Sea Lmtd</t>
  </si>
  <si>
    <t>SE</t>
  </si>
  <si>
    <t>Intel</t>
  </si>
  <si>
    <t>INTC</t>
  </si>
  <si>
    <t xml:space="preserve">Zoom </t>
  </si>
  <si>
    <t>ZM</t>
  </si>
  <si>
    <t xml:space="preserve">100% - 7/19/24, $16SP, $0.78P </t>
  </si>
  <si>
    <t xml:space="preserve">China </t>
  </si>
  <si>
    <t>Pinduoduo</t>
  </si>
  <si>
    <t xml:space="preserve">Tencent </t>
  </si>
  <si>
    <t>TCEHY</t>
  </si>
  <si>
    <t>Alibaba</t>
  </si>
  <si>
    <t>BABA</t>
  </si>
  <si>
    <t>NIO Inc.</t>
  </si>
  <si>
    <t>NIO</t>
  </si>
  <si>
    <t xml:space="preserve">First Solar </t>
  </si>
  <si>
    <t>FSLR</t>
  </si>
  <si>
    <t xml:space="preserve">Apache </t>
  </si>
  <si>
    <t xml:space="preserve">Industrials/Defense </t>
  </si>
  <si>
    <t>Boeing</t>
  </si>
  <si>
    <t>BA</t>
  </si>
  <si>
    <t>L3 Harris</t>
  </si>
  <si>
    <t>Pan American Silver</t>
  </si>
  <si>
    <t xml:space="preserve">ZIL </t>
  </si>
  <si>
    <t>Dash</t>
  </si>
  <si>
    <t>DASHUSD</t>
  </si>
  <si>
    <t>DASH</t>
  </si>
  <si>
    <t>Diversified "Other" Segments</t>
  </si>
  <si>
    <t xml:space="preserve">AWP Q2 End Total </t>
  </si>
  <si>
    <t xml:space="preserve">H1 Profit/Loss </t>
  </si>
  <si>
    <t>2024 H1 Return</t>
  </si>
  <si>
    <t>Start Q2 2024</t>
  </si>
  <si>
    <t>End Q2</t>
  </si>
  <si>
    <t>Q2 Gain/Loss</t>
  </si>
  <si>
    <t>Change Q2</t>
  </si>
  <si>
    <t>End H1</t>
  </si>
  <si>
    <t>H1 Gain/Loss</t>
  </si>
  <si>
    <t>Change H1</t>
  </si>
  <si>
    <t>Exercised</t>
  </si>
  <si>
    <t>Non-GSM Stocks/ETFs</t>
  </si>
  <si>
    <t>1/18.24</t>
  </si>
  <si>
    <t>ARK ATR ETF</t>
  </si>
  <si>
    <t>ARKQ</t>
  </si>
  <si>
    <t>ARK Innovation ETF</t>
  </si>
  <si>
    <t>ARKK</t>
  </si>
  <si>
    <t>Nvidia</t>
  </si>
  <si>
    <t xml:space="preserve">PayPal </t>
  </si>
  <si>
    <t>PYPL</t>
  </si>
  <si>
    <t>100% - 4/19/24, $5SP, $0.80P</t>
  </si>
  <si>
    <t>Twilio</t>
  </si>
  <si>
    <t>TWLO</t>
  </si>
  <si>
    <t>215/24</t>
  </si>
  <si>
    <t>Chevron</t>
  </si>
  <si>
    <t>CVX</t>
  </si>
  <si>
    <t>Canadian Solar</t>
  </si>
  <si>
    <t>CSIQ</t>
  </si>
  <si>
    <t>Brookfield</t>
  </si>
  <si>
    <t>BEP</t>
  </si>
  <si>
    <t xml:space="preserve">Marathon Oil </t>
  </si>
  <si>
    <t>MRO</t>
  </si>
  <si>
    <t xml:space="preserve">NOV Inc. </t>
  </si>
  <si>
    <t>Materials &amp; Industrials</t>
  </si>
  <si>
    <t>Arcadium Lithium</t>
  </si>
  <si>
    <t>Arcadium Lithium *</t>
  </si>
  <si>
    <t>100% - 5/17/24, $7.50SP, $0.65P</t>
  </si>
  <si>
    <t>Cameco</t>
  </si>
  <si>
    <t>Raytheon</t>
  </si>
  <si>
    <t>RTX</t>
  </si>
  <si>
    <t>Defense ETF</t>
  </si>
  <si>
    <t>ITA</t>
  </si>
  <si>
    <t>ITM</t>
  </si>
  <si>
    <t xml:space="preserve">Financials </t>
  </si>
  <si>
    <t>Bond ETF</t>
  </si>
  <si>
    <t>TLT</t>
  </si>
  <si>
    <t>GSMs</t>
  </si>
  <si>
    <t>Gold/Silver/Miners</t>
  </si>
  <si>
    <t>Pan American Silver *</t>
  </si>
  <si>
    <t xml:space="preserve">Cryptocurrency  Basket </t>
  </si>
  <si>
    <t>Bitcoin</t>
  </si>
  <si>
    <t>Ethereum</t>
  </si>
  <si>
    <t xml:space="preserve">Dot </t>
  </si>
  <si>
    <t xml:space="preserve">Dash </t>
  </si>
  <si>
    <t>Zcash</t>
  </si>
  <si>
    <t>ZECUSD</t>
  </si>
  <si>
    <t>ZEC</t>
  </si>
  <si>
    <t>100% - 4/19/24, $1,110SP, $108P</t>
  </si>
  <si>
    <t>100% - 4/19/24, $1,000SP, $89.50P</t>
  </si>
  <si>
    <t>Dividends</t>
  </si>
  <si>
    <t>Stock gain w/CCD/D/P</t>
  </si>
  <si>
    <t>Stocks/ETFs</t>
  </si>
  <si>
    <t>Gold/Silver (GSMs)</t>
  </si>
  <si>
    <t>Cash/Income</t>
  </si>
  <si>
    <t>Start Q1 2024</t>
  </si>
  <si>
    <t>End Q1 2024</t>
  </si>
  <si>
    <t xml:space="preserve">Q1 Gain </t>
  </si>
  <si>
    <t>Q1 Change</t>
  </si>
  <si>
    <t>Q1 Gain</t>
  </si>
  <si>
    <t xml:space="preserve">Expired </t>
  </si>
  <si>
    <t>Expired</t>
  </si>
  <si>
    <t>1/31//24</t>
  </si>
  <si>
    <t>Technology Plus</t>
  </si>
  <si>
    <t>End position + adds/sales</t>
  </si>
  <si>
    <t>100% - 1/19/24, $65SP, $3.40P</t>
  </si>
  <si>
    <t xml:space="preserve">Opera </t>
  </si>
  <si>
    <t>OPRA</t>
  </si>
  <si>
    <t>Qualcomm</t>
  </si>
  <si>
    <t>Zoom</t>
  </si>
  <si>
    <t>Warner Bros. Discovery</t>
  </si>
  <si>
    <t>WBD</t>
  </si>
  <si>
    <t>100% - 2/16/24, $80SP, $4.30P</t>
  </si>
  <si>
    <t xml:space="preserve">Alibaba </t>
  </si>
  <si>
    <t>XPeng</t>
  </si>
  <si>
    <t>XPEV</t>
  </si>
  <si>
    <t>Energy/Oil</t>
  </si>
  <si>
    <t xml:space="preserve">Materials/Industrials/Defense </t>
  </si>
  <si>
    <t xml:space="preserve">Livent </t>
  </si>
  <si>
    <t>LTHM</t>
  </si>
  <si>
    <t>3M</t>
  </si>
  <si>
    <t>MMM</t>
  </si>
  <si>
    <t>Mosaic</t>
  </si>
  <si>
    <t>100% - 2/16/24, $60SP, $4P</t>
  </si>
  <si>
    <t>KeyCorp</t>
  </si>
  <si>
    <t>KEY</t>
  </si>
  <si>
    <t>Coins</t>
  </si>
  <si>
    <t>Sale Price</t>
  </si>
  <si>
    <t xml:space="preserve">Bitcoin Cash </t>
  </si>
  <si>
    <t>Cash</t>
  </si>
  <si>
    <t>AWP at the start of 2023</t>
  </si>
  <si>
    <t xml:space="preserve">AWP 2023 End </t>
  </si>
  <si>
    <t xml:space="preserve">2023 Profit/Loss </t>
  </si>
  <si>
    <t>2023 YTD Return</t>
  </si>
  <si>
    <t>Start Q4 2023</t>
  </si>
  <si>
    <t xml:space="preserve">End Q4 </t>
  </si>
  <si>
    <t>Q4 Gain/Loss</t>
  </si>
  <si>
    <t>Q4 Change</t>
  </si>
  <si>
    <t>Start 2023</t>
  </si>
  <si>
    <t xml:space="preserve">End 2023 </t>
  </si>
  <si>
    <t>2023 Gain/Loss</t>
  </si>
  <si>
    <t>2023 Change</t>
  </si>
  <si>
    <t>CCD stands for: Covered Call Dividend</t>
  </si>
  <si>
    <t>Q3 end</t>
  </si>
  <si>
    <t>Sale price</t>
  </si>
  <si>
    <t>CCD Info</t>
  </si>
  <si>
    <t>Block *</t>
  </si>
  <si>
    <t xml:space="preserve">Lucid </t>
  </si>
  <si>
    <t>LCID</t>
  </si>
  <si>
    <t>Walt Disney Co</t>
  </si>
  <si>
    <t>DIS</t>
  </si>
  <si>
    <t>AT&amp;T</t>
  </si>
  <si>
    <t>T</t>
  </si>
  <si>
    <t xml:space="preserve">T </t>
  </si>
  <si>
    <t>100% - October 20th, $90SP, $5.20P</t>
  </si>
  <si>
    <t>JD. com</t>
  </si>
  <si>
    <t>50% - October 20th $80SP, $5.50P</t>
  </si>
  <si>
    <t>100% -  October 20th, $16SP, $1.80P</t>
  </si>
  <si>
    <t>NIO Lmtd</t>
  </si>
  <si>
    <t>Exxon</t>
  </si>
  <si>
    <t>XOM</t>
  </si>
  <si>
    <t>BP p.l.c.</t>
  </si>
  <si>
    <t>BP</t>
  </si>
  <si>
    <t xml:space="preserve">Occidental </t>
  </si>
  <si>
    <t>OXY</t>
  </si>
  <si>
    <t xml:space="preserve">Materials/industrials </t>
  </si>
  <si>
    <t>Agribusiness ETF</t>
  </si>
  <si>
    <t>MOO</t>
  </si>
  <si>
    <t>Intrepid Potash</t>
  </si>
  <si>
    <t>Mosaic *</t>
  </si>
  <si>
    <t>Defense</t>
  </si>
  <si>
    <t xml:space="preserve">Lockheed </t>
  </si>
  <si>
    <t xml:space="preserve">Northrop  </t>
  </si>
  <si>
    <t>100% - October 20th, $11SP, $0.75P</t>
  </si>
  <si>
    <t>Newmont Mining</t>
  </si>
  <si>
    <t>Junior silver mining ETF</t>
  </si>
  <si>
    <t>SILJ</t>
  </si>
  <si>
    <t>Solana</t>
  </si>
  <si>
    <t>SOLUSD</t>
  </si>
  <si>
    <t>SOL</t>
  </si>
  <si>
    <t xml:space="preserve">PolkaDot </t>
  </si>
  <si>
    <t xml:space="preserve">Monero </t>
  </si>
  <si>
    <t>XMRUSD</t>
  </si>
  <si>
    <t>XMR</t>
  </si>
  <si>
    <t>Q3 end position</t>
  </si>
  <si>
    <t xml:space="preserve">AWP Q3 end Total </t>
  </si>
  <si>
    <t xml:space="preserve">Q3 end YTD Profit/Loss </t>
  </si>
  <si>
    <t>2023 Q3 end YTD return</t>
  </si>
  <si>
    <t>Start Q3 2023</t>
  </si>
  <si>
    <t xml:space="preserve">Q3 end </t>
  </si>
  <si>
    <t>Change Q3</t>
  </si>
  <si>
    <t>Start Q1 2023</t>
  </si>
  <si>
    <t>Q3 end YTD Gain/Loss</t>
  </si>
  <si>
    <t>Change Q3 end YTD</t>
  </si>
  <si>
    <t>Sale Price/CCD Info</t>
  </si>
  <si>
    <t>Amazon</t>
  </si>
  <si>
    <t>CCD July 21st $120 SP, $4.25P</t>
  </si>
  <si>
    <t>Alibaba *</t>
  </si>
  <si>
    <t>Baidu</t>
  </si>
  <si>
    <t>Marathon Oil</t>
  </si>
  <si>
    <t xml:space="preserve">Materials </t>
  </si>
  <si>
    <t xml:space="preserve">Caterpillar </t>
  </si>
  <si>
    <t>CAT</t>
  </si>
  <si>
    <t>Livent *</t>
  </si>
  <si>
    <t>Cameco Corp</t>
  </si>
  <si>
    <t>Spirit AS</t>
  </si>
  <si>
    <t>SPR</t>
  </si>
  <si>
    <t>Goldman Sachs</t>
  </si>
  <si>
    <t>GS</t>
  </si>
  <si>
    <t>PayPal</t>
  </si>
  <si>
    <t>Bond Instruments</t>
  </si>
  <si>
    <t xml:space="preserve">20+Y R Bond ETF </t>
  </si>
  <si>
    <t>TIPS Bond ETF</t>
  </si>
  <si>
    <t>TIP</t>
  </si>
  <si>
    <t>Gold miner ETF *</t>
  </si>
  <si>
    <t xml:space="preserve">Alamos Gold </t>
  </si>
  <si>
    <t>AGI</t>
  </si>
  <si>
    <t xml:space="preserve">First Majestic </t>
  </si>
  <si>
    <t>AG</t>
  </si>
  <si>
    <t>Ending position w adds/sales</t>
  </si>
  <si>
    <t>Start Q2 2023</t>
  </si>
  <si>
    <t>Q2 End</t>
  </si>
  <si>
    <t>Q2 Gain/loss</t>
  </si>
  <si>
    <t>https://rc.seekingalpha.com/group/all-weather-portfolio-updates</t>
  </si>
  <si>
    <t>Ask The Prophet Room</t>
  </si>
  <si>
    <t>The All-Weather Portfolio "AWP"</t>
  </si>
  <si>
    <t>Advanced Micro Devices</t>
  </si>
  <si>
    <t>Palantir</t>
  </si>
  <si>
    <t xml:space="preserve">Novavax </t>
  </si>
  <si>
    <t>NVAX</t>
  </si>
  <si>
    <t>Charles Schwab</t>
  </si>
  <si>
    <t>SCHW</t>
  </si>
  <si>
    <t>Warner Bros</t>
  </si>
  <si>
    <t xml:space="preserve">Energy </t>
  </si>
  <si>
    <t>Valero</t>
  </si>
  <si>
    <t>VLO</t>
  </si>
  <si>
    <t>Banking ETF</t>
  </si>
  <si>
    <t>KRE</t>
  </si>
  <si>
    <t>Gold miner ETF</t>
  </si>
  <si>
    <t>Barrick Gold</t>
  </si>
  <si>
    <t xml:space="preserve">Fortuna Silver </t>
  </si>
  <si>
    <t>FSM</t>
  </si>
  <si>
    <t xml:space="preserve">Cardano </t>
  </si>
  <si>
    <t>Shiba</t>
  </si>
  <si>
    <t>2022 YTD Return</t>
  </si>
  <si>
    <t>End Q1 2023</t>
  </si>
  <si>
    <t>% Change</t>
  </si>
  <si>
    <t xml:space="preserve">Ask The Prophet </t>
  </si>
  <si>
    <t xml:space="preserve">META </t>
  </si>
  <si>
    <t xml:space="preserve">Netflix </t>
  </si>
  <si>
    <t>NFLX</t>
  </si>
  <si>
    <t>Broadcom</t>
  </si>
  <si>
    <t>SoFi</t>
  </si>
  <si>
    <t>SOFI</t>
  </si>
  <si>
    <t xml:space="preserve">Roku </t>
  </si>
  <si>
    <t>ROKU</t>
  </si>
  <si>
    <t xml:space="preserve">Healthcare </t>
  </si>
  <si>
    <t>Gilead</t>
  </si>
  <si>
    <t>Amgen</t>
  </si>
  <si>
    <t>AstraZeneca</t>
  </si>
  <si>
    <t>AZN</t>
  </si>
  <si>
    <t xml:space="preserve">Oil &amp; Energy </t>
  </si>
  <si>
    <t xml:space="preserve">Metals &amp; Materials </t>
  </si>
  <si>
    <t xml:space="preserve">RIO Tinto </t>
  </si>
  <si>
    <t xml:space="preserve">Southern Copper </t>
  </si>
  <si>
    <t>SCCO</t>
  </si>
  <si>
    <t>Cleveland Cliffs</t>
  </si>
  <si>
    <t>CLF</t>
  </si>
  <si>
    <t>Deere &amp; Co</t>
  </si>
  <si>
    <t>DE</t>
  </si>
  <si>
    <t>War &amp; Defense</t>
  </si>
  <si>
    <t>Staples/Defensive</t>
  </si>
  <si>
    <t>Kraft Heinz</t>
  </si>
  <si>
    <t>KHC</t>
  </si>
  <si>
    <t>General Mills</t>
  </si>
  <si>
    <t>GIS</t>
  </si>
  <si>
    <t>Kellogg</t>
  </si>
  <si>
    <t>K</t>
  </si>
  <si>
    <t>Conagra</t>
  </si>
  <si>
    <t>CAG</t>
  </si>
  <si>
    <t>Dow</t>
  </si>
  <si>
    <t>DOW</t>
  </si>
  <si>
    <t>Financials</t>
  </si>
  <si>
    <t>JPMorgan</t>
  </si>
  <si>
    <t>JPM</t>
  </si>
  <si>
    <t xml:space="preserve">Yamana </t>
  </si>
  <si>
    <t>AUY</t>
  </si>
  <si>
    <t>7.3\</t>
  </si>
  <si>
    <t xml:space="preserve">Dogecoin </t>
  </si>
  <si>
    <t>Monero</t>
  </si>
  <si>
    <t>Polkadot</t>
  </si>
  <si>
    <t>1025/22</t>
  </si>
  <si>
    <t>Starting position Q4</t>
  </si>
  <si>
    <t>Ending position Q4</t>
  </si>
  <si>
    <t xml:space="preserve">Q4 Gain/loss </t>
  </si>
  <si>
    <t>Collar/Put options/P</t>
  </si>
  <si>
    <t>AWP at the start of 2022</t>
  </si>
  <si>
    <t xml:space="preserve">AWP at the end of 2022 </t>
  </si>
  <si>
    <t>Start Q4 2022</t>
  </si>
  <si>
    <t>End Q4 2022</t>
  </si>
  <si>
    <t xml:space="preserve">Facebook </t>
  </si>
  <si>
    <t xml:space="preserve">TSLA </t>
  </si>
  <si>
    <t>BHP Group</t>
  </si>
  <si>
    <t>BHP</t>
  </si>
  <si>
    <t>Campbell</t>
  </si>
  <si>
    <t>CPB</t>
  </si>
  <si>
    <t xml:space="preserve">7-10Y T Bond ETF </t>
  </si>
  <si>
    <t>IEF</t>
  </si>
  <si>
    <t>Franco Nevada</t>
  </si>
  <si>
    <t>FNV</t>
  </si>
  <si>
    <t>Starting position Q3</t>
  </si>
  <si>
    <t>End Q3 position w adds/sales</t>
  </si>
  <si>
    <t xml:space="preserve">Q3 Gain/loss </t>
  </si>
  <si>
    <t>Start Q3 2022</t>
  </si>
  <si>
    <t>End Q3 2022</t>
  </si>
  <si>
    <t>Technology plus</t>
  </si>
  <si>
    <t>Tesla</t>
  </si>
  <si>
    <t xml:space="preserve">Pinterest </t>
  </si>
  <si>
    <t>PINS</t>
  </si>
  <si>
    <t>iClick</t>
  </si>
  <si>
    <t>ICLK</t>
  </si>
  <si>
    <t>Novavax</t>
  </si>
  <si>
    <t>Moderna</t>
  </si>
  <si>
    <t>MRNA</t>
  </si>
  <si>
    <t>Energy/oil</t>
  </si>
  <si>
    <t>NOV Inc</t>
  </si>
  <si>
    <t>Materials/industrials/defensives</t>
  </si>
  <si>
    <t xml:space="preserve">Hexcel </t>
  </si>
  <si>
    <t>HXL</t>
  </si>
  <si>
    <t>Lithium Americas Corp</t>
  </si>
  <si>
    <t>Lithium ETF</t>
  </si>
  <si>
    <t>LIT</t>
  </si>
  <si>
    <t>Visa</t>
  </si>
  <si>
    <t>V</t>
  </si>
  <si>
    <t xml:space="preserve">20+Y Bond Instrument </t>
  </si>
  <si>
    <t xml:space="preserve">7-10Y Bond Instrument </t>
  </si>
  <si>
    <t>Silvercorp</t>
  </si>
  <si>
    <t>SVM</t>
  </si>
  <si>
    <t>Starting position Q2</t>
  </si>
  <si>
    <t xml:space="preserve">Q2 Gain/loss </t>
  </si>
  <si>
    <t>Start Q2 2022</t>
  </si>
  <si>
    <t>End Q2 2022</t>
  </si>
  <si>
    <t>FB</t>
  </si>
  <si>
    <t xml:space="preserve">Adobe </t>
  </si>
  <si>
    <t>ADBE</t>
  </si>
  <si>
    <t>GIlead</t>
  </si>
  <si>
    <t>Aces clean energy ETF</t>
  </si>
  <si>
    <t>ACES</t>
  </si>
  <si>
    <t>Lukoil</t>
  </si>
  <si>
    <t>LUKOY</t>
  </si>
  <si>
    <t>Materials/industrials</t>
  </si>
  <si>
    <t xml:space="preserve">Nornickel </t>
  </si>
  <si>
    <t>NILSY</t>
  </si>
  <si>
    <t>CitiGroup</t>
  </si>
  <si>
    <t>C</t>
  </si>
  <si>
    <t xml:space="preserve">Gold Fields </t>
  </si>
  <si>
    <t>GFI</t>
  </si>
  <si>
    <t>Filecoin</t>
  </si>
  <si>
    <t>FILUSD</t>
  </si>
  <si>
    <t>FIL</t>
  </si>
  <si>
    <t>ZCash</t>
  </si>
  <si>
    <t>Starting position Q1</t>
  </si>
  <si>
    <t xml:space="preserve">Q1 Gain/loss </t>
  </si>
  <si>
    <t>Start Q1 2022</t>
  </si>
  <si>
    <t>End Q1 2022</t>
  </si>
  <si>
    <t>Virgin Galactic</t>
  </si>
  <si>
    <t>SPCE</t>
  </si>
  <si>
    <t>Lucid Group</t>
  </si>
  <si>
    <t xml:space="preserve">Tencent Music </t>
  </si>
  <si>
    <t>TME</t>
  </si>
  <si>
    <t>China Internet ETF</t>
  </si>
  <si>
    <t>KWEB</t>
  </si>
  <si>
    <t>TT&amp;A ETF</t>
  </si>
  <si>
    <t>GERM</t>
  </si>
  <si>
    <t>Vale S.A.</t>
  </si>
  <si>
    <t>VALE</t>
  </si>
  <si>
    <t xml:space="preserve">Non-physical GSM % of portfolio </t>
  </si>
  <si>
    <t>Kirkland Lake</t>
  </si>
  <si>
    <t>KL</t>
  </si>
  <si>
    <t>First Majestic</t>
  </si>
  <si>
    <t>VeChain</t>
  </si>
  <si>
    <t>VETUSD</t>
  </si>
  <si>
    <t>LINUSD</t>
  </si>
  <si>
    <t>N.A</t>
  </si>
  <si>
    <t>Q4 end position w adds/sales</t>
  </si>
  <si>
    <t>Start Q4 2021</t>
  </si>
  <si>
    <t>Q4 End</t>
  </si>
  <si>
    <t xml:space="preserve">Technology </t>
  </si>
  <si>
    <t>Micron</t>
  </si>
  <si>
    <t>Activision</t>
  </si>
  <si>
    <t>ATVI</t>
  </si>
  <si>
    <t>ZOOM</t>
  </si>
  <si>
    <t>VET</t>
  </si>
  <si>
    <t>End position Q3</t>
  </si>
  <si>
    <t>Start Q3 2021</t>
  </si>
  <si>
    <t>End Q3</t>
  </si>
  <si>
    <t>Tech plus</t>
  </si>
  <si>
    <t>% of portfolio holdings</t>
  </si>
  <si>
    <t xml:space="preserve">Current position </t>
  </si>
  <si>
    <t>Price at start Q2/buy</t>
  </si>
  <si>
    <t>% Gain/loss</t>
  </si>
  <si>
    <t>% of total portfolio holdings</t>
  </si>
  <si>
    <t>Microsoft</t>
  </si>
  <si>
    <t>China Consumer ETF</t>
  </si>
  <si>
    <t>CHIQ</t>
  </si>
  <si>
    <t xml:space="preserve">Churchill capital </t>
  </si>
  <si>
    <t>CCIV</t>
  </si>
  <si>
    <t>ARK Next Gen ETF</t>
  </si>
  <si>
    <t>ARK Tech &amp; Robotics ETF</t>
  </si>
  <si>
    <t>Cloud ETF</t>
  </si>
  <si>
    <t>SKYY</t>
  </si>
  <si>
    <t xml:space="preserve">Cybersecurity </t>
  </si>
  <si>
    <t>CIBR</t>
  </si>
  <si>
    <t>Akamai</t>
  </si>
  <si>
    <t>AKAM</t>
  </si>
  <si>
    <t>Internet ETF</t>
  </si>
  <si>
    <t>FDN</t>
  </si>
  <si>
    <t>Netflix</t>
  </si>
  <si>
    <t xml:space="preserve">Bristol-Myers </t>
  </si>
  <si>
    <t>Biotechnology ETF</t>
  </si>
  <si>
    <t>IBB</t>
  </si>
  <si>
    <t>ETFMG TT&amp;A ETF</t>
  </si>
  <si>
    <t>Johnson &amp; Johnson</t>
  </si>
  <si>
    <t>JNJ</t>
  </si>
  <si>
    <t>Clean power ETF</t>
  </si>
  <si>
    <t>CNRG</t>
  </si>
  <si>
    <t>Invesco clean energy ETF</t>
  </si>
  <si>
    <t>PBW</t>
  </si>
  <si>
    <t>ALTO Ingredients</t>
  </si>
  <si>
    <t>ALTO</t>
  </si>
  <si>
    <t>Halliburton</t>
  </si>
  <si>
    <t>HAL</t>
  </si>
  <si>
    <t xml:space="preserve">General Electric </t>
  </si>
  <si>
    <t>GE</t>
  </si>
  <si>
    <t>Intercontinental Exchange</t>
  </si>
  <si>
    <t>ICE</t>
  </si>
  <si>
    <t>CME Group</t>
  </si>
  <si>
    <t>CME</t>
  </si>
  <si>
    <t>Mastercard</t>
  </si>
  <si>
    <t>MA</t>
  </si>
  <si>
    <t xml:space="preserve">Gold/Silver/Miners (GSMs) </t>
  </si>
  <si>
    <t>Silver ETF</t>
  </si>
  <si>
    <t>SLV</t>
  </si>
  <si>
    <t>Total GSM</t>
  </si>
  <si>
    <t>Alamos Gold</t>
  </si>
  <si>
    <t xml:space="preserve">Total GSM % of portfolio </t>
  </si>
  <si>
    <t>Royal Gold</t>
  </si>
  <si>
    <t>RGLD</t>
  </si>
  <si>
    <t>Gold Fields Ltd</t>
  </si>
  <si>
    <t>Silver mining ETF</t>
  </si>
  <si>
    <t>SIL</t>
  </si>
  <si>
    <t>Fortuna Silver</t>
  </si>
  <si>
    <t xml:space="preserve">Cryptocurrency Basket </t>
  </si>
  <si>
    <t xml:space="preserve">Bitcoin/digital assets </t>
  </si>
  <si>
    <t>Current position</t>
  </si>
  <si>
    <t>Swipe</t>
  </si>
  <si>
    <t>SXPUSD</t>
  </si>
  <si>
    <t>NEO</t>
  </si>
  <si>
    <t>NEOUSD</t>
  </si>
  <si>
    <t>End position w sales/adds</t>
  </si>
  <si>
    <t xml:space="preserve">% gain/loss </t>
  </si>
  <si>
    <t xml:space="preserve">Q2 gain/loss </t>
  </si>
  <si>
    <t>Stock gain w/CCD/D</t>
  </si>
  <si>
    <t>Start Q2 2021</t>
  </si>
  <si>
    <t>End Q2 2021</t>
  </si>
  <si>
    <t>Technology sector</t>
  </si>
  <si>
    <t>Price at start/buy in Q1</t>
  </si>
  <si>
    <t>Q1 % gain/loss</t>
  </si>
  <si>
    <t>Q1 Gain/Loss</t>
  </si>
  <si>
    <t>iQIYI</t>
  </si>
  <si>
    <t>IQ</t>
  </si>
  <si>
    <t>Long online/short stores</t>
  </si>
  <si>
    <t>CLIX</t>
  </si>
  <si>
    <t>Yandex</t>
  </si>
  <si>
    <t>YNDX</t>
  </si>
  <si>
    <t>Healthcare sector</t>
  </si>
  <si>
    <t>Abbott</t>
  </si>
  <si>
    <t>ABT</t>
  </si>
  <si>
    <t>Supernus</t>
  </si>
  <si>
    <t>SUPN</t>
  </si>
  <si>
    <t>Energy sector</t>
  </si>
  <si>
    <t>Clean energy ETF</t>
  </si>
  <si>
    <t>Invesco Solar ETF</t>
  </si>
  <si>
    <t xml:space="preserve">Gazprom </t>
  </si>
  <si>
    <t>OGZPY</t>
  </si>
  <si>
    <t>Industrial &amp; materials</t>
  </si>
  <si>
    <t>Northrop</t>
  </si>
  <si>
    <t>FedEx</t>
  </si>
  <si>
    <t>FDX</t>
  </si>
  <si>
    <t>Financial sector</t>
  </si>
  <si>
    <t>Sberbank</t>
  </si>
  <si>
    <t>SBRCY</t>
  </si>
  <si>
    <t>Regional Banking ETF</t>
  </si>
  <si>
    <t>GSM sector</t>
  </si>
  <si>
    <t xml:space="preserve">Bond Instruments </t>
  </si>
  <si>
    <t>ETF</t>
  </si>
  <si>
    <t>20+ Year T Bond ETF</t>
  </si>
  <si>
    <t>7-10 Year T Bond ETF</t>
  </si>
  <si>
    <t xml:space="preserve">Bitcoin/Digital Assets </t>
  </si>
  <si>
    <t xml:space="preserve">Ethereum Classic </t>
  </si>
  <si>
    <t>LiteCoin</t>
  </si>
  <si>
    <t>SXP</t>
  </si>
  <si>
    <t>Cardano</t>
  </si>
  <si>
    <t>Tron</t>
  </si>
  <si>
    <t>TRXUSD</t>
  </si>
  <si>
    <t>TRX</t>
  </si>
  <si>
    <t>Q1 starting position</t>
  </si>
  <si>
    <t>Q1 end position w sales/adds</t>
  </si>
  <si>
    <t xml:space="preserve">Q1 gain/loss </t>
  </si>
  <si>
    <t>Start Q1 2021</t>
  </si>
  <si>
    <t>End of Q1 2021</t>
  </si>
  <si>
    <t xml:space="preserve">AIG Portfolio </t>
  </si>
  <si>
    <t>Price at start/buy in Q4</t>
  </si>
  <si>
    <t>Q4 % gain/loss</t>
  </si>
  <si>
    <t xml:space="preserve">iClick </t>
  </si>
  <si>
    <t>Innovation ETF</t>
  </si>
  <si>
    <t>Online retail ETF</t>
  </si>
  <si>
    <t>IBUY</t>
  </si>
  <si>
    <t xml:space="preserve">Oracle </t>
  </si>
  <si>
    <t>ORCL</t>
  </si>
  <si>
    <t>Lucid Motors</t>
  </si>
  <si>
    <t>Still Private</t>
  </si>
  <si>
    <t xml:space="preserve">Biogen </t>
  </si>
  <si>
    <t>BIIB</t>
  </si>
  <si>
    <t>J&amp;J</t>
  </si>
  <si>
    <t>Alexion</t>
  </si>
  <si>
    <t>ALXN</t>
  </si>
  <si>
    <t>Pharmaceutical ETF</t>
  </si>
  <si>
    <t>PJP</t>
  </si>
  <si>
    <t>Healthcare ETF</t>
  </si>
  <si>
    <t>IHI</t>
  </si>
  <si>
    <t>Takeda</t>
  </si>
  <si>
    <t>TAK</t>
  </si>
  <si>
    <t>BP PLC</t>
  </si>
  <si>
    <t>Ganfeng Lithium</t>
  </si>
  <si>
    <t>GNENF</t>
  </si>
  <si>
    <t>Albemarle</t>
  </si>
  <si>
    <t>Wells Fargo</t>
  </si>
  <si>
    <t>WFC</t>
  </si>
  <si>
    <t xml:space="preserve">Bank of America </t>
  </si>
  <si>
    <t>BAC</t>
  </si>
  <si>
    <t>Brokers/exchanges ETF</t>
  </si>
  <si>
    <t>IAI</t>
  </si>
  <si>
    <t>EOS</t>
  </si>
  <si>
    <t>EOSUSD</t>
  </si>
  <si>
    <t>Tezos</t>
  </si>
  <si>
    <t>XTZUSD</t>
  </si>
  <si>
    <t>Ontology</t>
  </si>
  <si>
    <t>ONTUSD</t>
  </si>
  <si>
    <t>Stellar</t>
  </si>
  <si>
    <t>XLMUSD</t>
  </si>
  <si>
    <t xml:space="preserve">VeChain </t>
  </si>
  <si>
    <t>IOTA</t>
  </si>
  <si>
    <t>IOTAUSD</t>
  </si>
  <si>
    <t>Cosmos</t>
  </si>
  <si>
    <t>ATOMUSD</t>
  </si>
  <si>
    <t>Starting position</t>
  </si>
  <si>
    <t xml:space="preserve">Q4 gain/loss </t>
  </si>
  <si>
    <t>Percentage gain</t>
  </si>
  <si>
    <t>Cash gain</t>
  </si>
  <si>
    <t>Final portfolio position numbers, and major average returns are actual figures. Stock and other quotes continue to move from the time when positions were opened.</t>
  </si>
  <si>
    <t>Start Q4 2020</t>
  </si>
  <si>
    <t xml:space="preserve">End Q4 2020 </t>
  </si>
  <si>
    <t>Starting position + adds/sales</t>
  </si>
  <si>
    <t>Price at start/buy in Q3</t>
  </si>
  <si>
    <t>Q3 % gain/loss</t>
  </si>
  <si>
    <t>Axon</t>
  </si>
  <si>
    <t>AAXN</t>
  </si>
  <si>
    <t>Tencent</t>
  </si>
  <si>
    <t>Apple</t>
  </si>
  <si>
    <t>AAPL</t>
  </si>
  <si>
    <t>LHC Group</t>
  </si>
  <si>
    <t>LHCG</t>
  </si>
  <si>
    <t>Valero Energy</t>
  </si>
  <si>
    <t>Occidental</t>
  </si>
  <si>
    <t>National O.V.</t>
  </si>
  <si>
    <t>Industrial sector</t>
  </si>
  <si>
    <t>General Dynamics</t>
  </si>
  <si>
    <t>Spirit AeroSystems</t>
  </si>
  <si>
    <t>6,7</t>
  </si>
  <si>
    <t>BWX Technologies</t>
  </si>
  <si>
    <t>BWXT</t>
  </si>
  <si>
    <t>Citi</t>
  </si>
  <si>
    <t>Financials ETF</t>
  </si>
  <si>
    <t>IYF</t>
  </si>
  <si>
    <t>Master Card</t>
  </si>
  <si>
    <t>MIOTAUSD</t>
  </si>
  <si>
    <t xml:space="preserve">Q3 starting position </t>
  </si>
  <si>
    <t>Q3 gain/loss w adds/sales</t>
  </si>
  <si>
    <t>Start Q3 2020</t>
  </si>
  <si>
    <t xml:space="preserve">End Q3 2020 </t>
  </si>
  <si>
    <t>Price at start/buy in Q2</t>
  </si>
  <si>
    <t>Q2 % gain/loss</t>
  </si>
  <si>
    <t>Novatek</t>
  </si>
  <si>
    <t>NOVKY</t>
  </si>
  <si>
    <r>
      <rPr>
        <b/>
      </rPr>
      <t>Tota</t>
    </r>
    <r>
      <rPr>
        <b/>
      </rPr>
      <t>l</t>
    </r>
  </si>
  <si>
    <t xml:space="preserve">Total physical GSM % of portfolio </t>
  </si>
  <si>
    <t xml:space="preserve">Total non-physical GSM % of portfolio </t>
  </si>
  <si>
    <t>Wheaton Precious Metals</t>
  </si>
  <si>
    <t>WPM</t>
  </si>
  <si>
    <t>5/21.20</t>
  </si>
  <si>
    <t>Bitcoin Gold</t>
  </si>
  <si>
    <t>BTGUSD</t>
  </si>
  <si>
    <t>DigiByte</t>
  </si>
  <si>
    <t>DGBUSD</t>
  </si>
  <si>
    <t xml:space="preserve">Q2 starting position </t>
  </si>
  <si>
    <t xml:space="preserve">Q2 end position </t>
  </si>
  <si>
    <t>% gain/loss w adds/sales</t>
  </si>
  <si>
    <t>Q2 gain/loss w adds/sales</t>
  </si>
  <si>
    <t>Final portfolio position numbers, and major average returns are actual figures. Stock and other quotes continue to move perpetually.</t>
  </si>
  <si>
    <t>Start Q2 2020</t>
  </si>
  <si>
    <t>Price end of Q2</t>
  </si>
  <si>
    <t>Starting position w/adds</t>
  </si>
  <si>
    <t>Price at start Q1</t>
  </si>
  <si>
    <t>Buy List</t>
  </si>
  <si>
    <t xml:space="preserve">Add date </t>
  </si>
  <si>
    <t xml:space="preserve">Buy in position </t>
  </si>
  <si>
    <t>Current position/W sales</t>
  </si>
  <si>
    <t>Ganin/Loss%</t>
  </si>
  <si>
    <t>Gain/loss</t>
  </si>
  <si>
    <t xml:space="preserve">Sales list </t>
  </si>
  <si>
    <t>Date sold</t>
  </si>
  <si>
    <t>Price sold at</t>
  </si>
  <si>
    <t>Defense sector</t>
  </si>
  <si>
    <t>RTN</t>
  </si>
  <si>
    <t>Current position W adds/sales</t>
  </si>
  <si>
    <t>Starting position in Q1</t>
  </si>
  <si>
    <t>3/12/20 stablecoin position</t>
  </si>
  <si>
    <t>Sales list</t>
  </si>
  <si>
    <t>ASP to stablecoin</t>
  </si>
  <si>
    <t>Q1 starting position + adds/sales</t>
  </si>
  <si>
    <t>Q1 final positions</t>
  </si>
  <si>
    <t>Q1 gain/loss%</t>
  </si>
  <si>
    <t>Q1 gain/loss</t>
  </si>
  <si>
    <t>Stock gain/loss W CCD/D/P</t>
  </si>
  <si>
    <t>Put Options/P</t>
  </si>
  <si>
    <t>Cash gain/loss</t>
  </si>
  <si>
    <t xml:space="preserve">Final portfolio position numbers, and major average returns are actual figures. Stock and other quotes continue to move from the time when positions were opened. </t>
  </si>
  <si>
    <t>Major Averages Q4</t>
  </si>
  <si>
    <t>Start Q1 2020</t>
  </si>
  <si>
    <t xml:space="preserve"> End Q1 2020</t>
  </si>
  <si>
    <t xml:space="preserve">Acronym GSM stands for Gold/Silver/Miners </t>
  </si>
  <si>
    <t xml:space="preserve">Acronym CCD stands for Covered Call Dividend </t>
  </si>
  <si>
    <t>Starting position in Q4</t>
  </si>
  <si>
    <t>Price at purchase Q4</t>
  </si>
  <si>
    <t>Watch/Buy List</t>
  </si>
  <si>
    <t xml:space="preserve">TCEHY </t>
  </si>
  <si>
    <t>Defensive/Staples</t>
  </si>
  <si>
    <t xml:space="preserve">Raytheon </t>
  </si>
  <si>
    <t>General Electric</t>
  </si>
  <si>
    <t>Energy/Oil Services</t>
  </si>
  <si>
    <t xml:space="preserve">FirstEnergy </t>
  </si>
  <si>
    <t>FE</t>
  </si>
  <si>
    <t>Gold/Silver/Miners GSMs</t>
  </si>
  <si>
    <t>% of portfolio holdings total</t>
  </si>
  <si>
    <t>% of portfolio holdings physical</t>
  </si>
  <si>
    <t>% of portfolio holdings non-physical</t>
  </si>
  <si>
    <t>GSM</t>
  </si>
  <si>
    <t>Bitcoin/Digital assets</t>
  </si>
  <si>
    <t>Bitcoin/Altcoins</t>
  </si>
  <si>
    <t>Price at purchase in Q4</t>
  </si>
  <si>
    <t>Total Assets</t>
  </si>
  <si>
    <t>Q4 starting position w/adds+sales</t>
  </si>
  <si>
    <t xml:space="preserve">Q4 final positions </t>
  </si>
  <si>
    <t>Q4 gain/loss%</t>
  </si>
  <si>
    <t>Q4 gain/loss</t>
  </si>
  <si>
    <t>Stocks/ETFs adds in quarter</t>
  </si>
  <si>
    <t>Gain/loss with Div/CCD</t>
  </si>
  <si>
    <t>Covered call dividend/CCD</t>
  </si>
  <si>
    <t>Stocks/ETFs sales in quarter</t>
  </si>
  <si>
    <t>Gain/loss with Div/CCD %</t>
  </si>
  <si>
    <t>Bonds</t>
  </si>
  <si>
    <t>Dividend gain</t>
  </si>
  <si>
    <t>Digital assets</t>
  </si>
  <si>
    <t>GSMs adds in quarter</t>
  </si>
  <si>
    <t xml:space="preserve">Cash </t>
  </si>
  <si>
    <t>Start Q4 2019</t>
  </si>
  <si>
    <t>End Q4 2019</t>
  </si>
  <si>
    <t xml:space="preserve">Symbol </t>
  </si>
  <si>
    <t>Starting Position Q3</t>
  </si>
  <si>
    <t>Current Position</t>
  </si>
  <si>
    <t>Price 6/30/19</t>
  </si>
  <si>
    <t>Current Price</t>
  </si>
  <si>
    <t>Change</t>
  </si>
  <si>
    <t>Q3 % Gain/Loss</t>
  </si>
  <si>
    <t>Div Yield 6/30/19</t>
  </si>
  <si>
    <t>Adds in Q3</t>
  </si>
  <si>
    <t xml:space="preserve">Ticker </t>
  </si>
  <si>
    <t>Date Added</t>
  </si>
  <si>
    <t xml:space="preserve">Current Price </t>
  </si>
  <si>
    <t>Price at Add</t>
  </si>
  <si>
    <t>Position at add</t>
  </si>
  <si>
    <t>Gain/Loss %</t>
  </si>
  <si>
    <t>More Adds in Q3</t>
  </si>
  <si>
    <t>Gain Loss</t>
  </si>
  <si>
    <t xml:space="preserve">Apple </t>
  </si>
  <si>
    <t>GDX ETF</t>
  </si>
  <si>
    <t>Position total</t>
  </si>
  <si>
    <t>Alphabet</t>
  </si>
  <si>
    <t>GDXJ ETF</t>
  </si>
  <si>
    <t>Kirkland Lake Gold</t>
  </si>
  <si>
    <t>Oil Services ETF</t>
  </si>
  <si>
    <t>OIH</t>
  </si>
  <si>
    <t>Gold Mining ETF</t>
  </si>
  <si>
    <t>Junior GM ETF</t>
  </si>
  <si>
    <t>Defensive Staples</t>
  </si>
  <si>
    <t>Symbol</t>
  </si>
  <si>
    <t xml:space="preserve">K </t>
  </si>
  <si>
    <t>Crypto Adds in Q3</t>
  </si>
  <si>
    <t>Position Adds</t>
  </si>
  <si>
    <t>Date of Purchase</t>
  </si>
  <si>
    <t xml:space="preserve">Price at purchase </t>
  </si>
  <si>
    <t>Position at purchase</t>
  </si>
  <si>
    <t>Gain/Loss/%</t>
  </si>
  <si>
    <t xml:space="preserve">Position Total </t>
  </si>
  <si>
    <t>Bitcoin Cash/ABC</t>
  </si>
  <si>
    <t>Financial ETF</t>
  </si>
  <si>
    <t>XLF</t>
  </si>
  <si>
    <t>More Adds</t>
  </si>
  <si>
    <t>Healthcare</t>
  </si>
  <si>
    <t>Bristol-Mayers</t>
  </si>
  <si>
    <t>Biogen</t>
  </si>
  <si>
    <t xml:space="preserve">Div Income  </t>
  </si>
  <si>
    <t>Sales in Q3</t>
  </si>
  <si>
    <t>Position sold</t>
  </si>
  <si>
    <t>National Oilwell</t>
  </si>
  <si>
    <t>Industrials</t>
  </si>
  <si>
    <t>Position Total</t>
  </si>
  <si>
    <t>Total GSM Position</t>
  </si>
  <si>
    <t>Combined Segments</t>
  </si>
  <si>
    <t>Stock Adds in Q3</t>
  </si>
  <si>
    <t>Stock Sales in Q3</t>
  </si>
  <si>
    <t xml:space="preserve">Starting Position Q3 2019 </t>
  </si>
  <si>
    <t>Current Position W sales/adds</t>
  </si>
  <si>
    <t>Allocation %</t>
  </si>
  <si>
    <t xml:space="preserve">Q3 % Gain with CCD/dividends </t>
  </si>
  <si>
    <t xml:space="preserve">Q3 Gain with CCD/dividends </t>
  </si>
  <si>
    <t>Covered Call Dividend (CCD) Gain</t>
  </si>
  <si>
    <t>Div Gain Quarter</t>
  </si>
  <si>
    <t>Stock ETF Portfolio</t>
  </si>
  <si>
    <t>GSM % of total portfolio</t>
  </si>
  <si>
    <t>Physical Metals</t>
  </si>
  <si>
    <t>Crypto Sales in Q3</t>
  </si>
  <si>
    <t>CCD % Gain Quarter</t>
  </si>
  <si>
    <t>Div Gain % Quarter</t>
  </si>
  <si>
    <t>Current total crypto purchases w Q3 adds YTD</t>
  </si>
  <si>
    <t>Cash/Fixed Income</t>
  </si>
  <si>
    <t>Total Crypto Investments YTD</t>
  </si>
  <si>
    <t>Crypto Position Now</t>
  </si>
  <si>
    <t>Crypto YTD gain/loss</t>
  </si>
  <si>
    <t>Total portfolio Gain/Loss %</t>
  </si>
  <si>
    <t xml:space="preserve">Portfolio Total </t>
  </si>
  <si>
    <t>Total portfolio Gain/Loss</t>
  </si>
  <si>
    <t>Start Q3 2019</t>
  </si>
  <si>
    <t>End Q3 2019</t>
  </si>
  <si>
    <t>Note: Positions continue to fluctuate in real time</t>
  </si>
  <si>
    <t>Total Sales in Q3</t>
  </si>
  <si>
    <t>Trade Trigger</t>
  </si>
  <si>
    <t>Starting Position Q2</t>
  </si>
  <si>
    <t>Price 3/31/19</t>
  </si>
  <si>
    <t>% Gain/Loss</t>
  </si>
  <si>
    <t>Div Yield 1/1/19</t>
  </si>
  <si>
    <t>Q2 Position Adds</t>
  </si>
  <si>
    <t>Entry Price</t>
  </si>
  <si>
    <t>Position Size Entry</t>
  </si>
  <si>
    <t>Gain Loss%</t>
  </si>
  <si>
    <t xml:space="preserve">Div Yield </t>
  </si>
  <si>
    <t>% of Stock Holdings</t>
  </si>
  <si>
    <t>Technology</t>
  </si>
  <si>
    <t>Metals/Gold Miners</t>
  </si>
  <si>
    <t>Procter &amp; Gamble</t>
  </si>
  <si>
    <t>PG</t>
  </si>
  <si>
    <t>Energy/Utilities</t>
  </si>
  <si>
    <t>Exxon Mobil</t>
  </si>
  <si>
    <t>AES Corporation</t>
  </si>
  <si>
    <t>AES</t>
  </si>
  <si>
    <t>Price 1/1/19</t>
  </si>
  <si>
    <t>Adds in Quarter</t>
  </si>
  <si>
    <t xml:space="preserve">Starting Position Q2 2019 </t>
  </si>
  <si>
    <t>Q2 final position</t>
  </si>
  <si>
    <t>% Gain W/Div/CCD</t>
  </si>
  <si>
    <t>Gain W/Div/CCD</t>
  </si>
  <si>
    <t>Start Q2 2019</t>
  </si>
  <si>
    <t>End Q2 2019</t>
  </si>
  <si>
    <t>Starting Position Q1</t>
  </si>
  <si>
    <t>Metals</t>
  </si>
  <si>
    <t>Covered Call Dividend (CCD)</t>
  </si>
  <si>
    <t>BP plc</t>
  </si>
  <si>
    <t>Gazprom</t>
  </si>
  <si>
    <t>Starting Position 2019</t>
  </si>
  <si>
    <t>2019 Total Investment</t>
  </si>
  <si>
    <t>Q1 final position</t>
  </si>
  <si>
    <t>%Gain W/Div/CCD</t>
  </si>
  <si>
    <t>Div Gain</t>
  </si>
  <si>
    <t>Total Adds in Q1</t>
  </si>
  <si>
    <t>Total Div Income</t>
  </si>
  <si>
    <t xml:space="preserve">Total Current </t>
  </si>
  <si>
    <t>CCD % Gain</t>
  </si>
  <si>
    <t>Div Gain %</t>
  </si>
  <si>
    <t>Total Gain/Loss %</t>
  </si>
  <si>
    <t>Total Gain/Loss</t>
  </si>
  <si>
    <t>Qtrly Div Income</t>
  </si>
  <si>
    <t>Total W/Div</t>
  </si>
  <si>
    <t>Start of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</si>
</sst>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&quot;$&quot;#,##0.00"/>
    <numFmt numFmtId="165" formatCode="&quot;$&quot;#,##0"/>
    <numFmt numFmtId="166" formatCode="[Green]▲ 0.00;[Red]▼ -0.00"/>
    <numFmt numFmtId="167" formatCode="[Green]▲ 0.00%;[Red]▼ -0.00%"/>
    <numFmt numFmtId="168" formatCode="m/d/yy"/>
    <numFmt numFmtId="169" formatCode="#,##0.0"/>
    <numFmt numFmtId="170" formatCode="&quot;$&quot;#,##0.0000"/>
    <numFmt numFmtId="171" formatCode="&quot;$&quot;#,##0.000"/>
    <numFmt numFmtId="172" formatCode="&quot;$&quot;#,##0.00000"/>
    <numFmt numFmtId="173" formatCode="&quot;$&quot;#,##0.00000000"/>
    <numFmt numFmtId="174" formatCode="&quot;$&quot;#,##0.0000000"/>
    <numFmt numFmtId="175" formatCode="mm/dd/yy"/>
    <numFmt numFmtId="176" formatCode="&quot;$&quot;#,##0.000000"/>
    <numFmt numFmtId="177" formatCode="&quot;$&quot;#,##0.0"/>
    <numFmt numFmtId="178" formatCode="0.0%"/>
  </numFmts>
  <fonts count="54">
    <font>
      <sz val="10.0"/>
      <color rgb="FF000000"/>
      <name val="Arial"/>
    </font>
    <font>
      <b/>
      <name val="Arial"/>
    </font>
    <font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00FF00"/>
      <name val="Arial"/>
    </font>
    <font>
      <b/>
      <sz val="10.0"/>
      <color rgb="FF222222"/>
      <name val="Arial"/>
    </font>
    <font>
      <sz val="10.0"/>
      <color rgb="FF222222"/>
      <name val="Arial"/>
    </font>
    <font>
      <color rgb="FF000000"/>
      <name val="Arial"/>
    </font>
    <font>
      <sz val="10.0"/>
      <color rgb="FF2F343D"/>
      <name val="Arial"/>
    </font>
    <font>
      <b/>
      <sz val="10.0"/>
      <color rgb="FF1F1F1F"/>
      <name val="&quot;Google Sans&quot;"/>
    </font>
    <font>
      <sz val="10.0"/>
      <color rgb="FF7E3794"/>
      <name val="Arial"/>
    </font>
    <font>
      <b/>
      <sz val="11.0"/>
      <name val="Arial"/>
    </font>
    <font>
      <sz val="10.0"/>
      <color rgb="FF040C28"/>
      <name val="Arial"/>
    </font>
    <font>
      <b/>
    </font>
    <font/>
    <font>
      <sz val="11.0"/>
      <name val="Arial"/>
    </font>
    <font>
      <b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i/>
    </font>
    <font>
      <b/>
      <sz val="10.0"/>
      <color rgb="FF1F1F1F"/>
      <name val="Arial"/>
    </font>
    <font>
      <b/>
      <sz val="10.0"/>
    </font>
    <font>
      <i/>
      <sz val="9.0"/>
      <color rgb="FF1F1F1F"/>
      <name val="&quot;Google Sans&quot;"/>
    </font>
    <font>
      <sz val="10.0"/>
      <color rgb="FF434343"/>
      <name val="Arial"/>
    </font>
    <font>
      <sz val="10.0"/>
      <color rgb="FFFF0000"/>
      <name val="Arial"/>
    </font>
    <font>
      <sz val="10.0"/>
      <color rgb="FF1F1F1F"/>
      <name val="Arial"/>
    </font>
    <font>
      <color rgb="FFFF0000"/>
      <name val="Arial"/>
    </font>
    <font>
      <color rgb="FF222222"/>
      <name val="Arial"/>
    </font>
    <font>
      <color rgb="FF434343"/>
      <name val="Arial"/>
    </font>
    <font>
      <color rgb="FF00FF00"/>
      <name val="Arial"/>
    </font>
    <font>
      <b/>
      <color rgb="FF222222"/>
      <name val="Arial"/>
    </font>
    <font>
      <color rgb="FF000000"/>
      <name val="Roboto"/>
    </font>
    <font>
      <sz val="10.0"/>
      <color rgb="FF1155CC"/>
      <name val="Arial"/>
    </font>
    <font>
      <b/>
      <i/>
      <sz val="10.0"/>
      <color rgb="FF000000"/>
      <name val="Docs-Inconsolata"/>
    </font>
    <font>
      <b/>
      <color rgb="FF000000"/>
      <name val="Roboto"/>
    </font>
    <font>
      <b/>
      <sz val="10.0"/>
      <color rgb="FF000000"/>
      <name val="&quot;Yahoo Sans Finance&quot;"/>
    </font>
    <font>
      <b/>
      <sz val="12.0"/>
      <name val="Arial"/>
    </font>
    <font>
      <b/>
      <sz val="11.0"/>
      <color rgb="FF000000"/>
      <name val="Arial"/>
    </font>
    <font>
      <b/>
      <color rgb="FF000000"/>
      <name val="&quot;Yahoo Sans Finance&quot;"/>
    </font>
    <font>
      <b/>
      <i/>
      <sz val="11.0"/>
      <color rgb="FF000000"/>
      <name val="Inconsolata"/>
    </font>
    <font>
      <b/>
      <i/>
      <sz val="10.0"/>
      <color rgb="FF000000"/>
      <name val="Arial"/>
    </font>
    <font>
      <b/>
      <i/>
    </font>
    <font>
      <b/>
      <i/>
      <name val="Arial"/>
    </font>
    <font>
      <sz val="11.0"/>
      <color rgb="FF000000"/>
      <name val="Arial"/>
    </font>
    <font>
      <b/>
      <i/>
      <color rgb="FF000000"/>
      <name val="Arial"/>
    </font>
    <font>
      <sz val="10.0"/>
      <color rgb="FF666666"/>
      <name val="Arial"/>
    </font>
    <font>
      <b/>
      <color rgb="FF00FF00"/>
      <name val="Arial"/>
    </font>
    <font>
      <b/>
      <sz val="11.0"/>
      <color rgb="FF000000"/>
      <name val="Inconsolata"/>
    </font>
    <font>
      <i/>
      <sz val="10.0"/>
      <color rgb="FF000000"/>
      <name val="Arial"/>
    </font>
    <font>
      <sz val="11.0"/>
      <color rgb="FF000000"/>
      <name val="Inconsolata"/>
    </font>
    <font>
      <b/>
      <color rgb="FF000000"/>
      <name val="-webkit-standard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7F8FA"/>
        <bgColor rgb="FFF7F8FA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readingOrder="0" vertical="bottom"/>
    </xf>
    <xf borderId="3" fillId="3" fontId="3" numFmtId="0" xfId="0" applyAlignment="1" applyBorder="1" applyFill="1" applyFont="1">
      <alignment readingOrder="0" vertical="bottom"/>
    </xf>
    <xf borderId="4" fillId="3" fontId="3" numFmtId="0" xfId="0" applyAlignment="1" applyBorder="1" applyFont="1">
      <alignment readingOrder="0" vertical="bottom"/>
    </xf>
    <xf borderId="4" fillId="3" fontId="3" numFmtId="0" xfId="0" applyAlignment="1" applyBorder="1" applyFont="1">
      <alignment vertical="bottom"/>
    </xf>
    <xf borderId="4" fillId="3" fontId="4" numFmtId="164" xfId="0" applyAlignment="1" applyBorder="1" applyFont="1" applyNumberFormat="1">
      <alignment vertical="bottom"/>
    </xf>
    <xf borderId="4" fillId="3" fontId="4" numFmtId="164" xfId="0" applyAlignment="1" applyBorder="1" applyFont="1" applyNumberFormat="1">
      <alignment vertical="bottom"/>
    </xf>
    <xf borderId="4" fillId="3" fontId="4" numFmtId="0" xfId="0" applyAlignment="1" applyBorder="1" applyFont="1">
      <alignment readingOrder="0" vertical="bottom"/>
    </xf>
    <xf borderId="4" fillId="3" fontId="4" numFmtId="0" xfId="0" applyAlignment="1" applyBorder="1" applyFont="1">
      <alignment vertical="bottom"/>
    </xf>
    <xf borderId="4" fillId="3" fontId="3" numFmtId="165" xfId="0" applyAlignment="1" applyBorder="1" applyFont="1" applyNumberFormat="1">
      <alignment vertical="bottom"/>
    </xf>
    <xf borderId="4" fillId="3" fontId="3" numFmtId="164" xfId="0" applyAlignment="1" applyBorder="1" applyFont="1" applyNumberFormat="1">
      <alignment vertical="bottom"/>
    </xf>
    <xf borderId="1" fillId="3" fontId="3" numFmtId="0" xfId="0" applyAlignment="1" applyBorder="1" applyFont="1">
      <alignment vertical="bottom"/>
    </xf>
    <xf borderId="4" fillId="0" fontId="5" numFmtId="10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readingOrder="0" vertical="bottom"/>
    </xf>
    <xf borderId="4" fillId="0" fontId="5" numFmtId="3" xfId="0" applyAlignment="1" applyBorder="1" applyFont="1" applyNumberFormat="1">
      <alignment horizontal="right" readingOrder="0" vertical="bottom"/>
    </xf>
    <xf borderId="4" fillId="0" fontId="5" numFmtId="165" xfId="0" applyAlignment="1" applyBorder="1" applyFont="1" applyNumberFormat="1">
      <alignment horizontal="right" vertical="bottom"/>
    </xf>
    <xf borderId="4" fillId="0" fontId="5" numFmtId="165" xfId="0" applyAlignment="1" applyBorder="1" applyFont="1" applyNumberFormat="1">
      <alignment horizontal="right" readingOrder="0" vertical="bottom"/>
    </xf>
    <xf borderId="4" fillId="0" fontId="5" numFmtId="164" xfId="0" applyAlignment="1" applyBorder="1" applyFont="1" applyNumberFormat="1">
      <alignment horizontal="right" readingOrder="0" vertical="bottom"/>
    </xf>
    <xf borderId="4" fillId="4" fontId="5" numFmtId="166" xfId="0" applyAlignment="1" applyBorder="1" applyFill="1" applyFont="1" applyNumberFormat="1">
      <alignment horizontal="right" vertical="bottom"/>
    </xf>
    <xf borderId="4" fillId="0" fontId="0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horizontal="right" vertical="bottom"/>
    </xf>
    <xf borderId="4" fillId="4" fontId="5" numFmtId="167" xfId="0" applyAlignment="1" applyBorder="1" applyFont="1" applyNumberFormat="1">
      <alignment horizontal="right" vertical="bottom"/>
    </xf>
    <xf borderId="4" fillId="0" fontId="5" numFmtId="10" xfId="0" applyAlignment="1" applyBorder="1" applyFont="1" applyNumberFormat="1">
      <alignment readingOrder="0" vertical="bottom"/>
    </xf>
    <xf borderId="4" fillId="0" fontId="5" numFmtId="165" xfId="0" applyAlignment="1" applyBorder="1" applyFont="1" applyNumberFormat="1">
      <alignment readingOrder="0" vertical="bottom"/>
    </xf>
    <xf borderId="4" fillId="5" fontId="5" numFmtId="164" xfId="0" applyAlignment="1" applyBorder="1" applyFill="1" applyFont="1" applyNumberFormat="1">
      <alignment vertical="bottom"/>
    </xf>
    <xf borderId="4" fillId="0" fontId="5" numFmtId="165" xfId="0" applyAlignment="1" applyBorder="1" applyFont="1" applyNumberFormat="1">
      <alignment vertical="bottom"/>
    </xf>
    <xf borderId="4" fillId="0" fontId="5" numFmtId="168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1" fillId="2" fontId="4" numFmtId="10" xfId="0" applyBorder="1" applyFont="1" applyNumberFormat="1"/>
    <xf borderId="4" fillId="0" fontId="5" numFmtId="10" xfId="0" applyAlignment="1" applyBorder="1" applyFont="1" applyNumberFormat="1">
      <alignment vertical="bottom"/>
    </xf>
    <xf borderId="1" fillId="5" fontId="0" numFmtId="164" xfId="0" applyAlignment="1" applyBorder="1" applyFont="1" applyNumberFormat="1">
      <alignment horizontal="left" readingOrder="0"/>
    </xf>
    <xf borderId="4" fillId="0" fontId="5" numFmtId="168" xfId="0" applyAlignment="1" applyBorder="1" applyFont="1" applyNumberFormat="1">
      <alignment readingOrder="0" vertical="bottom"/>
    </xf>
    <xf borderId="4" fillId="0" fontId="5" numFmtId="164" xfId="0" applyAlignment="1" applyBorder="1" applyFont="1" applyNumberFormat="1">
      <alignment readingOrder="0" vertical="bottom"/>
    </xf>
    <xf borderId="3" fillId="0" fontId="5" numFmtId="0" xfId="0" applyAlignment="1" applyBorder="1" applyFont="1">
      <alignment vertical="bottom"/>
    </xf>
    <xf borderId="4" fillId="5" fontId="5" numFmtId="164" xfId="0" applyAlignment="1" applyBorder="1" applyFont="1" applyNumberFormat="1">
      <alignment readingOrder="0" vertical="bottom"/>
    </xf>
    <xf borderId="4" fillId="0" fontId="3" numFmtId="165" xfId="0" applyAlignment="1" applyBorder="1" applyFont="1" applyNumberFormat="1">
      <alignment readingOrder="0" vertical="bottom"/>
    </xf>
    <xf borderId="4" fillId="0" fontId="5" numFmtId="168" xfId="0" applyAlignment="1" applyBorder="1" applyFont="1" applyNumberFormat="1">
      <alignment horizontal="right" readingOrder="0" vertical="bottom"/>
    </xf>
    <xf borderId="4" fillId="5" fontId="3" numFmtId="0" xfId="0" applyAlignment="1" applyBorder="1" applyFont="1">
      <alignment readingOrder="0" vertical="bottom"/>
    </xf>
    <xf borderId="4" fillId="5" fontId="5" numFmtId="164" xfId="0" applyAlignment="1" applyBorder="1" applyFont="1" applyNumberFormat="1">
      <alignment horizontal="left" readingOrder="0" vertical="bottom"/>
    </xf>
    <xf borderId="4" fillId="5" fontId="3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4" fillId="0" fontId="5" numFmtId="10" xfId="0" applyAlignment="1" applyBorder="1" applyFont="1" applyNumberFormat="1">
      <alignment horizontal="right" readingOrder="0" vertical="bottom"/>
    </xf>
    <xf borderId="3" fillId="3" fontId="3" numFmtId="0" xfId="0" applyAlignment="1" applyBorder="1" applyFont="1">
      <alignment vertical="bottom"/>
    </xf>
    <xf borderId="4" fillId="3" fontId="3" numFmtId="165" xfId="0" applyAlignment="1" applyBorder="1" applyFont="1" applyNumberFormat="1">
      <alignment horizontal="right" vertical="bottom"/>
    </xf>
    <xf borderId="4" fillId="3" fontId="4" numFmtId="165" xfId="0" applyAlignment="1" applyBorder="1" applyFont="1" applyNumberFormat="1">
      <alignment horizontal="right" vertical="bottom"/>
    </xf>
    <xf borderId="4" fillId="3" fontId="4" numFmtId="10" xfId="0" applyAlignment="1" applyBorder="1" applyFont="1" applyNumberFormat="1">
      <alignment horizontal="right" vertical="bottom"/>
    </xf>
    <xf borderId="4" fillId="3" fontId="5" numFmtId="10" xfId="0" applyAlignment="1" applyBorder="1" applyFont="1" applyNumberFormat="1">
      <alignment vertical="bottom"/>
    </xf>
    <xf borderId="4" fillId="3" fontId="5" numFmtId="0" xfId="0" applyAlignment="1" applyBorder="1" applyFont="1">
      <alignment vertical="bottom"/>
    </xf>
    <xf borderId="4" fillId="3" fontId="5" numFmtId="164" xfId="0" applyAlignment="1" applyBorder="1" applyFont="1" applyNumberFormat="1">
      <alignment vertical="bottom"/>
    </xf>
    <xf borderId="3" fillId="3" fontId="5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4" fillId="2" fontId="3" numFmtId="10" xfId="0" applyAlignment="1" applyBorder="1" applyFont="1" applyNumberFormat="1">
      <alignment horizontal="right" vertical="bottom"/>
    </xf>
    <xf borderId="4" fillId="5" fontId="5" numFmtId="10" xfId="0" applyAlignment="1" applyBorder="1" applyFont="1" applyNumberFormat="1">
      <alignment vertical="bottom"/>
    </xf>
    <xf borderId="4" fillId="0" fontId="4" numFmtId="0" xfId="0" applyAlignment="1" applyBorder="1" applyFont="1">
      <alignment readingOrder="0" vertical="bottom"/>
    </xf>
    <xf borderId="4" fillId="5" fontId="5" numFmtId="3" xfId="0" applyAlignment="1" applyBorder="1" applyFont="1" applyNumberFormat="1">
      <alignment readingOrder="0" vertical="bottom"/>
    </xf>
    <xf borderId="4" fillId="5" fontId="0" numFmtId="164" xfId="0" applyAlignment="1" applyBorder="1" applyFont="1" applyNumberFormat="1">
      <alignment readingOrder="0" vertical="bottom"/>
    </xf>
    <xf borderId="4" fillId="5" fontId="5" numFmtId="10" xfId="0" applyAlignment="1" applyBorder="1" applyFont="1" applyNumberFormat="1">
      <alignment readingOrder="0" vertical="bottom"/>
    </xf>
    <xf borderId="3" fillId="5" fontId="3" numFmtId="0" xfId="0" applyAlignment="1" applyBorder="1" applyFont="1">
      <alignment vertical="bottom"/>
    </xf>
    <xf borderId="4" fillId="5" fontId="5" numFmtId="165" xfId="0" applyAlignment="1" applyBorder="1" applyFont="1" applyNumberFormat="1">
      <alignment horizontal="right" vertical="bottom"/>
    </xf>
    <xf borderId="4" fillId="5" fontId="0" numFmtId="0" xfId="0" applyAlignment="1" applyBorder="1" applyFont="1">
      <alignment readingOrder="0" vertical="bottom"/>
    </xf>
    <xf borderId="4" fillId="5" fontId="5" numFmtId="165" xfId="0" applyAlignment="1" applyBorder="1" applyFont="1" applyNumberFormat="1">
      <alignment readingOrder="0" vertical="bottom"/>
    </xf>
    <xf borderId="4" fillId="5" fontId="5" numFmtId="168" xfId="0" applyAlignment="1" applyBorder="1" applyFont="1" applyNumberFormat="1">
      <alignment readingOrder="0" vertical="bottom"/>
    </xf>
    <xf borderId="4" fillId="5" fontId="5" numFmtId="165" xfId="0" applyAlignment="1" applyBorder="1" applyFont="1" applyNumberFormat="1">
      <alignment horizontal="right" readingOrder="0" vertical="bottom"/>
    </xf>
    <xf borderId="4" fillId="3" fontId="5" numFmtId="3" xfId="0" applyAlignment="1" applyBorder="1" applyFont="1" applyNumberFormat="1">
      <alignment vertical="bottom"/>
    </xf>
    <xf borderId="4" fillId="3" fontId="4" numFmtId="165" xfId="0" applyAlignment="1" applyBorder="1" applyFont="1" applyNumberFormat="1">
      <alignment vertical="bottom"/>
    </xf>
    <xf borderId="4" fillId="3" fontId="3" numFmtId="10" xfId="0" applyAlignment="1" applyBorder="1" applyFont="1" applyNumberFormat="1">
      <alignment vertical="bottom"/>
    </xf>
    <xf borderId="4" fillId="5" fontId="5" numFmtId="165" xfId="0" applyAlignment="1" applyBorder="1" applyFont="1" applyNumberFormat="1">
      <alignment vertical="bottom"/>
    </xf>
    <xf borderId="4" fillId="5" fontId="0" numFmtId="165" xfId="0" applyAlignment="1" applyBorder="1" applyFont="1" applyNumberFormat="1">
      <alignment vertical="bottom"/>
    </xf>
    <xf borderId="4" fillId="5" fontId="0" numFmtId="164" xfId="0" applyAlignment="1" applyBorder="1" applyFont="1" applyNumberFormat="1">
      <alignment readingOrder="0" vertical="bottom"/>
    </xf>
    <xf borderId="4" fillId="5" fontId="0" numFmtId="164" xfId="0" applyAlignment="1" applyBorder="1" applyFont="1" applyNumberFormat="1">
      <alignment vertical="bottom"/>
    </xf>
    <xf borderId="4" fillId="5" fontId="4" numFmtId="0" xfId="0" applyAlignment="1" applyBorder="1" applyFont="1">
      <alignment readingOrder="0" vertical="bottom"/>
    </xf>
    <xf borderId="4" fillId="5" fontId="5" numFmtId="164" xfId="0" applyAlignment="1" applyBorder="1" applyFont="1" applyNumberFormat="1">
      <alignment vertical="bottom"/>
    </xf>
    <xf borderId="3" fillId="5" fontId="5" numFmtId="0" xfId="0" applyAlignment="1" applyBorder="1" applyFont="1">
      <alignment vertical="bottom"/>
    </xf>
    <xf borderId="4" fillId="5" fontId="0" numFmtId="165" xfId="0" applyAlignment="1" applyBorder="1" applyFont="1" applyNumberFormat="1">
      <alignment readingOrder="0" vertical="bottom"/>
    </xf>
    <xf borderId="4" fillId="5" fontId="5" numFmtId="164" xfId="0" applyAlignment="1" applyBorder="1" applyFont="1" applyNumberFormat="1">
      <alignment readingOrder="0" vertical="bottom"/>
    </xf>
    <xf borderId="4" fillId="3" fontId="5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2" fillId="2" fontId="1" numFmtId="10" xfId="0" applyAlignment="1" applyBorder="1" applyFont="1" applyNumberFormat="1">
      <alignment horizontal="right" vertical="bottom"/>
    </xf>
    <xf borderId="4" fillId="0" fontId="0" numFmtId="165" xfId="0" applyAlignment="1" applyBorder="1" applyFont="1" applyNumberFormat="1">
      <alignment horizontal="right" vertical="bottom"/>
    </xf>
    <xf borderId="4" fillId="0" fontId="5" numFmtId="3" xfId="0" applyAlignment="1" applyBorder="1" applyFont="1" applyNumberFormat="1">
      <alignment horizontal="right" vertical="bottom"/>
    </xf>
    <xf borderId="4" fillId="4" fontId="5" numFmtId="0" xfId="0" applyAlignment="1" applyBorder="1" applyFont="1">
      <alignment vertical="bottom"/>
    </xf>
    <xf borderId="4" fillId="0" fontId="0" numFmtId="164" xfId="0" applyAlignment="1" applyBorder="1" applyFont="1" applyNumberFormat="1">
      <alignment horizontal="right" readingOrder="0" vertical="bottom"/>
    </xf>
    <xf borderId="4" fillId="0" fontId="5" numFmtId="164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4" fillId="0" fontId="3" numFmtId="165" xfId="0" applyAlignment="1" applyBorder="1" applyFont="1" applyNumberFormat="1">
      <alignment horizontal="right" vertical="bottom"/>
    </xf>
    <xf borderId="4" fillId="0" fontId="0" numFmtId="164" xfId="0" applyAlignment="1" applyBorder="1" applyFont="1" applyNumberFormat="1">
      <alignment horizontal="right" readingOrder="0" vertical="bottom"/>
    </xf>
    <xf borderId="4" fillId="0" fontId="3" numFmtId="10" xfId="0" applyAlignment="1" applyBorder="1" applyFont="1" applyNumberFormat="1">
      <alignment horizontal="right" vertical="bottom"/>
    </xf>
    <xf borderId="4" fillId="4" fontId="6" numFmtId="166" xfId="0" applyAlignment="1" applyBorder="1" applyFont="1" applyNumberFormat="1">
      <alignment horizontal="right" vertical="bottom"/>
    </xf>
    <xf borderId="4" fillId="0" fontId="5" numFmtId="168" xfId="0" applyAlignment="1" applyBorder="1" applyFont="1" applyNumberFormat="1">
      <alignment horizontal="right" vertical="bottom"/>
    </xf>
    <xf borderId="4" fillId="5" fontId="4" numFmtId="0" xfId="0" applyAlignment="1" applyBorder="1" applyFont="1">
      <alignment vertical="bottom"/>
    </xf>
    <xf borderId="4" fillId="5" fontId="7" numFmtId="0" xfId="0" applyAlignment="1" applyBorder="1" applyFont="1">
      <alignment readingOrder="0" vertical="bottom"/>
    </xf>
    <xf borderId="4" fillId="0" fontId="5" numFmtId="3" xfId="0" applyAlignment="1" applyBorder="1" applyFont="1" applyNumberFormat="1">
      <alignment readingOrder="0" vertical="bottom"/>
    </xf>
    <xf borderId="4" fillId="4" fontId="5" numFmtId="166" xfId="0" applyAlignment="1" applyBorder="1" applyFont="1" applyNumberFormat="1">
      <alignment vertical="bottom"/>
    </xf>
    <xf borderId="1" fillId="0" fontId="0" numFmtId="165" xfId="0" applyAlignment="1" applyBorder="1" applyFont="1" applyNumberFormat="1">
      <alignment readingOrder="0"/>
    </xf>
    <xf borderId="4" fillId="0" fontId="8" numFmtId="164" xfId="0" applyAlignment="1" applyBorder="1" applyFont="1" applyNumberFormat="1">
      <alignment horizontal="right" vertical="bottom"/>
    </xf>
    <xf borderId="4" fillId="4" fontId="6" numFmtId="167" xfId="0" applyAlignment="1" applyBorder="1" applyFont="1" applyNumberFormat="1">
      <alignment horizontal="right" vertical="bottom"/>
    </xf>
    <xf borderId="4" fillId="0" fontId="8" numFmtId="165" xfId="0" applyAlignment="1" applyBorder="1" applyFont="1" applyNumberFormat="1">
      <alignment horizontal="right" vertical="bottom"/>
    </xf>
    <xf borderId="4" fillId="0" fontId="8" numFmtId="165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5" numFmtId="168" xfId="0" applyAlignment="1" applyBorder="1" applyFont="1" applyNumberFormat="1">
      <alignment horizontal="right" readingOrder="0" vertical="bottom"/>
    </xf>
    <xf borderId="1" fillId="0" fontId="5" numFmtId="165" xfId="0" applyAlignment="1" applyBorder="1" applyFont="1" applyNumberFormat="1">
      <alignment horizontal="right" readingOrder="0" vertical="bottom"/>
    </xf>
    <xf borderId="4" fillId="0" fontId="5" numFmtId="169" xfId="0" applyAlignment="1" applyBorder="1" applyFont="1" applyNumberFormat="1">
      <alignment readingOrder="0" vertical="bottom"/>
    </xf>
    <xf borderId="1" fillId="0" fontId="5" numFmtId="168" xfId="0" applyAlignment="1" applyBorder="1" applyFont="1" applyNumberFormat="1">
      <alignment readingOrder="0" vertical="bottom"/>
    </xf>
    <xf borderId="1" fillId="0" fontId="5" numFmtId="164" xfId="0" applyAlignment="1" applyBorder="1" applyFont="1" applyNumberFormat="1">
      <alignment horizontal="right" readingOrder="0" vertical="bottom"/>
    </xf>
    <xf borderId="1" fillId="0" fontId="5" numFmtId="170" xfId="0" applyAlignment="1" applyBorder="1" applyFont="1" applyNumberFormat="1">
      <alignment horizontal="right" readingOrder="0" vertical="bottom"/>
    </xf>
    <xf borderId="4" fillId="0" fontId="5" numFmtId="170" xfId="0" applyAlignment="1" applyBorder="1" applyFont="1" applyNumberFormat="1">
      <alignment horizontal="right" readingOrder="0" vertical="bottom"/>
    </xf>
    <xf borderId="1" fillId="0" fontId="0" numFmtId="170" xfId="0" applyAlignment="1" applyBorder="1" applyFont="1" applyNumberFormat="1">
      <alignment readingOrder="0"/>
    </xf>
    <xf borderId="4" fillId="0" fontId="8" numFmtId="170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10" xfId="0" applyAlignment="1" applyBorder="1" applyFont="1" applyNumberFormat="1">
      <alignment horizontal="right" vertical="bottom"/>
    </xf>
    <xf borderId="4" fillId="5" fontId="1" numFmtId="0" xfId="0" applyAlignment="1" applyBorder="1" applyFont="1">
      <alignment readingOrder="0" vertical="bottom"/>
    </xf>
    <xf borderId="4" fillId="5" fontId="1" numFmtId="0" xfId="0" applyAlignment="1" applyBorder="1" applyFont="1">
      <alignment horizontal="right" readingOrder="0" vertical="bottom"/>
    </xf>
    <xf borderId="4" fillId="0" fontId="2" numFmtId="3" xfId="0" applyAlignment="1" applyBorder="1" applyFont="1" applyNumberFormat="1">
      <alignment horizontal="right"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4" fillId="4" fontId="2" numFmtId="166" xfId="0" applyAlignment="1" applyBorder="1" applyFont="1" applyNumberFormat="1">
      <alignment horizontal="right" vertical="bottom"/>
    </xf>
    <xf borderId="1" fillId="0" fontId="0" numFmtId="164" xfId="0" applyAlignment="1" applyBorder="1" applyFont="1" applyNumberFormat="1">
      <alignment readingOrder="0"/>
    </xf>
    <xf borderId="4" fillId="0" fontId="2" numFmtId="164" xfId="0" applyAlignment="1" applyBorder="1" applyFont="1" applyNumberFormat="1">
      <alignment readingOrder="0" vertical="bottom"/>
    </xf>
    <xf borderId="4" fillId="0" fontId="2" numFmtId="10" xfId="0" applyAlignment="1" applyBorder="1" applyFont="1" applyNumberFormat="1">
      <alignment vertical="bottom"/>
    </xf>
    <xf borderId="4" fillId="0" fontId="2" numFmtId="165" xfId="0" applyAlignment="1" applyBorder="1" applyFont="1" applyNumberFormat="1">
      <alignment vertical="bottom"/>
    </xf>
    <xf borderId="4" fillId="0" fontId="2" numFmtId="164" xfId="0" applyAlignment="1" applyBorder="1" applyFont="1" applyNumberFormat="1">
      <alignment vertical="bottom"/>
    </xf>
    <xf borderId="4" fillId="0" fontId="1" numFmtId="0" xfId="0" applyAlignment="1" applyBorder="1" applyFont="1">
      <alignment readingOrder="0" vertical="bottom"/>
    </xf>
    <xf borderId="4" fillId="0" fontId="2" numFmtId="168" xfId="0" applyAlignment="1" applyBorder="1" applyFont="1" applyNumberFormat="1">
      <alignment readingOrder="0" vertical="bottom"/>
    </xf>
    <xf borderId="4" fillId="0" fontId="2" numFmtId="165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168" xfId="0" applyAlignment="1" applyBorder="1" applyFont="1" applyNumberFormat="1">
      <alignment horizontal="right" readingOrder="0" vertical="bottom"/>
    </xf>
    <xf borderId="2" fillId="0" fontId="2" numFmtId="171" xfId="0" applyAlignment="1" applyBorder="1" applyFont="1" applyNumberFormat="1">
      <alignment horizontal="right" readingOrder="0" vertical="bottom"/>
    </xf>
    <xf borderId="4" fillId="0" fontId="2" numFmtId="165" xfId="0" applyAlignment="1" applyBorder="1" applyFont="1" applyNumberFormat="1">
      <alignment horizontal="right" readingOrder="0" vertical="bottom"/>
    </xf>
    <xf borderId="4" fillId="0" fontId="2" numFmtId="170" xfId="0" applyAlignment="1" applyBorder="1" applyFont="1" applyNumberFormat="1">
      <alignment horizontal="right" readingOrder="0" vertical="bottom"/>
    </xf>
    <xf borderId="4" fillId="0" fontId="2" numFmtId="172" xfId="0" applyAlignment="1" applyBorder="1" applyFont="1" applyNumberFormat="1">
      <alignment readingOrder="0" vertical="bottom"/>
    </xf>
    <xf borderId="2" fillId="0" fontId="2" numFmtId="170" xfId="0" applyAlignment="1" applyBorder="1" applyFont="1" applyNumberFormat="1">
      <alignment horizontal="right" readingOrder="0" vertical="bottom"/>
    </xf>
    <xf borderId="2" fillId="0" fontId="9" numFmtId="164" xfId="0" applyAlignment="1" applyBorder="1" applyFont="1" applyNumberFormat="1">
      <alignment horizontal="right" readingOrder="0" vertical="bottom"/>
    </xf>
    <xf borderId="4" fillId="0" fontId="2" numFmtId="164" xfId="0" applyAlignment="1" applyBorder="1" applyFont="1" applyNumberFormat="1">
      <alignment readingOrder="0" vertical="bottom"/>
    </xf>
    <xf borderId="4" fillId="4" fontId="2" numFmtId="167" xfId="0" applyAlignment="1" applyBorder="1" applyFont="1" applyNumberFormat="1">
      <alignment horizontal="right" vertical="bottom"/>
    </xf>
    <xf borderId="4" fillId="0" fontId="2" numFmtId="170" xfId="0" applyAlignment="1" applyBorder="1" applyFont="1" applyNumberFormat="1">
      <alignment readingOrder="0" vertical="bottom"/>
    </xf>
    <xf borderId="4" fillId="0" fontId="2" numFmtId="164" xfId="0" applyAlignment="1" applyBorder="1" applyFont="1" applyNumberFormat="1">
      <alignment horizontal="right" readingOrder="0" vertical="bottom"/>
    </xf>
    <xf borderId="2" fillId="0" fontId="9" numFmtId="164" xfId="0" applyAlignment="1" applyBorder="1" applyFont="1" applyNumberFormat="1">
      <alignment horizontal="right" readingOrder="0" vertical="bottom"/>
    </xf>
    <xf borderId="2" fillId="4" fontId="2" numFmtId="167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9" numFmtId="170" xfId="0" applyAlignment="1" applyBorder="1" applyFont="1" applyNumberFormat="1">
      <alignment horizontal="right" readingOrder="0" vertical="bottom"/>
    </xf>
    <xf borderId="4" fillId="0" fontId="2" numFmtId="171" xfId="0" applyAlignment="1" applyBorder="1" applyFont="1" applyNumberFormat="1">
      <alignment readingOrder="0" vertical="bottom"/>
    </xf>
    <xf borderId="4" fillId="0" fontId="2" numFmtId="173" xfId="0" applyAlignment="1" applyBorder="1" applyFont="1" applyNumberFormat="1">
      <alignment horizontal="right" readingOrder="0" vertical="bottom"/>
    </xf>
    <xf borderId="2" fillId="0" fontId="9" numFmtId="174" xfId="0" applyAlignment="1" applyBorder="1" applyFont="1" applyNumberFormat="1">
      <alignment horizontal="right" readingOrder="0" vertical="bottom"/>
    </xf>
    <xf borderId="4" fillId="0" fontId="2" numFmtId="174" xfId="0" applyAlignment="1" applyBorder="1" applyFont="1" applyNumberFormat="1">
      <alignment readingOrder="0" vertical="bottom"/>
    </xf>
    <xf borderId="4" fillId="0" fontId="2" numFmtId="173" xfId="0" applyAlignment="1" applyBorder="1" applyFont="1" applyNumberFormat="1">
      <alignment readingOrder="0" vertical="bottom"/>
    </xf>
    <xf borderId="2" fillId="0" fontId="2" numFmtId="173" xfId="0" applyAlignment="1" applyBorder="1" applyFont="1" applyNumberFormat="1">
      <alignment horizontal="right" readingOrder="0" vertical="bottom"/>
    </xf>
    <xf borderId="2" fillId="4" fontId="2" numFmtId="166" xfId="0" applyAlignment="1" applyBorder="1" applyFont="1" applyNumberFormat="1">
      <alignment horizontal="right" vertical="bottom"/>
    </xf>
    <xf borderId="2" fillId="0" fontId="9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readingOrder="0" vertical="bottom"/>
    </xf>
    <xf borderId="2" fillId="0" fontId="2" numFmtId="165" xfId="0" applyAlignment="1" applyBorder="1" applyFont="1" applyNumberFormat="1">
      <alignment horizontal="right" vertical="bottom"/>
    </xf>
    <xf borderId="2" fillId="5" fontId="1" numFmtId="0" xfId="0" applyAlignment="1" applyBorder="1" applyFont="1">
      <alignment vertical="bottom"/>
    </xf>
    <xf borderId="2" fillId="5" fontId="1" numFmtId="0" xfId="0" applyAlignment="1" applyBorder="1" applyFont="1">
      <alignment horizontal="right" readingOrder="0" vertical="bottom"/>
    </xf>
    <xf borderId="4" fillId="5" fontId="10" numFmtId="164" xfId="0" applyAlignment="1" applyBorder="1" applyFont="1" applyNumberFormat="1">
      <alignment readingOrder="0"/>
    </xf>
    <xf borderId="2" fillId="0" fontId="1" numFmtId="0" xfId="0" applyAlignment="1" applyBorder="1" applyFont="1">
      <alignment vertical="bottom"/>
    </xf>
    <xf borderId="2" fillId="0" fontId="2" numFmtId="168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0" xfId="0" applyAlignment="1" applyBorder="1" applyFont="1" applyNumberFormat="1">
      <alignment horizontal="right" vertical="bottom"/>
    </xf>
    <xf borderId="2" fillId="0" fontId="2" numFmtId="3" xfId="0" applyAlignment="1" applyBorder="1" applyFont="1" applyNumberFormat="1">
      <alignment horizontal="right" readingOrder="0"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10" xfId="0" applyAlignment="1" applyBorder="1" applyFont="1" applyNumberFormat="1">
      <alignment vertical="bottom"/>
    </xf>
    <xf borderId="2" fillId="0" fontId="2" numFmtId="165" xfId="0" applyAlignment="1" applyBorder="1" applyFont="1" applyNumberFormat="1">
      <alignment vertical="bottom"/>
    </xf>
    <xf borderId="1" fillId="5" fontId="10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168" xfId="0" applyAlignment="1" applyBorder="1" applyFont="1" applyNumberFormat="1">
      <alignment readingOrder="0" vertical="bottom"/>
    </xf>
    <xf borderId="1" fillId="3" fontId="5" numFmtId="0" xfId="0" applyAlignment="1" applyBorder="1" applyFont="1">
      <alignment vertical="bottom"/>
    </xf>
    <xf borderId="4" fillId="3" fontId="5" numFmtId="165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4" fillId="2" fontId="3" numFmtId="165" xfId="0" applyAlignment="1" applyBorder="1" applyFont="1" applyNumberFormat="1">
      <alignment horizontal="right" vertical="bottom"/>
    </xf>
    <xf borderId="4" fillId="2" fontId="3" numFmtId="165" xfId="0" applyAlignment="1" applyBorder="1" applyFont="1" applyNumberFormat="1">
      <alignment horizontal="right" readingOrder="0" vertical="bottom"/>
    </xf>
    <xf borderId="1" fillId="5" fontId="11" numFmtId="0" xfId="0" applyAlignment="1" applyBorder="1" applyFont="1">
      <alignment readingOrder="0"/>
    </xf>
    <xf borderId="4" fillId="4" fontId="5" numFmtId="167" xfId="0" applyAlignment="1" applyBorder="1" applyFont="1" applyNumberFormat="1">
      <alignment vertical="bottom"/>
    </xf>
    <xf borderId="0" fillId="4" fontId="12" numFmtId="167" xfId="0" applyFont="1" applyNumberFormat="1"/>
    <xf borderId="4" fillId="2" fontId="5" numFmtId="167" xfId="0" applyAlignment="1" applyBorder="1" applyFont="1" applyNumberFormat="1">
      <alignment vertical="bottom"/>
    </xf>
    <xf borderId="4" fillId="2" fontId="5" numFmtId="167" xfId="0" applyAlignment="1" applyBorder="1" applyFont="1" applyNumberFormat="1">
      <alignment horizontal="right" vertical="bottom"/>
    </xf>
    <xf borderId="4" fillId="2" fontId="5" numFmtId="165" xfId="0" applyAlignment="1" applyBorder="1" applyFont="1" applyNumberFormat="1">
      <alignment vertical="bottom"/>
    </xf>
    <xf borderId="4" fillId="2" fontId="3" numFmtId="165" xfId="0" applyAlignment="1" applyBorder="1" applyFont="1" applyNumberFormat="1">
      <alignment readingOrder="0" vertical="bottom"/>
    </xf>
    <xf borderId="4" fillId="5" fontId="5" numFmtId="0" xfId="0" applyAlignment="1" applyBorder="1" applyFont="1">
      <alignment horizontal="right" readingOrder="0" vertical="bottom"/>
    </xf>
    <xf borderId="4" fillId="2" fontId="3" numFmtId="0" xfId="0" applyAlignment="1" applyBorder="1" applyFont="1">
      <alignment readingOrder="0" vertical="bottom"/>
    </xf>
    <xf borderId="4" fillId="3" fontId="3" numFmtId="10" xfId="0" applyAlignment="1" applyBorder="1" applyFont="1" applyNumberFormat="1">
      <alignment horizontal="right" vertical="bottom"/>
    </xf>
    <xf borderId="4" fillId="3" fontId="3" numFmtId="165" xfId="0" applyAlignment="1" applyBorder="1" applyFont="1" applyNumberFormat="1">
      <alignment horizontal="right" readingOrder="0" vertical="bottom"/>
    </xf>
    <xf borderId="4" fillId="3" fontId="3" numFmtId="165" xfId="0" applyAlignment="1" applyBorder="1" applyFont="1" applyNumberFormat="1">
      <alignment readingOrder="0" vertical="bottom"/>
    </xf>
    <xf borderId="1" fillId="3" fontId="3" numFmtId="165" xfId="0" applyAlignment="1" applyBorder="1" applyFont="1" applyNumberFormat="1">
      <alignment readingOrder="0" vertical="bottom"/>
    </xf>
    <xf borderId="6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6" fillId="0" fontId="5" numFmtId="0" xfId="0" applyAlignment="1" applyBorder="1" applyFont="1">
      <alignment vertical="bottom"/>
    </xf>
    <xf borderId="0" fillId="5" fontId="13" numFmtId="0" xfId="0" applyAlignment="1" applyFont="1">
      <alignment readingOrder="0" vertical="bottom"/>
    </xf>
    <xf borderId="3" fillId="6" fontId="3" numFmtId="0" xfId="0" applyAlignment="1" applyBorder="1" applyFill="1" applyFont="1">
      <alignment vertical="bottom"/>
    </xf>
    <xf borderId="4" fillId="6" fontId="5" numFmtId="0" xfId="0" applyAlignment="1" applyBorder="1" applyFont="1">
      <alignment vertical="bottom"/>
    </xf>
    <xf borderId="4" fillId="6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0" fillId="5" fontId="3" numFmtId="0" xfId="0" applyAlignment="1" applyFont="1">
      <alignment readingOrder="0" vertical="bottom"/>
    </xf>
    <xf borderId="1" fillId="3" fontId="13" numFmtId="0" xfId="0" applyAlignment="1" applyBorder="1" applyFont="1">
      <alignment readingOrder="0" vertical="bottom"/>
    </xf>
    <xf borderId="4" fillId="0" fontId="4" numFmtId="3" xfId="0" applyAlignment="1" applyBorder="1" applyFont="1" applyNumberFormat="1">
      <alignment horizontal="right" readingOrder="0" vertical="bottom"/>
    </xf>
    <xf borderId="4" fillId="0" fontId="4" numFmtId="3" xfId="0" applyAlignment="1" applyBorder="1" applyFont="1" applyNumberFormat="1">
      <alignment horizontal="right" vertical="bottom"/>
    </xf>
    <xf borderId="4" fillId="0" fontId="3" numFmtId="4" xfId="0" applyAlignment="1" applyBorder="1" applyFont="1" applyNumberFormat="1">
      <alignment horizontal="right" vertical="bottom"/>
    </xf>
    <xf borderId="4" fillId="4" fontId="3" numFmtId="167" xfId="0" applyAlignment="1" applyBorder="1" applyFont="1" applyNumberFormat="1">
      <alignment horizontal="right" vertical="bottom"/>
    </xf>
    <xf borderId="7" fillId="5" fontId="14" numFmtId="166" xfId="0" applyAlignment="1" applyBorder="1" applyFont="1" applyNumberFormat="1">
      <alignment horizontal="left"/>
    </xf>
    <xf borderId="1" fillId="2" fontId="15" numFmtId="3" xfId="0" applyAlignment="1" applyBorder="1" applyFont="1" applyNumberFormat="1">
      <alignment readingOrder="0"/>
    </xf>
    <xf borderId="1" fillId="0" fontId="15" numFmtId="0" xfId="0" applyAlignment="1" applyBorder="1" applyFont="1">
      <alignment readingOrder="0"/>
    </xf>
    <xf borderId="1" fillId="0" fontId="16" numFmtId="168" xfId="0" applyAlignment="1" applyBorder="1" applyFont="1" applyNumberFormat="1">
      <alignment readingOrder="0"/>
    </xf>
    <xf borderId="1" fillId="0" fontId="16" numFmtId="164" xfId="0" applyAlignment="1" applyBorder="1" applyFont="1" applyNumberFormat="1">
      <alignment readingOrder="0"/>
    </xf>
    <xf borderId="1" fillId="0" fontId="16" numFmtId="165" xfId="0" applyAlignment="1" applyBorder="1" applyFont="1" applyNumberFormat="1">
      <alignment readingOrder="0"/>
    </xf>
    <xf borderId="1" fillId="2" fontId="17" numFmtId="0" xfId="0" applyAlignment="1" applyBorder="1" applyFont="1">
      <alignment readingOrder="0" vertical="bottom"/>
    </xf>
    <xf borderId="1" fillId="0" fontId="5" numFmtId="164" xfId="0" applyAlignment="1" applyBorder="1" applyFont="1" applyNumberFormat="1">
      <alignment readingOrder="0" vertical="bottom"/>
    </xf>
    <xf borderId="1" fillId="0" fontId="5" numFmtId="164" xfId="0" applyAlignment="1" applyBorder="1" applyFont="1" applyNumberFormat="1">
      <alignment readingOrder="0" vertical="bottom"/>
    </xf>
    <xf borderId="1" fillId="0" fontId="5" numFmtId="165" xfId="0" applyAlignment="1" applyBorder="1" applyFont="1" applyNumberFormat="1">
      <alignment readingOrder="0" vertical="bottom"/>
    </xf>
    <xf borderId="1" fillId="2" fontId="3" numFmtId="3" xfId="0" applyAlignment="1" applyBorder="1" applyFont="1" applyNumberFormat="1">
      <alignment readingOrder="0"/>
    </xf>
    <xf borderId="1" fillId="5" fontId="3" numFmtId="0" xfId="0" applyAlignment="1" applyBorder="1" applyFont="1">
      <alignment readingOrder="0"/>
    </xf>
    <xf borderId="1" fillId="5" fontId="16" numFmtId="168" xfId="0" applyAlignment="1" applyBorder="1" applyFont="1" applyNumberFormat="1">
      <alignment readingOrder="0"/>
    </xf>
    <xf borderId="1" fillId="5" fontId="16" numFmtId="164" xfId="0" applyAlignment="1" applyBorder="1" applyFont="1" applyNumberFormat="1">
      <alignment readingOrder="0"/>
    </xf>
    <xf borderId="1" fillId="5" fontId="16" numFmtId="165" xfId="0" applyAlignment="1" applyBorder="1" applyFont="1" applyNumberFormat="1">
      <alignment readingOrder="0"/>
    </xf>
    <xf borderId="1" fillId="5" fontId="16" numFmtId="164" xfId="0" applyAlignment="1" applyBorder="1" applyFont="1" applyNumberFormat="1">
      <alignment readingOrder="0"/>
    </xf>
    <xf borderId="1" fillId="2" fontId="5" numFmtId="0" xfId="0" applyAlignment="1" applyBorder="1" applyFont="1">
      <alignment vertical="bottom"/>
    </xf>
    <xf borderId="1" fillId="2" fontId="3" numFmtId="3" xfId="0" applyAlignment="1" applyBorder="1" applyFont="1" applyNumberFormat="1">
      <alignment readingOrder="0" vertical="bottom"/>
    </xf>
    <xf borderId="1" fillId="6" fontId="1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6" fontId="1" numFmtId="0" xfId="0" applyAlignment="1" applyBorder="1" applyFont="1">
      <alignment readingOrder="0" vertical="bottom"/>
    </xf>
    <xf borderId="1" fillId="2" fontId="16" numFmtId="0" xfId="0" applyBorder="1" applyFont="1"/>
    <xf borderId="1" fillId="0" fontId="16" numFmtId="164" xfId="0" applyAlignment="1" applyBorder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8" numFmtId="3" xfId="0" applyAlignment="1" applyBorder="1" applyFont="1" applyNumberFormat="1">
      <alignment horizontal="right" readingOrder="0" vertical="bottom"/>
    </xf>
    <xf borderId="1" fillId="0" fontId="18" numFmtId="3" xfId="0" applyAlignment="1" applyBorder="1" applyFont="1" applyNumberFormat="1">
      <alignment horizontal="right" vertical="bottom"/>
    </xf>
    <xf borderId="1" fillId="0" fontId="1" numFmtId="4" xfId="0" applyAlignment="1" applyBorder="1" applyFont="1" applyNumberFormat="1">
      <alignment horizontal="right" vertical="bottom"/>
    </xf>
    <xf borderId="1" fillId="4" fontId="1" numFmtId="167" xfId="0" applyAlignment="1" applyBorder="1" applyFont="1" applyNumberFormat="1">
      <alignment horizontal="right" vertical="bottom"/>
    </xf>
    <xf borderId="1" fillId="0" fontId="16" numFmtId="0" xfId="0" applyAlignment="1" applyBorder="1" applyFont="1">
      <alignment readingOrder="0"/>
    </xf>
    <xf borderId="1" fillId="5" fontId="15" numFmtId="0" xfId="0" applyAlignment="1" applyBorder="1" applyFont="1">
      <alignment readingOrder="0"/>
    </xf>
    <xf borderId="1" fillId="3" fontId="15" numFmtId="0" xfId="0" applyAlignment="1" applyBorder="1" applyFont="1">
      <alignment readingOrder="0"/>
    </xf>
    <xf borderId="1" fillId="3" fontId="16" numFmtId="0" xfId="0" applyBorder="1" applyFont="1"/>
    <xf borderId="1" fillId="3" fontId="15" numFmtId="165" xfId="0" applyBorder="1" applyFont="1" applyNumberFormat="1"/>
    <xf borderId="1" fillId="3" fontId="16" numFmtId="164" xfId="0" applyBorder="1" applyFont="1" applyNumberFormat="1"/>
    <xf borderId="0" fillId="0" fontId="1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6" numFmtId="168" xfId="0" applyAlignment="1" applyBorder="1" applyFont="1" applyNumberFormat="1">
      <alignment horizontal="right" readingOrder="0"/>
    </xf>
    <xf borderId="0" fillId="0" fontId="20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15" numFmtId="165" xfId="0" applyAlignment="1" applyFont="1" applyNumberFormat="1">
      <alignment readingOrder="0"/>
    </xf>
    <xf borderId="0" fillId="0" fontId="22" numFmtId="0" xfId="0" applyAlignment="1" applyFont="1">
      <alignment readingOrder="0"/>
    </xf>
    <xf borderId="1" fillId="2" fontId="23" numFmtId="3" xfId="0" applyAlignment="1" applyBorder="1" applyFont="1" applyNumberFormat="1">
      <alignment readingOrder="0"/>
    </xf>
    <xf borderId="1" fillId="2" fontId="24" numFmtId="3" xfId="0" applyAlignment="1" applyBorder="1" applyFont="1" applyNumberFormat="1">
      <alignment readingOrder="0"/>
    </xf>
    <xf borderId="1" fillId="2" fontId="24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1" fillId="2" fontId="15" numFmtId="0" xfId="0" applyAlignment="1" applyBorder="1" applyFont="1">
      <alignment readingOrder="0"/>
    </xf>
    <xf borderId="1" fillId="2" fontId="25" numFmtId="3" xfId="0" applyAlignment="1" applyBorder="1" applyFont="1" applyNumberFormat="1">
      <alignment readingOrder="0"/>
    </xf>
    <xf borderId="1" fillId="0" fontId="16" numFmtId="0" xfId="0" applyBorder="1" applyFont="1"/>
    <xf borderId="1" fillId="0" fontId="16" numFmtId="164" xfId="0" applyBorder="1" applyFont="1" applyNumberFormat="1"/>
    <xf borderId="1" fillId="2" fontId="16" numFmtId="3" xfId="0" applyBorder="1" applyFont="1" applyNumberFormat="1"/>
    <xf borderId="1" fillId="3" fontId="15" numFmtId="0" xfId="0" applyBorder="1" applyFont="1"/>
    <xf borderId="4" fillId="0" fontId="5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4" fillId="3" fontId="4" numFmtId="165" xfId="0" applyAlignment="1" applyBorder="1" applyFont="1" applyNumberFormat="1">
      <alignment horizontal="right" readingOrder="0" vertical="bottom"/>
    </xf>
    <xf borderId="4" fillId="0" fontId="4" numFmtId="0" xfId="0" applyAlignment="1" applyBorder="1" applyFont="1">
      <alignment vertical="bottom"/>
    </xf>
    <xf borderId="4" fillId="2" fontId="3" numFmtId="10" xfId="0" applyAlignment="1" applyBorder="1" applyFont="1" applyNumberFormat="1">
      <alignment vertical="bottom"/>
    </xf>
    <xf borderId="4" fillId="4" fontId="26" numFmtId="166" xfId="0" applyAlignment="1" applyBorder="1" applyFont="1" applyNumberFormat="1">
      <alignment vertical="bottom"/>
    </xf>
    <xf borderId="4" fillId="4" fontId="26" numFmtId="167" xfId="0" applyAlignment="1" applyBorder="1" applyFont="1" applyNumberFormat="1">
      <alignment vertical="bottom"/>
    </xf>
    <xf borderId="1" fillId="5" fontId="0" numFmtId="164" xfId="0" applyAlignment="1" applyBorder="1" applyFont="1" applyNumberFormat="1">
      <alignment readingOrder="0" vertical="bottom"/>
    </xf>
    <xf borderId="1" fillId="5" fontId="5" numFmtId="165" xfId="0" applyAlignment="1" applyBorder="1" applyFont="1" applyNumberFormat="1">
      <alignment readingOrder="0" vertical="bottom"/>
    </xf>
    <xf borderId="4" fillId="5" fontId="5" numFmtId="0" xfId="0" applyAlignment="1" applyBorder="1" applyFont="1">
      <alignment vertical="bottom"/>
    </xf>
    <xf borderId="1" fillId="5" fontId="0" numFmtId="0" xfId="0" applyAlignment="1" applyBorder="1" applyFont="1">
      <alignment horizontal="left" readingOrder="0"/>
    </xf>
    <xf borderId="4" fillId="5" fontId="5" numFmtId="175" xfId="0" applyAlignment="1" applyBorder="1" applyFont="1" applyNumberFormat="1">
      <alignment readingOrder="0" vertical="bottom"/>
    </xf>
    <xf borderId="4" fillId="3" fontId="4" numFmtId="165" xfId="0" applyAlignment="1" applyBorder="1" applyFont="1" applyNumberFormat="1">
      <alignment readingOrder="0" vertical="bottom"/>
    </xf>
    <xf borderId="4" fillId="5" fontId="3" numFmtId="165" xfId="0" applyAlignment="1" applyBorder="1" applyFont="1" applyNumberFormat="1">
      <alignment horizontal="right" vertical="bottom"/>
    </xf>
    <xf borderId="2" fillId="0" fontId="2" numFmtId="168" xfId="0" applyAlignment="1" applyBorder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4" fillId="0" fontId="0" numFmtId="165" xfId="0" applyAlignment="1" applyBorder="1" applyFont="1" applyNumberFormat="1">
      <alignment horizontal="right"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readingOrder="0" vertical="bottom"/>
    </xf>
    <xf borderId="4" fillId="3" fontId="3" numFmtId="3" xfId="0" applyAlignment="1" applyBorder="1" applyFont="1" applyNumberFormat="1">
      <alignment vertical="bottom"/>
    </xf>
    <xf borderId="4" fillId="3" fontId="3" numFmtId="168" xfId="0" applyAlignment="1" applyBorder="1" applyFont="1" applyNumberFormat="1">
      <alignment vertical="bottom"/>
    </xf>
    <xf borderId="4" fillId="5" fontId="0" numFmtId="164" xfId="0" applyAlignment="1" applyBorder="1" applyFont="1" applyNumberFormat="1">
      <alignment horizontal="left" readingOrder="0"/>
    </xf>
    <xf borderId="4" fillId="0" fontId="8" numFmtId="164" xfId="0" applyAlignment="1" applyBorder="1" applyFont="1" applyNumberFormat="1">
      <alignment horizontal="right" readingOrder="0" vertical="bottom"/>
    </xf>
    <xf borderId="4" fillId="5" fontId="1" numFmtId="0" xfId="0" applyAlignment="1" applyBorder="1" applyFont="1">
      <alignment vertical="bottom"/>
    </xf>
    <xf borderId="4" fillId="0" fontId="2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2" numFmtId="168" xfId="0" applyAlignment="1" applyBorder="1" applyFont="1" applyNumberFormat="1">
      <alignment horizontal="right" readingOrder="0" vertical="bottom"/>
    </xf>
    <xf borderId="4" fillId="0" fontId="5" numFmtId="164" xfId="0" applyAlignment="1" applyBorder="1" applyFont="1" applyNumberFormat="1">
      <alignment readingOrder="0" vertical="bottom"/>
    </xf>
    <xf borderId="4" fillId="5" fontId="0" numFmtId="0" xfId="0" applyAlignment="1" applyBorder="1" applyFont="1">
      <alignment vertical="bottom"/>
    </xf>
    <xf borderId="3" fillId="3" fontId="13" numFmtId="0" xfId="0" applyAlignment="1" applyBorder="1" applyFont="1">
      <alignment readingOrder="0" vertical="bottom"/>
    </xf>
    <xf borderId="4" fillId="3" fontId="13" numFmtId="0" xfId="0" applyAlignment="1" applyBorder="1" applyFont="1">
      <alignment readingOrder="0" vertical="bottom"/>
    </xf>
    <xf borderId="4" fillId="0" fontId="8" numFmtId="164" xfId="0" applyAlignment="1" applyBorder="1" applyFont="1" applyNumberFormat="1">
      <alignment horizontal="right" readingOrder="0" vertical="bottom"/>
    </xf>
    <xf borderId="4" fillId="5" fontId="7" numFmtId="0" xfId="0" applyAlignment="1" applyBorder="1" applyFont="1">
      <alignment vertical="bottom"/>
    </xf>
    <xf borderId="1" fillId="0" fontId="5" numFmtId="171" xfId="0" applyAlignment="1" applyBorder="1" applyFont="1" applyNumberFormat="1">
      <alignment horizontal="right" readingOrder="0" vertical="bottom"/>
    </xf>
    <xf borderId="1" fillId="0" fontId="0" numFmtId="171" xfId="0" applyAlignment="1" applyBorder="1" applyFont="1" applyNumberFormat="1">
      <alignment readingOrder="0"/>
    </xf>
    <xf borderId="4" fillId="0" fontId="8" numFmtId="171" xfId="0" applyAlignment="1" applyBorder="1" applyFont="1" applyNumberFormat="1">
      <alignment horizontal="right" readingOrder="0" vertical="bottom"/>
    </xf>
    <xf borderId="4" fillId="0" fontId="5" numFmtId="171" xfId="0" applyAlignment="1" applyBorder="1" applyFont="1" applyNumberFormat="1">
      <alignment horizontal="right" readingOrder="0" vertical="bottom"/>
    </xf>
    <xf borderId="4" fillId="0" fontId="2" numFmtId="168" xfId="0" applyAlignment="1" applyBorder="1" applyFont="1" applyNumberFormat="1">
      <alignment vertical="bottom"/>
    </xf>
    <xf borderId="4" fillId="0" fontId="2" numFmtId="3" xfId="0" applyAlignment="1" applyBorder="1" applyFont="1" applyNumberFormat="1">
      <alignment horizontal="right" vertical="bottom"/>
    </xf>
    <xf borderId="4" fillId="0" fontId="2" numFmtId="165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4" fillId="0" fontId="9" numFmtId="164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4" fillId="0" fontId="2" numFmtId="168" xfId="0" applyAlignment="1" applyBorder="1" applyFont="1" applyNumberFormat="1">
      <alignment horizontal="right" vertical="bottom"/>
    </xf>
    <xf borderId="1" fillId="2" fontId="13" numFmtId="3" xfId="0" applyAlignment="1" applyBorder="1" applyFont="1" applyNumberFormat="1">
      <alignment readingOrder="0" vertical="bottom"/>
    </xf>
    <xf borderId="1" fillId="0" fontId="16" numFmtId="0" xfId="0" applyAlignment="1" applyBorder="1" applyFont="1">
      <alignment horizontal="right" readingOrder="0"/>
    </xf>
    <xf borderId="4" fillId="3" fontId="4" numFmtId="164" xfId="0" applyAlignment="1" applyBorder="1" applyFont="1" applyNumberFormat="1">
      <alignment readingOrder="0" vertical="bottom"/>
    </xf>
    <xf borderId="1" fillId="5" fontId="3" numFmtId="10" xfId="0" applyAlignment="1" applyBorder="1" applyFont="1" applyNumberFormat="1">
      <alignment horizontal="right" vertical="bottom"/>
    </xf>
    <xf borderId="4" fillId="5" fontId="5" numFmtId="164" xfId="0" applyAlignment="1" applyBorder="1" applyFont="1" applyNumberFormat="1">
      <alignment horizontal="right" readingOrder="0" vertical="bottom"/>
    </xf>
    <xf borderId="4" fillId="0" fontId="5" numFmtId="164" xfId="0" applyAlignment="1" applyBorder="1" applyFont="1" applyNumberFormat="1">
      <alignment horizontal="left" readingOrder="0" vertical="bottom"/>
    </xf>
    <xf borderId="4" fillId="0" fontId="3" numFmtId="168" xfId="0" applyAlignment="1" applyBorder="1" applyFont="1" applyNumberFormat="1">
      <alignment horizontal="right" readingOrder="0" vertical="bottom"/>
    </xf>
    <xf borderId="4" fillId="0" fontId="3" numFmtId="168" xfId="0" applyAlignment="1" applyBorder="1" applyFont="1" applyNumberFormat="1">
      <alignment readingOrder="0" vertical="bottom"/>
    </xf>
    <xf borderId="3" fillId="2" fontId="5" numFmtId="0" xfId="0" applyAlignment="1" applyBorder="1" applyFont="1">
      <alignment vertical="bottom"/>
    </xf>
    <xf borderId="1" fillId="2" fontId="3" numFmtId="0" xfId="0" applyAlignment="1" applyBorder="1" applyFont="1">
      <alignment readingOrder="0"/>
    </xf>
    <xf borderId="1" fillId="5" fontId="16" numFmtId="0" xfId="0" applyBorder="1" applyFont="1"/>
    <xf borderId="1" fillId="5" fontId="16" numFmtId="164" xfId="0" applyBorder="1" applyFont="1" applyNumberFormat="1"/>
    <xf borderId="1" fillId="2" fontId="25" numFmtId="0" xfId="0" applyAlignment="1" applyBorder="1" applyFont="1">
      <alignment readingOrder="0"/>
    </xf>
    <xf borderId="0" fillId="5" fontId="25" numFmtId="0" xfId="0" applyAlignment="1" applyFont="1">
      <alignment readingOrder="0"/>
    </xf>
    <xf borderId="4" fillId="3" fontId="4" numFmtId="164" xfId="0" applyAlignment="1" applyBorder="1" applyFont="1" applyNumberFormat="1">
      <alignment readingOrder="0" vertical="bottom"/>
    </xf>
    <xf borderId="3" fillId="2" fontId="3" numFmtId="10" xfId="0" applyAlignment="1" applyBorder="1" applyFont="1" applyNumberFormat="1">
      <alignment horizontal="right" vertical="bottom"/>
    </xf>
    <xf borderId="1" fillId="5" fontId="0" numFmtId="164" xfId="0" applyAlignment="1" applyBorder="1" applyFont="1" applyNumberFormat="1">
      <alignment horizontal="right" readingOrder="0" vertical="bottom"/>
    </xf>
    <xf borderId="4" fillId="0" fontId="18" numFmtId="0" xfId="0" applyAlignment="1" applyBorder="1" applyFont="1">
      <alignment readingOrder="0" vertical="bottom"/>
    </xf>
    <xf borderId="4" fillId="5" fontId="5" numFmtId="10" xfId="0" applyAlignment="1" applyBorder="1" applyFont="1" applyNumberFormat="1">
      <alignment horizontal="right" vertical="bottom"/>
    </xf>
    <xf borderId="4" fillId="5" fontId="5" numFmtId="3" xfId="0" applyAlignment="1" applyBorder="1" applyFont="1" applyNumberFormat="1">
      <alignment horizontal="right" readingOrder="0" vertical="bottom"/>
    </xf>
    <xf borderId="4" fillId="5" fontId="0" numFmtId="165" xfId="0" applyAlignment="1" applyBorder="1" applyFont="1" applyNumberFormat="1">
      <alignment horizontal="right" readingOrder="0" vertical="bottom"/>
    </xf>
    <xf borderId="4" fillId="5" fontId="0" numFmtId="164" xfId="0" applyAlignment="1" applyBorder="1" applyFont="1" applyNumberFormat="1">
      <alignment horizontal="right" readingOrder="0" vertical="bottom"/>
    </xf>
    <xf borderId="4" fillId="4" fontId="27" numFmtId="166" xfId="0" applyAlignment="1" applyBorder="1" applyFont="1" applyNumberFormat="1">
      <alignment horizontal="right" vertical="bottom"/>
    </xf>
    <xf borderId="4" fillId="4" fontId="27" numFmtId="167" xfId="0" applyAlignment="1" applyBorder="1" applyFont="1" applyNumberFormat="1">
      <alignment horizontal="right" vertical="bottom"/>
    </xf>
    <xf borderId="4" fillId="5" fontId="5" numFmtId="10" xfId="0" applyAlignment="1" applyBorder="1" applyFont="1" applyNumberFormat="1">
      <alignment horizontal="right" readingOrder="0" vertical="bottom"/>
    </xf>
    <xf borderId="4" fillId="5" fontId="5" numFmtId="168" xfId="0" applyAlignment="1" applyBorder="1" applyFont="1" applyNumberFormat="1">
      <alignment horizontal="right" readingOrder="0" vertical="bottom"/>
    </xf>
    <xf borderId="4" fillId="5" fontId="5" numFmtId="164" xfId="0" applyAlignment="1" applyBorder="1" applyFont="1" applyNumberFormat="1">
      <alignment horizontal="right" vertical="bottom"/>
    </xf>
    <xf borderId="0" fillId="5" fontId="0" numFmtId="0" xfId="0" applyAlignment="1" applyFont="1">
      <alignment horizontal="left" readingOrder="0"/>
    </xf>
    <xf borderId="4" fillId="0" fontId="3" numFmtId="0" xfId="0" applyAlignment="1" applyBorder="1" applyFont="1">
      <alignment horizontal="right" vertical="bottom"/>
    </xf>
    <xf borderId="4" fillId="4" fontId="5" numFmtId="167" xfId="0" applyAlignment="1" applyBorder="1" applyFont="1" applyNumberFormat="1">
      <alignment horizontal="right" readingOrder="0" vertical="bottom"/>
    </xf>
    <xf borderId="4" fillId="5" fontId="5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5" fontId="5" numFmtId="165" xfId="0" applyAlignment="1" applyFont="1" applyNumberFormat="1">
      <alignment vertical="bottom"/>
    </xf>
    <xf borderId="1" fillId="7" fontId="0" numFmtId="164" xfId="0" applyAlignment="1" applyBorder="1" applyFill="1" applyFont="1" applyNumberFormat="1">
      <alignment horizontal="left" readingOrder="0"/>
    </xf>
    <xf borderId="4" fillId="5" fontId="28" numFmtId="164" xfId="0" applyAlignment="1" applyBorder="1" applyFont="1" applyNumberFormat="1">
      <alignment readingOrder="0"/>
    </xf>
    <xf borderId="1" fillId="5" fontId="28" numFmtId="164" xfId="0" applyAlignment="1" applyBorder="1" applyFont="1" applyNumberFormat="1">
      <alignment readingOrder="0"/>
    </xf>
    <xf borderId="1" fillId="0" fontId="3" numFmtId="0" xfId="0" applyAlignment="1" applyBorder="1" applyFont="1">
      <alignment vertical="bottom"/>
    </xf>
    <xf borderId="4" fillId="5" fontId="0" numFmtId="165" xfId="0" applyAlignment="1" applyBorder="1" applyFont="1" applyNumberFormat="1">
      <alignment horizontal="right" vertical="bottom"/>
    </xf>
    <xf borderId="4" fillId="5" fontId="5" numFmtId="168" xfId="0" applyAlignment="1" applyBorder="1" applyFont="1" applyNumberFormat="1">
      <alignment vertical="bottom"/>
    </xf>
    <xf borderId="1" fillId="7" fontId="0" numFmtId="0" xfId="0" applyAlignment="1" applyBorder="1" applyFont="1">
      <alignment horizontal="left" readingOrder="0"/>
    </xf>
    <xf borderId="4" fillId="5" fontId="0" numFmtId="164" xfId="0" applyAlignment="1" applyBorder="1" applyFont="1" applyNumberFormat="1">
      <alignment horizontal="right" vertical="bottom"/>
    </xf>
    <xf borderId="8" fillId="4" fontId="27" numFmtId="167" xfId="0" applyAlignment="1" applyBorder="1" applyFont="1" applyNumberFormat="1">
      <alignment horizontal="right" vertical="bottom"/>
    </xf>
    <xf borderId="4" fillId="5" fontId="5" numFmtId="9" xfId="0" applyAlignment="1" applyBorder="1" applyFont="1" applyNumberFormat="1">
      <alignment horizontal="right" readingOrder="0" vertical="bottom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8" numFmtId="164" xfId="0" applyAlignment="1" applyBorder="1" applyFont="1" applyNumberFormat="1">
      <alignment vertical="bottom"/>
    </xf>
    <xf borderId="4" fillId="3" fontId="18" numFmtId="164" xfId="0" applyAlignment="1" applyBorder="1" applyFont="1" applyNumberFormat="1">
      <alignment vertical="bottom"/>
    </xf>
    <xf borderId="4" fillId="3" fontId="18" numFmtId="0" xfId="0" applyAlignment="1" applyBorder="1" applyFont="1">
      <alignment vertical="bottom"/>
    </xf>
    <xf borderId="4" fillId="3" fontId="1" numFmtId="165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vertical="bottom"/>
    </xf>
    <xf borderId="4" fillId="3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vertical="bottom"/>
    </xf>
    <xf borderId="3" fillId="2" fontId="1" numFmtId="10" xfId="0" applyAlignment="1" applyBorder="1" applyFont="1" applyNumberFormat="1">
      <alignment horizontal="right" vertical="bottom"/>
    </xf>
    <xf borderId="4" fillId="2" fontId="1" numFmtId="10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readingOrder="0" vertical="bottom"/>
    </xf>
    <xf borderId="4" fillId="3" fontId="1" numFmtId="165" xfId="0" applyAlignment="1" applyBorder="1" applyFont="1" applyNumberFormat="1">
      <alignment horizontal="right" vertical="bottom"/>
    </xf>
    <xf borderId="4" fillId="3" fontId="18" numFmtId="165" xfId="0" applyAlignment="1" applyBorder="1" applyFont="1" applyNumberFormat="1">
      <alignment horizontal="right" vertical="bottom"/>
    </xf>
    <xf borderId="4" fillId="3" fontId="18" numFmtId="10" xfId="0" applyAlignment="1" applyBorder="1" applyFont="1" applyNumberFormat="1">
      <alignment horizontal="right" readingOrder="0" vertical="bottom"/>
    </xf>
    <xf borderId="4" fillId="3" fontId="18" numFmtId="165" xfId="0" applyAlignment="1" applyBorder="1" applyFont="1" applyNumberFormat="1">
      <alignment horizontal="right" readingOrder="0" vertical="bottom"/>
    </xf>
    <xf borderId="4" fillId="3" fontId="2" numFmtId="10" xfId="0" applyAlignment="1" applyBorder="1" applyFont="1" applyNumberFormat="1">
      <alignment vertical="bottom"/>
    </xf>
    <xf borderId="4" fillId="3" fontId="2" numFmtId="0" xfId="0" applyAlignment="1" applyBorder="1" applyFont="1">
      <alignment vertical="bottom"/>
    </xf>
    <xf borderId="4" fillId="3" fontId="2" numFmtId="164" xfId="0" applyAlignment="1" applyBorder="1" applyFont="1" applyNumberFormat="1">
      <alignment vertical="bottom"/>
    </xf>
    <xf borderId="3" fillId="3" fontId="2" numFmtId="0" xfId="0" applyAlignment="1" applyBorder="1" applyFont="1">
      <alignment vertical="bottom"/>
    </xf>
    <xf borderId="4" fillId="3" fontId="1" numFmtId="3" xfId="0" applyAlignment="1" applyBorder="1" applyFont="1" applyNumberFormat="1">
      <alignment vertical="bottom"/>
    </xf>
    <xf borderId="4" fillId="3" fontId="1" numFmtId="10" xfId="0" applyAlignment="1" applyBorder="1" applyFont="1" applyNumberFormat="1">
      <alignment vertical="bottom"/>
    </xf>
    <xf borderId="4" fillId="3" fontId="1" numFmtId="168" xfId="0" applyAlignment="1" applyBorder="1" applyFont="1" applyNumberFormat="1">
      <alignment vertical="bottom"/>
    </xf>
    <xf borderId="3" fillId="2" fontId="1" numFmtId="0" xfId="0" applyAlignment="1" applyBorder="1" applyFont="1">
      <alignment vertical="bottom"/>
    </xf>
    <xf borderId="4" fillId="3" fontId="2" numFmtId="3" xfId="0" applyAlignment="1" applyBorder="1" applyFont="1" applyNumberFormat="1">
      <alignment vertical="bottom"/>
    </xf>
    <xf borderId="4" fillId="0" fontId="18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9" numFmtId="165" xfId="0" applyAlignment="1" applyBorder="1" applyFont="1" applyNumberFormat="1">
      <alignment horizontal="right" vertical="bottom"/>
    </xf>
    <xf borderId="4" fillId="0" fontId="2" numFmtId="10" xfId="0" applyAlignment="1" applyBorder="1" applyFont="1" applyNumberFormat="1">
      <alignment readingOrder="0" vertical="bottom"/>
    </xf>
    <xf borderId="4" fillId="5" fontId="18" numFmtId="0" xfId="0" applyAlignment="1" applyBorder="1" applyFont="1">
      <alignment readingOrder="0" vertical="bottom"/>
    </xf>
    <xf borderId="4" fillId="5" fontId="18" numFmtId="0" xfId="0" applyAlignment="1" applyBorder="1" applyFont="1">
      <alignment vertical="bottom"/>
    </xf>
    <xf borderId="4" fillId="5" fontId="2" numFmtId="10" xfId="0" applyAlignment="1" applyBorder="1" applyFont="1" applyNumberFormat="1">
      <alignment horizontal="right" vertical="bottom"/>
    </xf>
    <xf borderId="4" fillId="5" fontId="2" numFmtId="3" xfId="0" applyAlignment="1" applyBorder="1" applyFont="1" applyNumberFormat="1">
      <alignment horizontal="right" readingOrder="0" vertical="bottom"/>
    </xf>
    <xf borderId="4" fillId="5" fontId="2" numFmtId="165" xfId="0" applyAlignment="1" applyBorder="1" applyFont="1" applyNumberFormat="1">
      <alignment horizontal="right" vertical="bottom"/>
    </xf>
    <xf borderId="4" fillId="5" fontId="9" numFmtId="165" xfId="0" applyAlignment="1" applyBorder="1" applyFont="1" applyNumberFormat="1">
      <alignment horizontal="right" vertical="bottom"/>
    </xf>
    <xf borderId="4" fillId="5" fontId="9" numFmtId="164" xfId="0" applyAlignment="1" applyBorder="1" applyFont="1" applyNumberFormat="1">
      <alignment horizontal="right" readingOrder="0" vertical="bottom"/>
    </xf>
    <xf borderId="4" fillId="4" fontId="29" numFmtId="166" xfId="0" applyAlignment="1" applyBorder="1" applyFont="1" applyNumberFormat="1">
      <alignment horizontal="right" vertical="bottom"/>
    </xf>
    <xf borderId="4" fillId="5" fontId="2" numFmtId="164" xfId="0" applyAlignment="1" applyBorder="1" applyFont="1" applyNumberFormat="1">
      <alignment readingOrder="0" vertical="bottom"/>
    </xf>
    <xf borderId="4" fillId="4" fontId="29" numFmtId="167" xfId="0" applyAlignment="1" applyBorder="1" applyFont="1" applyNumberFormat="1">
      <alignment horizontal="right" vertical="bottom"/>
    </xf>
    <xf borderId="4" fillId="0" fontId="30" numFmtId="165" xfId="0" applyAlignment="1" applyBorder="1" applyFont="1" applyNumberFormat="1">
      <alignment horizontal="right" vertical="bottom"/>
    </xf>
    <xf borderId="4" fillId="5" fontId="2" numFmtId="10" xfId="0" applyAlignment="1" applyBorder="1" applyFont="1" applyNumberFormat="1">
      <alignment horizontal="right" readingOrder="0" vertical="bottom"/>
    </xf>
    <xf borderId="4" fillId="5" fontId="1" numFmtId="0" xfId="0" applyAlignment="1" applyBorder="1" applyFont="1">
      <alignment readingOrder="0" vertical="bottom"/>
    </xf>
    <xf borderId="4" fillId="5" fontId="2" numFmtId="168" xfId="0" applyAlignment="1" applyBorder="1" applyFont="1" applyNumberFormat="1">
      <alignment readingOrder="0" vertical="bottom"/>
    </xf>
    <xf borderId="4" fillId="5" fontId="2" numFmtId="165" xfId="0" applyAlignment="1" applyBorder="1" applyFont="1" applyNumberFormat="1">
      <alignment readingOrder="0" vertical="bottom"/>
    </xf>
    <xf borderId="4" fillId="5" fontId="1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5" fontId="2" numFmtId="164" xfId="0" applyAlignment="1" applyBorder="1" applyFont="1" applyNumberFormat="1">
      <alignment vertical="bottom"/>
    </xf>
    <xf borderId="4" fillId="5" fontId="2" numFmtId="165" xfId="0" applyAlignment="1" applyBorder="1" applyFont="1" applyNumberFormat="1">
      <alignment vertical="bottom"/>
    </xf>
    <xf borderId="3" fillId="5" fontId="1" numFmtId="0" xfId="0" applyAlignment="1" applyBorder="1" applyFont="1">
      <alignment vertical="bottom"/>
    </xf>
    <xf borderId="4" fillId="5" fontId="9" numFmtId="165" xfId="0" applyAlignment="1" applyBorder="1" applyFont="1" applyNumberFormat="1">
      <alignment horizontal="right" readingOrder="0" vertical="bottom"/>
    </xf>
    <xf borderId="4" fillId="5" fontId="2" numFmtId="168" xfId="0" applyAlignment="1" applyBorder="1" applyFont="1" applyNumberFormat="1">
      <alignment horizontal="right" readingOrder="0" vertical="bottom"/>
    </xf>
    <xf borderId="4" fillId="5" fontId="2" numFmtId="164" xfId="0" applyAlignment="1" applyBorder="1" applyFont="1" applyNumberFormat="1">
      <alignment horizontal="right" readingOrder="0" vertical="bottom"/>
    </xf>
    <xf borderId="4" fillId="5" fontId="2" numFmtId="165" xfId="0" applyAlignment="1" applyBorder="1" applyFont="1" applyNumberFormat="1">
      <alignment horizontal="right" readingOrder="0" vertical="bottom"/>
    </xf>
    <xf borderId="4" fillId="5" fontId="2" numFmtId="10" xfId="0" applyAlignment="1" applyBorder="1" applyFont="1" applyNumberFormat="1">
      <alignment vertical="bottom"/>
    </xf>
    <xf borderId="4" fillId="5" fontId="2" numFmtId="164" xfId="0" applyAlignment="1" applyBorder="1" applyFont="1" applyNumberFormat="1">
      <alignment horizontal="right" vertical="bottom"/>
    </xf>
    <xf borderId="4" fillId="5" fontId="2" numFmtId="168" xfId="0" applyAlignment="1" applyBorder="1" applyFont="1" applyNumberFormat="1">
      <alignment vertical="bottom"/>
    </xf>
    <xf borderId="4" fillId="5" fontId="2" numFmtId="168" xfId="0" applyAlignment="1" applyBorder="1" applyFont="1" applyNumberFormat="1">
      <alignment horizontal="right" vertical="bottom"/>
    </xf>
    <xf borderId="4" fillId="2" fontId="1" numFmtId="10" xfId="0" applyAlignment="1" applyBorder="1" applyFont="1" applyNumberFormat="1">
      <alignment vertical="bottom"/>
    </xf>
    <xf borderId="4" fillId="5" fontId="2" numFmtId="10" xfId="0" applyAlignment="1" applyBorder="1" applyFont="1" applyNumberFormat="1">
      <alignment vertical="bottom"/>
    </xf>
    <xf borderId="4" fillId="5" fontId="2" numFmtId="0" xfId="0" applyAlignment="1" applyBorder="1" applyFont="1">
      <alignment readingOrder="0" vertical="bottom"/>
    </xf>
    <xf borderId="4" fillId="5" fontId="2" numFmtId="165" xfId="0" applyAlignment="1" applyBorder="1" applyFont="1" applyNumberFormat="1">
      <alignment vertical="bottom"/>
    </xf>
    <xf borderId="4" fillId="5" fontId="9" numFmtId="165" xfId="0" applyAlignment="1" applyBorder="1" applyFont="1" applyNumberFormat="1">
      <alignment vertical="bottom"/>
    </xf>
    <xf borderId="4" fillId="5" fontId="9" numFmtId="164" xfId="0" applyAlignment="1" applyBorder="1" applyFont="1" applyNumberFormat="1">
      <alignment readingOrder="0" vertical="bottom"/>
    </xf>
    <xf borderId="4" fillId="4" fontId="31" numFmtId="166" xfId="0" applyAlignment="1" applyBorder="1" applyFont="1" applyNumberFormat="1">
      <alignment vertical="bottom"/>
    </xf>
    <xf borderId="4" fillId="5" fontId="9" numFmtId="164" xfId="0" applyAlignment="1" applyBorder="1" applyFont="1" applyNumberFormat="1">
      <alignment vertical="bottom"/>
    </xf>
    <xf borderId="4" fillId="5" fontId="9" numFmtId="0" xfId="0" applyAlignment="1" applyBorder="1" applyFont="1">
      <alignment vertical="bottom"/>
    </xf>
    <xf borderId="4" fillId="4" fontId="31" numFmtId="167" xfId="0" applyAlignment="1" applyBorder="1" applyFont="1" applyNumberFormat="1">
      <alignment vertical="bottom"/>
    </xf>
    <xf borderId="4" fillId="5" fontId="2" numFmtId="0" xfId="0" applyAlignment="1" applyBorder="1" applyFont="1">
      <alignment vertical="bottom"/>
    </xf>
    <xf borderId="4" fillId="5" fontId="2" numFmtId="164" xfId="0" applyAlignment="1" applyBorder="1" applyFont="1" applyNumberFormat="1">
      <alignment vertical="bottom"/>
    </xf>
    <xf borderId="4" fillId="5" fontId="2" numFmtId="168" xfId="0" applyAlignment="1" applyBorder="1" applyFont="1" applyNumberFormat="1">
      <alignment readingOrder="0" vertical="bottom"/>
    </xf>
    <xf borderId="4" fillId="5" fontId="2" numFmtId="164" xfId="0" applyAlignment="1" applyBorder="1" applyFont="1" applyNumberFormat="1">
      <alignment readingOrder="0" vertical="bottom"/>
    </xf>
    <xf borderId="4" fillId="5" fontId="2" numFmtId="165" xfId="0" applyAlignment="1" applyBorder="1" applyFont="1" applyNumberFormat="1">
      <alignment readingOrder="0" vertical="bottom"/>
    </xf>
    <xf borderId="4" fillId="5" fontId="9" numFmtId="165" xfId="0" applyAlignment="1" applyBorder="1" applyFont="1" applyNumberFormat="1">
      <alignment readingOrder="0" vertical="bottom"/>
    </xf>
    <xf borderId="4" fillId="5" fontId="9" numFmtId="0" xfId="0" applyAlignment="1" applyBorder="1" applyFont="1">
      <alignment readingOrder="0" vertical="bottom"/>
    </xf>
    <xf borderId="4" fillId="3" fontId="18" numFmtId="165" xfId="0" applyAlignment="1" applyBorder="1" applyFont="1" applyNumberFormat="1">
      <alignment vertical="bottom"/>
    </xf>
    <xf borderId="4" fillId="3" fontId="1" numFmtId="10" xfId="0" applyAlignment="1" applyBorder="1" applyFont="1" applyNumberFormat="1">
      <alignment readingOrder="0" vertical="bottom"/>
    </xf>
    <xf borderId="4" fillId="3" fontId="18" numFmtId="165" xfId="0" applyAlignment="1" applyBorder="1" applyFont="1" applyNumberFormat="1">
      <alignment readingOrder="0" vertical="bottom"/>
    </xf>
    <xf borderId="4" fillId="3" fontId="1" numFmtId="165" xfId="0" applyAlignment="1" applyBorder="1" applyFont="1" applyNumberFormat="1">
      <alignment readingOrder="0" vertical="bottom"/>
    </xf>
    <xf borderId="4" fillId="5" fontId="2" numFmtId="0" xfId="0" applyAlignment="1" applyBorder="1" applyFont="1">
      <alignment horizontal="right" readingOrder="0" vertical="bottom"/>
    </xf>
    <xf borderId="4" fillId="5" fontId="9" numFmtId="164" xfId="0" applyAlignment="1" applyBorder="1" applyFont="1" applyNumberFormat="1">
      <alignment horizontal="right" vertical="bottom"/>
    </xf>
    <xf borderId="4" fillId="5" fontId="2" numFmtId="0" xfId="0" applyAlignment="1" applyBorder="1" applyFont="1">
      <alignment readingOrder="0" vertical="bottom"/>
    </xf>
    <xf borderId="8" fillId="4" fontId="29" numFmtId="167" xfId="0" applyAlignment="1" applyBorder="1" applyFont="1" applyNumberFormat="1">
      <alignment horizontal="right" vertical="bottom"/>
    </xf>
    <xf borderId="4" fillId="5" fontId="2" numFmtId="9" xfId="0" applyAlignment="1" applyBorder="1" applyFont="1" applyNumberFormat="1">
      <alignment horizontal="right" vertical="bottom"/>
    </xf>
    <xf borderId="4" fillId="3" fontId="1" numFmtId="165" xfId="0" applyAlignment="1" applyBorder="1" applyFont="1" applyNumberFormat="1">
      <alignment horizontal="right" readingOrder="0" vertical="bottom"/>
    </xf>
    <xf borderId="4" fillId="4" fontId="2" numFmtId="0" xfId="0" applyAlignment="1" applyBorder="1" applyFont="1">
      <alignment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0" fontId="2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165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9" numFmtId="164" xfId="0" applyAlignment="1" applyBorder="1" applyFont="1" applyNumberFormat="1">
      <alignment horizontal="right" readingOrder="0" vertical="bottom"/>
    </xf>
    <xf borderId="4" fillId="0" fontId="1" numFmtId="10" xfId="0" applyAlignment="1" applyBorder="1" applyFont="1" applyNumberFormat="1">
      <alignment horizontal="right" vertical="bottom"/>
    </xf>
    <xf borderId="4" fillId="4" fontId="32" numFmtId="166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4" fillId="5" fontId="33" numFmtId="0" xfId="0" applyAlignment="1" applyBorder="1" applyFont="1">
      <alignment vertical="bottom"/>
    </xf>
    <xf borderId="4" fillId="0" fontId="2" numFmtId="3" xfId="0" applyAlignment="1" applyBorder="1" applyFont="1" applyNumberFormat="1">
      <alignment readingOrder="0" vertical="bottom"/>
    </xf>
    <xf borderId="4" fillId="4" fontId="2" numFmtId="166" xfId="0" applyAlignment="1" applyBorder="1" applyFont="1" applyNumberFormat="1">
      <alignment vertical="bottom"/>
    </xf>
    <xf borderId="1" fillId="0" fontId="0" numFmtId="164" xfId="0" applyBorder="1" applyFont="1" applyNumberFormat="1"/>
    <xf borderId="4" fillId="0" fontId="30" numFmtId="165" xfId="0" applyAlignment="1" applyBorder="1" applyFont="1" applyNumberFormat="1">
      <alignment horizontal="right" readingOrder="0" vertical="bottom"/>
    </xf>
    <xf borderId="4" fillId="0" fontId="30" numFmtId="164" xfId="0" applyAlignment="1" applyBorder="1" applyFont="1" applyNumberFormat="1">
      <alignment horizontal="right" vertical="bottom"/>
    </xf>
    <xf borderId="4" fillId="4" fontId="32" numFmtId="167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2" numFmtId="168" xfId="0" applyAlignment="1" applyBorder="1" applyFont="1" applyNumberFormat="1">
      <alignment horizontal="right" readingOrder="0" vertical="bottom"/>
    </xf>
    <xf borderId="1" fillId="0" fontId="2" numFmtId="165" xfId="0" applyAlignment="1" applyBorder="1" applyFont="1" applyNumberFormat="1">
      <alignment horizontal="right" readingOrder="0" vertical="bottom"/>
    </xf>
    <xf borderId="1" fillId="0" fontId="2" numFmtId="168" xfId="0" applyAlignment="1" applyBorder="1" applyFont="1" applyNumberFormat="1">
      <alignment readingOrder="0" vertical="bottom"/>
    </xf>
    <xf borderId="1" fillId="0" fontId="2" numFmtId="165" xfId="0" applyAlignment="1" applyBorder="1" applyFont="1" applyNumberFormat="1">
      <alignment readingOrder="0" vertical="bottom"/>
    </xf>
    <xf borderId="4" fillId="0" fontId="2" numFmtId="169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4" fillId="0" fontId="30" numFmtId="173" xfId="0" applyAlignment="1" applyBorder="1" applyFont="1" applyNumberFormat="1">
      <alignment horizontal="right" readingOrder="0" vertical="bottom"/>
    </xf>
    <xf borderId="1" fillId="0" fontId="2" numFmtId="173" xfId="0" applyAlignment="1" applyBorder="1" applyFont="1" applyNumberFormat="1">
      <alignment horizontal="right" readingOrder="0" vertical="bottom"/>
    </xf>
    <xf borderId="4" fillId="0" fontId="30" numFmtId="164" xfId="0" applyAlignment="1" applyBorder="1" applyFont="1" applyNumberFormat="1">
      <alignment horizontal="right"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4" fillId="3" fontId="1" numFmtId="10" xfId="0" applyAlignment="1" applyBorder="1" applyFont="1" applyNumberFormat="1">
      <alignment vertical="bottom"/>
    </xf>
    <xf borderId="4" fillId="3" fontId="2" numFmtId="165" xfId="0" applyAlignment="1" applyBorder="1" applyFont="1" applyNumberFormat="1">
      <alignment vertical="bottom"/>
    </xf>
    <xf borderId="3" fillId="0" fontId="1" numFmtId="0" xfId="0" applyAlignment="1" applyBorder="1" applyFont="1">
      <alignment readingOrder="0" vertical="bottom"/>
    </xf>
    <xf borderId="4" fillId="0" fontId="9" numFmtId="165" xfId="0" applyAlignment="1" applyBorder="1" applyFont="1" applyNumberFormat="1">
      <alignment horizontal="right" readingOrder="0" vertical="bottom"/>
    </xf>
    <xf borderId="4" fillId="2" fontId="1" numFmtId="165" xfId="0" applyAlignment="1" applyBorder="1" applyFont="1" applyNumberFormat="1">
      <alignment horizontal="right" readingOrder="0" vertical="bottom"/>
    </xf>
    <xf borderId="4" fillId="2" fontId="1" numFmtId="165" xfId="0" applyAlignment="1" applyBorder="1" applyFont="1" applyNumberFormat="1">
      <alignment horizontal="right" vertical="bottom"/>
    </xf>
    <xf borderId="4" fillId="4" fontId="2" numFmtId="167" xfId="0" applyAlignment="1" applyBorder="1" applyFont="1" applyNumberFormat="1">
      <alignment vertical="bottom"/>
    </xf>
    <xf borderId="4" fillId="2" fontId="2" numFmtId="165" xfId="0" applyAlignment="1" applyBorder="1" applyFont="1" applyNumberFormat="1">
      <alignment vertical="bottom"/>
    </xf>
    <xf borderId="4" fillId="2" fontId="1" numFmtId="165" xfId="0" applyAlignment="1" applyBorder="1" applyFont="1" applyNumberFormat="1">
      <alignment readingOrder="0" vertical="bottom"/>
    </xf>
    <xf borderId="4" fillId="2" fontId="1" numFmtId="0" xfId="0" applyAlignment="1" applyBorder="1" applyFont="1">
      <alignment readingOrder="0" vertical="bottom"/>
    </xf>
    <xf borderId="4" fillId="3" fontId="1" numFmtId="10" xfId="0" applyAlignment="1" applyBorder="1" applyFont="1" applyNumberFormat="1">
      <alignment horizontal="right" vertical="bottom"/>
    </xf>
    <xf borderId="4" fillId="3" fontId="1" numFmtId="165" xfId="0" applyAlignment="1" applyBorder="1" applyFont="1" applyNumberFormat="1">
      <alignment readingOrder="0" vertical="bottom"/>
    </xf>
    <xf borderId="4" fillId="3" fontId="1" numFmtId="165" xfId="0" applyAlignment="1" applyBorder="1" applyFont="1" applyNumberFormat="1">
      <alignment vertical="bottom"/>
    </xf>
    <xf borderId="6" fillId="0" fontId="2" numFmtId="0" xfId="0" applyAlignment="1" applyBorder="1" applyFont="1">
      <alignment vertical="bottom"/>
    </xf>
    <xf borderId="3" fillId="6" fontId="1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6" fontId="1" numFmtId="0" xfId="0" applyAlignment="1" applyBorder="1" applyFont="1">
      <alignment readingOrder="0" vertical="bottom"/>
    </xf>
    <xf borderId="4" fillId="6" fontId="1" numFmtId="0" xfId="0" applyAlignment="1" applyBorder="1" applyFont="1">
      <alignment vertical="bottom"/>
    </xf>
    <xf borderId="4" fillId="0" fontId="18" numFmtId="3" xfId="0" applyAlignment="1" applyBorder="1" applyFont="1" applyNumberFormat="1">
      <alignment horizontal="right" readingOrder="0" vertical="bottom"/>
    </xf>
    <xf borderId="4" fillId="0" fontId="1" numFmtId="4" xfId="0" applyAlignment="1" applyBorder="1" applyFont="1" applyNumberFormat="1">
      <alignment horizontal="right" vertical="bottom"/>
    </xf>
    <xf borderId="4" fillId="4" fontId="1" numFmtId="167" xfId="0" applyAlignment="1" applyBorder="1" applyFont="1" applyNumberFormat="1">
      <alignment horizontal="right" vertical="bottom"/>
    </xf>
    <xf borderId="0" fillId="5" fontId="2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6" numFmtId="0" xfId="0" applyAlignment="1" applyFont="1">
      <alignment horizontal="center"/>
    </xf>
    <xf borderId="4" fillId="3" fontId="18" numFmtId="10" xfId="0" applyAlignment="1" applyBorder="1" applyFont="1" applyNumberFormat="1">
      <alignment horizontal="right" vertical="bottom"/>
    </xf>
    <xf borderId="4" fillId="5" fontId="2" numFmtId="10" xfId="0" applyAlignment="1" applyBorder="1" applyFont="1" applyNumberFormat="1">
      <alignment readingOrder="0" vertical="bottom"/>
    </xf>
    <xf borderId="4" fillId="5" fontId="2" numFmtId="3" xfId="0" applyAlignment="1" applyBorder="1" applyFont="1" applyNumberFormat="1">
      <alignment horizontal="right" vertical="bottom"/>
    </xf>
    <xf borderId="4" fillId="5" fontId="1" numFmtId="0" xfId="0" applyAlignment="1" applyBorder="1" applyFont="1">
      <alignment horizontal="right" vertical="bottom"/>
    </xf>
    <xf borderId="1" fillId="0" fontId="0" numFmtId="165" xfId="0" applyBorder="1" applyFont="1" applyNumberFormat="1"/>
    <xf borderId="4" fillId="0" fontId="2" numFmtId="171" xfId="0" applyAlignment="1" applyBorder="1" applyFont="1" applyNumberFormat="1">
      <alignment horizontal="right" readingOrder="0" vertical="bottom"/>
    </xf>
    <xf borderId="1" fillId="5" fontId="34" numFmtId="171" xfId="0" applyAlignment="1" applyBorder="1" applyFont="1" applyNumberFormat="1">
      <alignment readingOrder="0"/>
    </xf>
    <xf borderId="1" fillId="5" fontId="34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readingOrder="0" vertical="bottom"/>
    </xf>
    <xf borderId="4" fillId="3" fontId="1" numFmtId="10" xfId="0" applyAlignment="1" applyBorder="1" applyFont="1" applyNumberFormat="1">
      <alignment readingOrder="0" vertical="bottom"/>
    </xf>
    <xf borderId="4" fillId="4" fontId="2" numFmtId="167" xfId="0" applyAlignment="1" applyBorder="1" applyFont="1" applyNumberFormat="1">
      <alignment horizontal="right" readingOrder="0" vertical="bottom"/>
    </xf>
    <xf borderId="1" fillId="2" fontId="3" numFmtId="0" xfId="0" applyAlignment="1" applyBorder="1" applyFont="1">
      <alignment readingOrder="0" vertical="bottom"/>
    </xf>
    <xf borderId="1" fillId="2" fontId="5" numFmtId="0" xfId="0" applyBorder="1" applyFont="1"/>
    <xf borderId="1" fillId="3" fontId="3" numFmtId="0" xfId="0" applyAlignment="1" applyBorder="1" applyFont="1">
      <alignment readingOrder="0" vertical="bottom"/>
    </xf>
    <xf borderId="1" fillId="3" fontId="4" numFmtId="164" xfId="0" applyAlignment="1" applyBorder="1" applyFont="1" applyNumberFormat="1">
      <alignment readingOrder="0" vertical="bottom"/>
    </xf>
    <xf borderId="1" fillId="3" fontId="4" numFmtId="164" xfId="0" applyAlignment="1" applyBorder="1" applyFont="1" applyNumberFormat="1">
      <alignment vertical="bottom"/>
    </xf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1" fillId="3" fontId="3" numFmtId="165" xfId="0" applyAlignment="1" applyBorder="1" applyFont="1" applyNumberFormat="1">
      <alignment vertical="bottom"/>
    </xf>
    <xf borderId="1" fillId="3" fontId="3" numFmtId="0" xfId="0" applyAlignment="1" applyBorder="1" applyFont="1">
      <alignment readingOrder="0"/>
    </xf>
    <xf borderId="1" fillId="3" fontId="3" numFmtId="164" xfId="0" applyAlignment="1" applyBorder="1" applyFont="1" applyNumberFormat="1">
      <alignment readingOrder="0"/>
    </xf>
    <xf borderId="1" fillId="0" fontId="5" numFmtId="10" xfId="0" applyAlignment="1" applyBorder="1" applyFont="1" applyNumberFormat="1">
      <alignment vertical="bottom"/>
    </xf>
    <xf borderId="1" fillId="0" fontId="5" numFmtId="3" xfId="0" applyAlignment="1" applyBorder="1" applyFont="1" applyNumberFormat="1">
      <alignment readingOrder="0" vertical="bottom"/>
    </xf>
    <xf borderId="1" fillId="0" fontId="5" numFmtId="165" xfId="0" applyAlignment="1" applyBorder="1" applyFont="1" applyNumberFormat="1">
      <alignment vertical="bottom"/>
    </xf>
    <xf borderId="1" fillId="4" fontId="5" numFmtId="166" xfId="0" applyAlignment="1" applyBorder="1" applyFont="1" applyNumberFormat="1">
      <alignment vertical="bottom"/>
    </xf>
    <xf borderId="1" fillId="0" fontId="0" numFmtId="164" xfId="0" applyBorder="1" applyFont="1" applyNumberFormat="1"/>
    <xf borderId="1" fillId="0" fontId="5" numFmtId="164" xfId="0" applyAlignment="1" applyBorder="1" applyFont="1" applyNumberFormat="1">
      <alignment vertical="bottom"/>
    </xf>
    <xf borderId="1" fillId="4" fontId="5" numFmtId="167" xfId="0" applyAlignment="1" applyBorder="1" applyFont="1" applyNumberFormat="1">
      <alignment vertical="bottom"/>
    </xf>
    <xf borderId="1" fillId="0" fontId="3" numFmtId="0" xfId="0" applyAlignment="1" applyBorder="1" applyFont="1">
      <alignment readingOrder="0"/>
    </xf>
    <xf borderId="1" fillId="0" fontId="5" numFmtId="168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1" fillId="0" fontId="5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5" numFmtId="0" xfId="0" applyBorder="1" applyFont="1"/>
    <xf borderId="1" fillId="0" fontId="5" numFmtId="164" xfId="0" applyBorder="1" applyFont="1" applyNumberFormat="1"/>
    <xf borderId="1" fillId="0" fontId="5" numFmtId="165" xfId="0" applyBorder="1" applyFont="1" applyNumberFormat="1"/>
    <xf borderId="1" fillId="2" fontId="3" numFmtId="10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5" fontId="3" numFmtId="0" xfId="0" applyAlignment="1" applyBorder="1" applyFont="1">
      <alignment readingOrder="0" vertical="bottom"/>
    </xf>
    <xf borderId="1" fillId="5" fontId="5" numFmtId="0" xfId="0" applyAlignment="1" applyBorder="1" applyFont="1">
      <alignment horizontal="right" readingOrder="0" vertical="bottom"/>
    </xf>
    <xf borderId="1" fillId="0" fontId="5" numFmtId="164" xfId="0" applyAlignment="1" applyBorder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5" fontId="3" numFmtId="0" xfId="0" applyAlignment="1" applyBorder="1" applyFont="1">
      <alignment readingOrder="0" vertical="bottom"/>
    </xf>
    <xf borderId="2" fillId="5" fontId="5" numFmtId="0" xfId="0" applyAlignment="1" applyBorder="1" applyFont="1">
      <alignment horizontal="right" readingOrder="0" vertical="bottom"/>
    </xf>
    <xf borderId="1" fillId="0" fontId="5" numFmtId="10" xfId="0" applyAlignment="1" applyBorder="1" applyFont="1" applyNumberFormat="1">
      <alignment readingOrder="0" vertical="bottom"/>
    </xf>
    <xf borderId="1" fillId="3" fontId="4" numFmtId="165" xfId="0" applyAlignment="1" applyBorder="1" applyFont="1" applyNumberFormat="1">
      <alignment vertical="bottom"/>
    </xf>
    <xf borderId="1" fillId="3" fontId="4" numFmtId="10" xfId="0" applyAlignment="1" applyBorder="1" applyFont="1" applyNumberFormat="1">
      <alignment vertical="bottom"/>
    </xf>
    <xf borderId="1" fillId="3" fontId="3" numFmtId="10" xfId="0" applyAlignment="1" applyBorder="1" applyFont="1" applyNumberFormat="1">
      <alignment vertical="bottom"/>
    </xf>
    <xf borderId="1" fillId="3" fontId="5" numFmtId="0" xfId="0" applyBorder="1" applyFont="1"/>
    <xf borderId="1" fillId="3" fontId="5" numFmtId="164" xfId="0" applyBorder="1" applyFont="1" applyNumberFormat="1"/>
    <xf borderId="1" fillId="3" fontId="3" numFmtId="165" xfId="0" applyAlignment="1" applyBorder="1" applyFont="1" applyNumberFormat="1">
      <alignment readingOrder="0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2" fillId="3" fontId="3" numFmtId="3" xfId="0" applyAlignment="1" applyBorder="1" applyFont="1" applyNumberFormat="1">
      <alignment vertical="bottom"/>
    </xf>
    <xf borderId="2" fillId="3" fontId="4" numFmtId="164" xfId="0" applyAlignment="1" applyBorder="1" applyFont="1" applyNumberFormat="1">
      <alignment vertical="bottom"/>
    </xf>
    <xf borderId="2" fillId="3" fontId="4" numFmtId="0" xfId="0" applyAlignment="1" applyBorder="1" applyFont="1">
      <alignment vertical="bottom"/>
    </xf>
    <xf borderId="2" fillId="3" fontId="3" numFmtId="10" xfId="0" applyAlignment="1" applyBorder="1" applyFont="1" applyNumberFormat="1">
      <alignment vertical="bottom"/>
    </xf>
    <xf borderId="2" fillId="3" fontId="3" numFmtId="165" xfId="0" applyAlignment="1" applyBorder="1" applyFont="1" applyNumberFormat="1">
      <alignment vertical="bottom"/>
    </xf>
    <xf borderId="2" fillId="3" fontId="3" numFmtId="168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4" fillId="0" fontId="5" numFmtId="168" xfId="0" applyAlignment="1" applyBorder="1" applyFont="1" applyNumberFormat="1">
      <alignment readingOrder="0"/>
    </xf>
    <xf borderId="4" fillId="0" fontId="5" numFmtId="164" xfId="0" applyAlignment="1" applyBorder="1" applyFont="1" applyNumberFormat="1">
      <alignment readingOrder="0"/>
    </xf>
    <xf borderId="4" fillId="0" fontId="5" numFmtId="165" xfId="0" applyAlignment="1" applyBorder="1" applyFont="1" applyNumberFormat="1">
      <alignment readingOrder="0"/>
    </xf>
    <xf borderId="4" fillId="0" fontId="3" numFmtId="0" xfId="0" applyBorder="1" applyFont="1"/>
    <xf borderId="4" fillId="0" fontId="5" numFmtId="0" xfId="0" applyBorder="1" applyFont="1"/>
    <xf borderId="4" fillId="0" fontId="5" numFmtId="164" xfId="0" applyBorder="1" applyFont="1" applyNumberFormat="1"/>
    <xf borderId="4" fillId="0" fontId="5" numFmtId="165" xfId="0" applyBorder="1" applyFont="1" applyNumberFormat="1"/>
    <xf borderId="1" fillId="5" fontId="3" numFmtId="0" xfId="0" applyAlignment="1" applyBorder="1" applyFont="1">
      <alignment vertical="bottom"/>
    </xf>
    <xf borderId="1" fillId="3" fontId="3" numFmtId="3" xfId="0" applyAlignment="1" applyBorder="1" applyFont="1" applyNumberFormat="1">
      <alignment vertical="bottom"/>
    </xf>
    <xf borderId="1" fillId="2" fontId="3" numFmtId="0" xfId="0" applyAlignment="1" applyBorder="1" applyFont="1">
      <alignment vertical="bottom"/>
    </xf>
    <xf borderId="2" fillId="2" fontId="3" numFmtId="10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vertical="bottom"/>
    </xf>
    <xf borderId="1" fillId="4" fontId="0" numFmtId="166" xfId="0" applyBorder="1" applyFont="1" applyNumberFormat="1"/>
    <xf borderId="1" fillId="0" fontId="5" numFmtId="0" xfId="0" applyAlignment="1" applyBorder="1" applyFont="1">
      <alignment horizontal="right" readingOrder="0" vertical="bottom"/>
    </xf>
    <xf borderId="1" fillId="3" fontId="3" numFmtId="165" xfId="0" applyBorder="1" applyFont="1" applyNumberFormat="1"/>
    <xf borderId="1" fillId="5" fontId="4" numFmtId="0" xfId="0" applyAlignment="1" applyBorder="1" applyFont="1">
      <alignment readingOrder="0" vertical="bottom"/>
    </xf>
    <xf borderId="1" fillId="5" fontId="5" numFmtId="10" xfId="0" applyAlignment="1" applyBorder="1" applyFont="1" applyNumberFormat="1">
      <alignment readingOrder="0" vertical="bottom"/>
    </xf>
    <xf borderId="1" fillId="5" fontId="5" numFmtId="3" xfId="0" applyAlignment="1" applyBorder="1" applyFont="1" applyNumberFormat="1">
      <alignment readingOrder="0" vertical="bottom"/>
    </xf>
    <xf borderId="1" fillId="5" fontId="5" numFmtId="165" xfId="0" applyAlignment="1" applyBorder="1" applyFont="1" applyNumberFormat="1">
      <alignment vertical="bottom"/>
    </xf>
    <xf borderId="1" fillId="5" fontId="0" numFmtId="165" xfId="0" applyAlignment="1" applyBorder="1" applyFont="1" applyNumberFormat="1">
      <alignment vertical="bottom"/>
    </xf>
    <xf borderId="1" fillId="5" fontId="0" numFmtId="164" xfId="0" applyAlignment="1" applyBorder="1" applyFont="1" applyNumberFormat="1">
      <alignment vertical="bottom"/>
    </xf>
    <xf borderId="1" fillId="4" fontId="35" numFmtId="167" xfId="0" applyBorder="1" applyFont="1" applyNumberFormat="1"/>
    <xf borderId="1" fillId="0" fontId="8" numFmtId="165" xfId="0" applyBorder="1" applyFont="1" applyNumberFormat="1"/>
    <xf borderId="1" fillId="5" fontId="5" numFmtId="0" xfId="0" applyAlignment="1" applyBorder="1" applyFont="1">
      <alignment readingOrder="0"/>
    </xf>
    <xf borderId="1" fillId="5" fontId="5" numFmtId="0" xfId="0" applyBorder="1" applyFont="1"/>
    <xf borderId="1" fillId="5" fontId="5" numFmtId="164" xfId="0" applyBorder="1" applyFont="1" applyNumberFormat="1"/>
    <xf borderId="1" fillId="5" fontId="5" numFmtId="165" xfId="0" applyBorder="1" applyFont="1" applyNumberFormat="1"/>
    <xf borderId="1" fillId="5" fontId="0" numFmtId="165" xfId="0" applyAlignment="1" applyBorder="1" applyFont="1" applyNumberFormat="1">
      <alignment readingOrder="0" vertical="bottom"/>
    </xf>
    <xf borderId="1" fillId="5" fontId="5" numFmtId="0" xfId="0" applyAlignment="1" applyBorder="1" applyFont="1">
      <alignment vertical="bottom"/>
    </xf>
    <xf borderId="1" fillId="5" fontId="5" numFmtId="168" xfId="0" applyAlignment="1" applyBorder="1" applyFont="1" applyNumberFormat="1">
      <alignment readingOrder="0"/>
    </xf>
    <xf borderId="1" fillId="5" fontId="5" numFmtId="164" xfId="0" applyAlignment="1" applyBorder="1" applyFont="1" applyNumberFormat="1">
      <alignment readingOrder="0"/>
    </xf>
    <xf borderId="1" fillId="5" fontId="5" numFmtId="165" xfId="0" applyAlignment="1" applyBorder="1" applyFont="1" applyNumberFormat="1">
      <alignment readingOrder="0"/>
    </xf>
    <xf borderId="1" fillId="5" fontId="5" numFmtId="0" xfId="0" applyAlignment="1" applyBorder="1" applyFont="1">
      <alignment readingOrder="0" vertical="bottom"/>
    </xf>
    <xf borderId="1" fillId="5" fontId="5" numFmtId="9" xfId="0" applyAlignment="1" applyBorder="1" applyFont="1" applyNumberFormat="1">
      <alignment readingOrder="0" vertical="bottom"/>
    </xf>
    <xf borderId="1" fillId="5" fontId="5" numFmtId="10" xfId="0" applyAlignment="1" applyBorder="1" applyFont="1" applyNumberFormat="1">
      <alignment vertical="bottom"/>
    </xf>
    <xf borderId="1" fillId="5" fontId="0" numFmtId="0" xfId="0" applyAlignment="1" applyBorder="1" applyFont="1">
      <alignment vertical="bottom"/>
    </xf>
    <xf borderId="0" fillId="4" fontId="35" numFmtId="167" xfId="0" applyFont="1" applyNumberFormat="1"/>
    <xf borderId="1" fillId="5" fontId="0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0" fontId="5" numFmtId="164" xfId="0" applyAlignment="1" applyBorder="1" applyFont="1" applyNumberFormat="1">
      <alignment vertical="bottom"/>
    </xf>
    <xf borderId="1" fillId="0" fontId="3" numFmtId="165" xfId="0" applyAlignment="1" applyBorder="1" applyFont="1" applyNumberFormat="1">
      <alignment horizontal="right" vertical="bottom"/>
    </xf>
    <xf borderId="1" fillId="0" fontId="0" numFmtId="164" xfId="0" applyAlignment="1" applyBorder="1" applyFont="1" applyNumberFormat="1">
      <alignment readingOrder="0"/>
    </xf>
    <xf borderId="1" fillId="0" fontId="3" numFmtId="10" xfId="0" applyAlignment="1" applyBorder="1" applyFont="1" applyNumberFormat="1">
      <alignment horizontal="right" vertical="bottom"/>
    </xf>
    <xf borderId="1" fillId="0" fontId="3" numFmtId="10" xfId="0" applyAlignment="1" applyBorder="1" applyFont="1" applyNumberFormat="1">
      <alignment vertical="bottom"/>
    </xf>
    <xf borderId="1" fillId="5" fontId="4" numFmtId="0" xfId="0" applyAlignment="1" applyBorder="1" applyFont="1">
      <alignment vertical="bottom"/>
    </xf>
    <xf borderId="1" fillId="5" fontId="7" numFmtId="0" xfId="0" applyAlignment="1" applyBorder="1" applyFont="1">
      <alignment vertical="bottom"/>
    </xf>
    <xf borderId="1" fillId="0" fontId="8" numFmtId="165" xfId="0" applyAlignment="1" applyBorder="1" applyFont="1" applyNumberFormat="1">
      <alignment readingOrder="0" vertical="bottom"/>
    </xf>
    <xf borderId="1" fillId="0" fontId="8" numFmtId="164" xfId="0" applyBorder="1" applyFont="1" applyNumberFormat="1"/>
    <xf borderId="1" fillId="4" fontId="8" numFmtId="167" xfId="0" applyBorder="1" applyFont="1" applyNumberFormat="1"/>
    <xf borderId="1" fillId="0" fontId="8" numFmtId="164" xfId="0" applyAlignment="1" applyBorder="1" applyFont="1" applyNumberFormat="1">
      <alignment readingOrder="0" vertical="bottom"/>
    </xf>
    <xf borderId="1" fillId="0" fontId="8" numFmtId="0" xfId="0" applyBorder="1" applyFont="1"/>
    <xf borderId="1" fillId="3" fontId="5" numFmtId="164" xfId="0" applyAlignment="1" applyBorder="1" applyFont="1" applyNumberFormat="1">
      <alignment vertical="bottom"/>
    </xf>
    <xf borderId="1" fillId="3" fontId="5" numFmtId="165" xfId="0" applyBorder="1" applyFont="1" applyNumberFormat="1"/>
    <xf borderId="1" fillId="3" fontId="3" numFmtId="0" xfId="0" applyAlignment="1" applyBorder="1" applyFont="1">
      <alignment readingOrder="0" shrinkToFit="0" vertical="bottom" wrapText="0"/>
    </xf>
    <xf borderId="0" fillId="0" fontId="5" numFmtId="0" xfId="0" applyFont="1"/>
    <xf borderId="1" fillId="0" fontId="0" numFmtId="165" xfId="0" applyAlignment="1" applyBorder="1" applyFont="1" applyNumberFormat="1">
      <alignment readingOrder="0" vertical="bottom"/>
    </xf>
    <xf borderId="1" fillId="2" fontId="3" numFmtId="165" xfId="0" applyAlignment="1" applyBorder="1" applyFont="1" applyNumberFormat="1">
      <alignment readingOrder="0" vertical="bottom"/>
    </xf>
    <xf borderId="1" fillId="4" fontId="5" numFmtId="167" xfId="0" applyAlignment="1" applyBorder="1" applyFont="1" applyNumberFormat="1">
      <alignment readingOrder="0" vertical="bottom"/>
    </xf>
    <xf borderId="1" fillId="2" fontId="5" numFmtId="165" xfId="0" applyAlignment="1" applyBorder="1" applyFont="1" applyNumberFormat="1">
      <alignment vertical="bottom"/>
    </xf>
    <xf borderId="1" fillId="3" fontId="3" numFmtId="10" xfId="0" applyAlignment="1" applyBorder="1" applyFont="1" applyNumberFormat="1">
      <alignment readingOrder="0" vertical="bottom"/>
    </xf>
    <xf borderId="1" fillId="3" fontId="3" numFmtId="165" xfId="0" applyAlignment="1" applyBorder="1" applyFont="1" applyNumberFormat="1">
      <alignment horizontal="right" readingOrder="0" vertical="bottom"/>
    </xf>
    <xf borderId="2" fillId="6" fontId="5" numFmtId="0" xfId="0" applyAlignment="1" applyBorder="1" applyFont="1">
      <alignment vertical="bottom"/>
    </xf>
    <xf borderId="2" fillId="6" fontId="3" numFmtId="0" xfId="0" applyAlignment="1" applyBorder="1" applyFont="1">
      <alignment readingOrder="0" vertical="bottom"/>
    </xf>
    <xf borderId="2" fillId="6" fontId="3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1" fillId="0" fontId="4" numFmtId="3" xfId="0" applyAlignment="1" applyBorder="1" applyFont="1" applyNumberFormat="1">
      <alignment readingOrder="0"/>
    </xf>
    <xf borderId="1" fillId="4" fontId="3" numFmtId="167" xfId="0" applyAlignment="1" applyBorder="1" applyFont="1" applyNumberFormat="1">
      <alignment horizontal="right" vertical="bottom"/>
    </xf>
    <xf borderId="0" fillId="5" fontId="3" numFmtId="165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1" fillId="3" fontId="4" numFmtId="165" xfId="0" applyAlignment="1" applyBorder="1" applyFont="1" applyNumberFormat="1">
      <alignment readingOrder="0" vertical="bottom"/>
    </xf>
    <xf borderId="4" fillId="0" fontId="5" numFmtId="0" xfId="0" applyAlignment="1" applyBorder="1" applyFont="1">
      <alignment vertical="bottom"/>
    </xf>
    <xf borderId="4" fillId="0" fontId="5" numFmtId="168" xfId="0" applyAlignment="1" applyBorder="1" applyFont="1" applyNumberFormat="1">
      <alignment vertical="bottom"/>
    </xf>
    <xf borderId="4" fillId="0" fontId="5" numFmtId="164" xfId="0" applyAlignment="1" applyBorder="1" applyFont="1" applyNumberFormat="1">
      <alignment vertical="bottom"/>
    </xf>
    <xf borderId="4" fillId="0" fontId="5" numFmtId="165" xfId="0" applyAlignment="1" applyBorder="1" applyFont="1" applyNumberFormat="1">
      <alignment vertical="bottom"/>
    </xf>
    <xf borderId="4" fillId="0" fontId="5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5" fontId="18" numFmtId="0" xfId="0" applyAlignment="1" applyBorder="1" applyFont="1">
      <alignment vertical="bottom"/>
    </xf>
    <xf borderId="2" fillId="0" fontId="2" numFmtId="0" xfId="0" applyAlignment="1" applyBorder="1" applyFont="1">
      <alignment horizontal="right" readingOrder="0" vertical="bottom"/>
    </xf>
    <xf borderId="0" fillId="0" fontId="16" numFmtId="4" xfId="0" applyFont="1" applyNumberFormat="1"/>
    <xf borderId="0" fillId="0" fontId="16" numFmtId="10" xfId="0" applyFont="1" applyNumberFormat="1"/>
    <xf borderId="1" fillId="3" fontId="4" numFmtId="10" xfId="0" applyAlignment="1" applyBorder="1" applyFont="1" applyNumberFormat="1">
      <alignment readingOrder="0" vertical="bottom"/>
    </xf>
    <xf borderId="1" fillId="0" fontId="0" numFmtId="0" xfId="0" applyBorder="1" applyFont="1"/>
    <xf borderId="1" fillId="0" fontId="5" numFmtId="0" xfId="0" applyAlignment="1" applyBorder="1" applyFont="1">
      <alignment readingOrder="0"/>
    </xf>
    <xf borderId="1" fillId="0" fontId="5" numFmtId="171" xfId="0" applyAlignment="1" applyBorder="1" applyFont="1" applyNumberFormat="1">
      <alignment readingOrder="0" vertical="bottom"/>
    </xf>
    <xf borderId="1" fillId="0" fontId="5" numFmtId="171" xfId="0" applyAlignment="1" applyBorder="1" applyFont="1" applyNumberFormat="1">
      <alignment readingOrder="0"/>
    </xf>
    <xf borderId="1" fillId="0" fontId="5" numFmtId="170" xfId="0" applyAlignment="1" applyBorder="1" applyFont="1" applyNumberFormat="1">
      <alignment readingOrder="0" vertical="bottom"/>
    </xf>
    <xf borderId="1" fillId="0" fontId="5" numFmtId="170" xfId="0" applyAlignment="1" applyBorder="1" applyFont="1" applyNumberFormat="1">
      <alignment readingOrder="0"/>
    </xf>
    <xf borderId="1" fillId="0" fontId="5" numFmtId="172" xfId="0" applyAlignment="1" applyBorder="1" applyFont="1" applyNumberFormat="1">
      <alignment readingOrder="0" vertical="bottom"/>
    </xf>
    <xf borderId="1" fillId="0" fontId="5" numFmtId="172" xfId="0" applyAlignment="1" applyBorder="1" applyFont="1" applyNumberFormat="1">
      <alignment readingOrder="0"/>
    </xf>
    <xf borderId="4" fillId="0" fontId="3" numFmtId="3" xfId="0" applyAlignment="1" applyBorder="1" applyFont="1" applyNumberFormat="1">
      <alignment horizontal="right" readingOrder="0" vertical="bottom"/>
    </xf>
    <xf borderId="1" fillId="0" fontId="3" numFmtId="168" xfId="0" applyAlignment="1" applyBorder="1" applyFont="1" applyNumberFormat="1">
      <alignment readingOrder="0"/>
    </xf>
    <xf borderId="1" fillId="2" fontId="13" numFmtId="165" xfId="0" applyAlignment="1" applyBorder="1" applyFont="1" applyNumberFormat="1">
      <alignment readingOrder="0" vertical="bottom"/>
    </xf>
    <xf borderId="1" fillId="2" fontId="3" numFmtId="165" xfId="0" applyAlignment="1" applyBorder="1" applyFont="1" applyNumberFormat="1">
      <alignment vertical="bottom"/>
    </xf>
    <xf borderId="1" fillId="3" fontId="4" numFmtId="164" xfId="0" applyAlignment="1" applyBorder="1" applyFont="1" applyNumberFormat="1">
      <alignment vertical="bottom"/>
    </xf>
    <xf borderId="1" fillId="2" fontId="5" numFmtId="10" xfId="0" applyAlignment="1" applyBorder="1" applyFont="1" applyNumberFormat="1">
      <alignment vertical="bottom"/>
    </xf>
    <xf borderId="1" fillId="0" fontId="5" numFmtId="0" xfId="0" applyAlignment="1" applyBorder="1" applyFont="1">
      <alignment horizontal="right" vertical="bottom"/>
    </xf>
    <xf borderId="1" fillId="3" fontId="3" numFmtId="0" xfId="0" applyAlignment="1" applyBorder="1" applyFont="1">
      <alignment shrinkToFit="0" vertical="bottom" wrapText="0"/>
    </xf>
    <xf borderId="1" fillId="5" fontId="5" numFmtId="167" xfId="0" applyAlignment="1" applyBorder="1" applyFont="1" applyNumberFormat="1">
      <alignment vertical="bottom"/>
    </xf>
    <xf borderId="1" fillId="3" fontId="5" numFmtId="10" xfId="0" applyAlignment="1" applyBorder="1" applyFont="1" applyNumberFormat="1">
      <alignment vertical="bottom"/>
    </xf>
    <xf borderId="1" fillId="3" fontId="5" numFmtId="165" xfId="0" applyAlignment="1" applyBorder="1" applyFont="1" applyNumberFormat="1">
      <alignment vertical="bottom"/>
    </xf>
    <xf borderId="1" fillId="3" fontId="15" numFmtId="164" xfId="0" applyAlignment="1" applyBorder="1" applyFont="1" applyNumberFormat="1">
      <alignment readingOrder="0"/>
    </xf>
    <xf borderId="1" fillId="0" fontId="15" numFmtId="0" xfId="0" applyBorder="1" applyFont="1"/>
    <xf borderId="1" fillId="0" fontId="16" numFmtId="165" xfId="0" applyBorder="1" applyFont="1" applyNumberFormat="1"/>
    <xf borderId="1" fillId="0" fontId="0" numFmtId="0" xfId="0" applyAlignment="1" applyBorder="1" applyFont="1">
      <alignment horizontal="right" readingOrder="0" vertical="bottom"/>
    </xf>
    <xf borderId="1" fillId="3" fontId="3" numFmtId="167" xfId="0" applyAlignment="1" applyBorder="1" applyFont="1" applyNumberFormat="1">
      <alignment vertical="bottom"/>
    </xf>
    <xf borderId="1" fillId="0" fontId="12" numFmtId="165" xfId="0" applyBorder="1" applyFont="1" applyNumberFormat="1"/>
    <xf borderId="1" fillId="5" fontId="3" numFmtId="10" xfId="0" applyAlignment="1" applyBorder="1" applyFont="1" applyNumberFormat="1">
      <alignment vertical="bottom"/>
    </xf>
    <xf borderId="1" fillId="0" fontId="12" numFmtId="0" xfId="0" applyBorder="1" applyFont="1"/>
    <xf borderId="1" fillId="4" fontId="26" numFmtId="166" xfId="0" applyBorder="1" applyFont="1" applyNumberFormat="1"/>
    <xf borderId="1" fillId="0" fontId="16" numFmtId="170" xfId="0" applyAlignment="1" applyBorder="1" applyFont="1" applyNumberFormat="1">
      <alignment readingOrder="0"/>
    </xf>
    <xf borderId="1" fillId="0" fontId="16" numFmtId="171" xfId="0" applyAlignment="1" applyBorder="1" applyFont="1" applyNumberFormat="1">
      <alignment readingOrder="0"/>
    </xf>
    <xf borderId="1" fillId="3" fontId="15" numFmtId="164" xfId="0" applyBorder="1" applyFont="1" applyNumberFormat="1"/>
    <xf borderId="1" fillId="3" fontId="16" numFmtId="165" xfId="0" applyBorder="1" applyFont="1" applyNumberFormat="1"/>
    <xf borderId="0" fillId="5" fontId="3" numFmtId="0" xfId="0" applyAlignment="1" applyFont="1">
      <alignment vertical="bottom"/>
    </xf>
    <xf borderId="0" fillId="5" fontId="3" numFmtId="167" xfId="0" applyAlignment="1" applyFont="1" applyNumberFormat="1">
      <alignment horizontal="right"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1" fillId="3" fontId="4" numFmtId="164" xfId="0" applyAlignment="1" applyBorder="1" applyFont="1" applyNumberFormat="1">
      <alignment readingOrder="0" vertical="bottom"/>
    </xf>
    <xf borderId="1" fillId="0" fontId="0" numFmtId="165" xfId="0" applyAlignment="1" applyBorder="1" applyFont="1" applyNumberFormat="1">
      <alignment horizontal="right" readingOrder="0" vertical="bottom"/>
    </xf>
    <xf borderId="1" fillId="0" fontId="5" numFmtId="164" xfId="0" applyAlignment="1" applyBorder="1" applyFont="1" applyNumberFormat="1">
      <alignment horizontal="right" readingOrder="0" vertical="bottom"/>
    </xf>
    <xf borderId="1" fillId="4" fontId="6" numFmtId="166" xfId="0" applyAlignment="1" applyBorder="1" applyFont="1" applyNumberFormat="1">
      <alignment horizontal="right" vertical="bottom"/>
    </xf>
    <xf borderId="1" fillId="0" fontId="0" numFmtId="164" xfId="0" applyAlignment="1" applyBorder="1" applyFont="1" applyNumberFormat="1">
      <alignment horizontal="right" vertical="bottom"/>
    </xf>
    <xf borderId="1" fillId="0" fontId="0" numFmtId="164" xfId="0" applyAlignment="1" applyBorder="1" applyFont="1" applyNumberFormat="1">
      <alignment horizontal="right" readingOrder="0" vertical="bottom"/>
    </xf>
    <xf borderId="1" fillId="4" fontId="27" numFmtId="167" xfId="0" applyAlignment="1" applyBorder="1" applyFont="1" applyNumberFormat="1">
      <alignment horizontal="right" vertical="bottom"/>
    </xf>
    <xf borderId="1" fillId="0" fontId="0" numFmtId="165" xfId="0" applyAlignment="1" applyBorder="1" applyFont="1" applyNumberFormat="1">
      <alignment horizontal="right" vertical="bottom"/>
    </xf>
    <xf borderId="1" fillId="2" fontId="3" numFmtId="10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readingOrder="0" vertical="bottom"/>
    </xf>
    <xf borderId="1" fillId="0" fontId="3" numFmtId="10" xfId="0" applyAlignment="1" applyBorder="1" applyFont="1" applyNumberFormat="1">
      <alignment readingOrder="0" vertical="bottom"/>
    </xf>
    <xf borderId="1" fillId="5" fontId="4" numFmtId="10" xfId="0" applyAlignment="1" applyBorder="1" applyFont="1" applyNumberFormat="1">
      <alignment readingOrder="0"/>
    </xf>
    <xf borderId="1" fillId="5" fontId="4" numFmtId="0" xfId="0" applyAlignment="1" applyBorder="1" applyFont="1">
      <alignment readingOrder="0"/>
    </xf>
    <xf borderId="1" fillId="5" fontId="3" numFmtId="10" xfId="0" applyAlignment="1" applyBorder="1" applyFont="1" applyNumberFormat="1">
      <alignment readingOrder="0" vertical="bottom"/>
    </xf>
    <xf borderId="1" fillId="5" fontId="5" numFmtId="165" xfId="0" applyAlignment="1" applyBorder="1" applyFont="1" applyNumberFormat="1">
      <alignment horizontal="right" readingOrder="0" vertical="bottom"/>
    </xf>
    <xf borderId="1" fillId="5" fontId="0" numFmtId="165" xfId="0" applyAlignment="1" applyBorder="1" applyFont="1" applyNumberFormat="1">
      <alignment horizontal="right" readingOrder="0" vertical="bottom"/>
    </xf>
    <xf borderId="1" fillId="5" fontId="5" numFmtId="164" xfId="0" applyAlignment="1" applyBorder="1" applyFont="1" applyNumberFormat="1">
      <alignment readingOrder="0" vertical="bottom"/>
    </xf>
    <xf borderId="1" fillId="5" fontId="3" numFmtId="165" xfId="0" applyAlignment="1" applyBorder="1" applyFont="1" applyNumberFormat="1">
      <alignment horizontal="right" vertical="bottom"/>
    </xf>
    <xf borderId="1" fillId="5" fontId="4" numFmtId="165" xfId="0" applyAlignment="1" applyBorder="1" applyFont="1" applyNumberFormat="1">
      <alignment horizontal="right" vertical="bottom"/>
    </xf>
    <xf borderId="1" fillId="5" fontId="5" numFmtId="164" xfId="0" applyAlignment="1" applyBorder="1" applyFont="1" applyNumberFormat="1">
      <alignment vertical="bottom"/>
    </xf>
    <xf borderId="1" fillId="3" fontId="3" numFmtId="165" xfId="0" applyAlignment="1" applyBorder="1" applyFont="1" applyNumberFormat="1">
      <alignment horizontal="right" vertical="bottom"/>
    </xf>
    <xf borderId="1" fillId="3" fontId="4" numFmtId="165" xfId="0" applyAlignment="1" applyBorder="1" applyFont="1" applyNumberFormat="1">
      <alignment horizontal="right" vertical="bottom"/>
    </xf>
    <xf borderId="1" fillId="3" fontId="3" numFmtId="10" xfId="0" applyAlignment="1" applyBorder="1" applyFont="1" applyNumberFormat="1">
      <alignment horizontal="right" vertical="bottom"/>
    </xf>
    <xf borderId="1" fillId="0" fontId="5" numFmtId="165" xfId="0" applyAlignment="1" applyBorder="1" applyFont="1" applyNumberFormat="1">
      <alignment horizontal="right" vertical="bottom"/>
    </xf>
    <xf borderId="1" fillId="0" fontId="5" numFmtId="164" xfId="0" applyAlignment="1" applyBorder="1" applyFont="1" applyNumberFormat="1">
      <alignment horizontal="right" vertical="bottom"/>
    </xf>
    <xf borderId="1" fillId="4" fontId="5" numFmtId="167" xfId="0" applyAlignment="1" applyBorder="1" applyFont="1" applyNumberFormat="1">
      <alignment horizontal="right" vertical="bottom"/>
    </xf>
    <xf borderId="1" fillId="0" fontId="4" numFmtId="10" xfId="0" applyAlignment="1" applyBorder="1" applyFont="1" applyNumberFormat="1">
      <alignment readingOrder="0" vertical="bottom"/>
    </xf>
    <xf borderId="1" fillId="4" fontId="27" numFmtId="166" xfId="0" applyAlignment="1" applyBorder="1" applyFont="1" applyNumberFormat="1">
      <alignment horizontal="right" vertical="bottom"/>
    </xf>
    <xf borderId="1" fillId="5" fontId="4" numFmtId="10" xfId="0" applyAlignment="1" applyBorder="1" applyFont="1" applyNumberFormat="1">
      <alignment readingOrder="0" vertical="bottom"/>
    </xf>
    <xf borderId="1" fillId="0" fontId="4" numFmtId="10" xfId="0" applyAlignment="1" applyBorder="1" applyFont="1" applyNumberFormat="1">
      <alignment vertical="bottom"/>
    </xf>
    <xf borderId="1" fillId="0" fontId="5" numFmtId="9" xfId="0" applyAlignment="1" applyBorder="1" applyFont="1" applyNumberFormat="1">
      <alignment horizontal="right" readingOrder="0" vertical="bottom"/>
    </xf>
    <xf borderId="9" fillId="3" fontId="3" numFmtId="0" xfId="0" applyAlignment="1" applyBorder="1" applyFont="1">
      <alignment vertical="bottom"/>
    </xf>
    <xf borderId="1" fillId="0" fontId="0" numFmtId="164" xfId="0" applyAlignment="1" applyBorder="1" applyFont="1" applyNumberFormat="1">
      <alignment vertical="bottom"/>
    </xf>
    <xf borderId="1" fillId="5" fontId="4" numFmtId="10" xfId="0" applyAlignment="1" applyBorder="1" applyFont="1" applyNumberFormat="1">
      <alignment vertical="bottom"/>
    </xf>
    <xf borderId="1" fillId="5" fontId="7" numFmtId="10" xfId="0" applyAlignment="1" applyBorder="1" applyFont="1" applyNumberFormat="1">
      <alignment vertical="bottom"/>
    </xf>
    <xf borderId="1" fillId="0" fontId="0" numFmtId="164" xfId="0" applyAlignment="1" applyBorder="1" applyFont="1" applyNumberFormat="1">
      <alignment horizontal="right" vertical="bottom"/>
    </xf>
    <xf borderId="1" fillId="0" fontId="16" numFmtId="170" xfId="0" applyBorder="1" applyFont="1" applyNumberFormat="1"/>
    <xf borderId="1" fillId="0" fontId="5" numFmtId="176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horizontal="right" vertical="bottom"/>
    </xf>
    <xf borderId="1" fillId="3" fontId="16" numFmtId="170" xfId="0" applyBorder="1" applyFont="1" applyNumberFormat="1"/>
    <xf borderId="1" fillId="0" fontId="5" numFmtId="10" xfId="0" applyAlignment="1" applyBorder="1" applyFont="1" applyNumberFormat="1">
      <alignment horizontal="right" vertical="bottom"/>
    </xf>
    <xf borderId="1" fillId="4" fontId="5" numFmtId="167" xfId="0" applyAlignment="1" applyBorder="1" applyFont="1" applyNumberFormat="1">
      <alignment horizontal="right" readingOrder="0" vertical="bottom"/>
    </xf>
    <xf borderId="1" fillId="2" fontId="3" numFmtId="165" xfId="0" applyAlignment="1" applyBorder="1" applyFont="1" applyNumberFormat="1">
      <alignment horizontal="right" readingOrder="0" vertical="bottom"/>
    </xf>
    <xf borderId="1" fillId="5" fontId="6" numFmtId="167" xfId="0" applyAlignment="1" applyBorder="1" applyFont="1" applyNumberFormat="1">
      <alignment horizontal="right" vertical="bottom"/>
    </xf>
    <xf borderId="1" fillId="2" fontId="3" numFmtId="165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readingOrder="0" vertical="bottom"/>
    </xf>
    <xf borderId="0" fillId="5" fontId="36" numFmtId="0" xfId="0" applyAlignment="1" applyFont="1">
      <alignment horizontal="left" readingOrder="0"/>
    </xf>
    <xf borderId="4" fillId="0" fontId="5" numFmtId="4" xfId="0" applyAlignment="1" applyBorder="1" applyFont="1" applyNumberFormat="1">
      <alignment vertical="bottom"/>
    </xf>
    <xf borderId="1" fillId="5" fontId="0" numFmtId="165" xfId="0" applyAlignment="1" applyBorder="1" applyFont="1" applyNumberFormat="1">
      <alignment horizontal="right" vertical="bottom"/>
    </xf>
    <xf borderId="1" fillId="5" fontId="15" numFmtId="0" xfId="0" applyBorder="1" applyFont="1"/>
    <xf borderId="1" fillId="5" fontId="15" numFmtId="164" xfId="0" applyBorder="1" applyFont="1" applyNumberFormat="1"/>
    <xf borderId="1" fillId="5" fontId="15" numFmtId="165" xfId="0" applyBorder="1" applyFont="1" applyNumberFormat="1"/>
    <xf borderId="1" fillId="4" fontId="3" numFmtId="10" xfId="0" applyAlignment="1" applyBorder="1" applyFont="1" applyNumberFormat="1">
      <alignment horizontal="right" vertical="bottom"/>
    </xf>
    <xf borderId="1" fillId="5" fontId="37" numFmtId="0" xfId="0" applyAlignment="1" applyBorder="1" applyFont="1">
      <alignment readingOrder="0"/>
    </xf>
    <xf borderId="1" fillId="0" fontId="0" numFmtId="164" xfId="0" applyAlignment="1" applyBorder="1" applyFont="1" applyNumberFormat="1">
      <alignment readingOrder="0" vertical="bottom"/>
    </xf>
    <xf borderId="1" fillId="5" fontId="18" numFmtId="0" xfId="0" applyAlignment="1" applyBorder="1" applyFont="1">
      <alignment readingOrder="0" vertical="bottom"/>
    </xf>
    <xf borderId="0" fillId="5" fontId="38" numFmtId="0" xfId="0" applyAlignment="1" applyFont="1">
      <alignment readingOrder="0"/>
    </xf>
    <xf borderId="1" fillId="0" fontId="0" numFmtId="170" xfId="0" applyAlignment="1" applyBorder="1" applyFont="1" applyNumberFormat="1">
      <alignment horizontal="right" vertical="bottom"/>
    </xf>
    <xf borderId="1" fillId="0" fontId="16" numFmtId="176" xfId="0" applyBorder="1" applyFont="1" applyNumberFormat="1"/>
    <xf borderId="1" fillId="0" fontId="16" numFmtId="176" xfId="0" applyAlignment="1" applyBorder="1" applyFont="1" applyNumberFormat="1">
      <alignment readingOrder="0"/>
    </xf>
    <xf borderId="1" fillId="0" fontId="16" numFmtId="172" xfId="0" applyAlignment="1" applyBorder="1" applyFont="1" applyNumberFormat="1">
      <alignment readingOrder="0"/>
    </xf>
    <xf borderId="1" fillId="3" fontId="15" numFmtId="165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0" fillId="5" fontId="5" numFmtId="0" xfId="0" applyAlignment="1" applyFont="1">
      <alignment horizontal="right" readingOrder="0" vertical="bottom"/>
    </xf>
    <xf borderId="0" fillId="5" fontId="5" numFmtId="165" xfId="0" applyAlignment="1" applyFont="1" applyNumberFormat="1">
      <alignment horizontal="right" readingOrder="0" vertical="bottom"/>
    </xf>
    <xf borderId="0" fillId="5" fontId="5" numFmtId="171" xfId="0" applyAlignment="1" applyFont="1" applyNumberFormat="1">
      <alignment horizontal="right" readingOrder="0" vertical="bottom"/>
    </xf>
    <xf borderId="0" fillId="5" fontId="6" numFmtId="166" xfId="0" applyAlignment="1" applyFont="1" applyNumberFormat="1">
      <alignment horizontal="right" vertical="bottom"/>
    </xf>
    <xf borderId="0" fillId="5" fontId="0" numFmtId="171" xfId="0" applyAlignment="1" applyFont="1" applyNumberFormat="1">
      <alignment horizontal="right" vertical="bottom"/>
    </xf>
    <xf borderId="0" fillId="5" fontId="16" numFmtId="164" xfId="0" applyAlignment="1" applyFont="1" applyNumberFormat="1">
      <alignment readingOrder="0"/>
    </xf>
    <xf borderId="0" fillId="5" fontId="5" numFmtId="164" xfId="0" applyAlignment="1" applyFont="1" applyNumberFormat="1">
      <alignment horizontal="right" vertical="bottom"/>
    </xf>
    <xf borderId="0" fillId="5" fontId="5" numFmtId="167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1" fillId="6" fontId="39" numFmtId="0" xfId="0" applyAlignment="1" applyBorder="1" applyFont="1">
      <alignment readingOrder="0" vertical="bottom"/>
    </xf>
    <xf borderId="2" fillId="6" fontId="2" numFmtId="0" xfId="0" applyAlignment="1" applyBorder="1" applyFont="1">
      <alignment vertical="bottom"/>
    </xf>
    <xf borderId="2" fillId="6" fontId="1" numFmtId="0" xfId="0" applyAlignment="1" applyBorder="1" applyFont="1">
      <alignment readingOrder="0" vertical="bottom"/>
    </xf>
    <xf borderId="2" fillId="6" fontId="1" numFmtId="0" xfId="0" applyAlignment="1" applyBorder="1" applyFont="1">
      <alignment readingOrder="0" vertical="bottom"/>
    </xf>
    <xf borderId="2" fillId="6" fontId="1" numFmtId="0" xfId="0" applyAlignment="1" applyBorder="1" applyFont="1">
      <alignment vertical="bottom"/>
    </xf>
    <xf borderId="0" fillId="5" fontId="16" numFmtId="171" xfId="0" applyAlignment="1" applyFont="1" applyNumberFormat="1">
      <alignment readingOrder="0"/>
    </xf>
    <xf borderId="4" fillId="0" fontId="1" numFmtId="3" xfId="0" applyAlignment="1" applyBorder="1" applyFont="1" applyNumberFormat="1">
      <alignment horizontal="right" readingOrder="0" vertical="bottom"/>
    </xf>
    <xf borderId="4" fillId="0" fontId="2" numFmtId="4" xfId="0" applyAlignment="1" applyBorder="1" applyFont="1" applyNumberFormat="1">
      <alignment vertical="bottom"/>
    </xf>
    <xf borderId="1" fillId="5" fontId="40" numFmtId="3" xfId="0" applyAlignment="1" applyBorder="1" applyFont="1" applyNumberFormat="1">
      <alignment readingOrder="0"/>
    </xf>
    <xf borderId="0" fillId="5" fontId="16" numFmtId="165" xfId="0" applyAlignment="1" applyFont="1" applyNumberFormat="1">
      <alignment readingOrder="0"/>
    </xf>
    <xf borderId="0" fillId="5" fontId="3" numFmtId="165" xfId="0" applyAlignment="1" applyFont="1" applyNumberFormat="1">
      <alignment horizontal="right" vertical="bottom"/>
    </xf>
    <xf borderId="0" fillId="5" fontId="3" numFmtId="10" xfId="0" applyAlignment="1" applyFont="1" applyNumberFormat="1">
      <alignment horizontal="right" vertical="bottom"/>
    </xf>
    <xf borderId="0" fillId="5" fontId="1" numFmtId="0" xfId="0" applyAlignment="1" applyFont="1">
      <alignment readingOrder="0"/>
    </xf>
    <xf borderId="0" fillId="5" fontId="5" numFmtId="10" xfId="0" applyAlignment="1" applyFont="1" applyNumberFormat="1">
      <alignment horizontal="right" vertical="bottom"/>
    </xf>
    <xf borderId="0" fillId="5" fontId="3" numFmtId="165" xfId="0" applyAlignment="1" applyFont="1" applyNumberFormat="1">
      <alignment horizontal="right" readingOrder="0" vertical="bottom"/>
    </xf>
    <xf borderId="0" fillId="5" fontId="5" numFmtId="167" xfId="0" applyAlignment="1" applyFont="1" applyNumberFormat="1">
      <alignment horizontal="right" readingOrder="0" vertical="bottom"/>
    </xf>
    <xf borderId="0" fillId="5" fontId="6" numFmtId="167" xfId="0" applyAlignment="1" applyFont="1" applyNumberFormat="1">
      <alignment horizontal="right" vertical="bottom"/>
    </xf>
    <xf borderId="0" fillId="5" fontId="5" numFmtId="10" xfId="0" applyAlignment="1" applyFont="1" applyNumberFormat="1">
      <alignment horizontal="right" readingOrder="0" vertical="bottom"/>
    </xf>
    <xf borderId="0" fillId="5" fontId="5" numFmtId="0" xfId="0" applyAlignment="1" applyFont="1">
      <alignment readingOrder="0" vertical="bottom"/>
    </xf>
    <xf borderId="1" fillId="0" fontId="16" numFmtId="164" xfId="0" applyBorder="1" applyFont="1" applyNumberFormat="1"/>
    <xf borderId="1" fillId="5" fontId="41" numFmtId="0" xfId="0" applyAlignment="1" applyBorder="1" applyFont="1">
      <alignment vertical="bottom"/>
    </xf>
    <xf borderId="1" fillId="3" fontId="16" numFmtId="164" xfId="0" applyBorder="1" applyFont="1" applyNumberFormat="1"/>
    <xf borderId="1" fillId="0" fontId="0" numFmtId="171" xfId="0" applyAlignment="1" applyBorder="1" applyFont="1" applyNumberFormat="1">
      <alignment horizontal="right" vertical="bottom"/>
    </xf>
    <xf borderId="1" fillId="0" fontId="16" numFmtId="171" xfId="0" applyBorder="1" applyFont="1" applyNumberFormat="1"/>
    <xf borderId="1" fillId="8" fontId="1" numFmtId="0" xfId="0" applyAlignment="1" applyBorder="1" applyFill="1" applyFont="1">
      <alignment readingOrder="0"/>
    </xf>
    <xf borderId="1" fillId="8" fontId="3" numFmtId="0" xfId="0" applyAlignment="1" applyBorder="1" applyFont="1">
      <alignment readingOrder="0" vertical="bottom"/>
    </xf>
    <xf borderId="1" fillId="8" fontId="3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9" fontId="1" numFmtId="0" xfId="0" applyAlignment="1" applyBorder="1" applyFill="1" applyFont="1">
      <alignment readingOrder="0"/>
    </xf>
    <xf borderId="1" fillId="9" fontId="3" numFmtId="0" xfId="0" applyAlignment="1" applyBorder="1" applyFont="1">
      <alignment vertical="bottom"/>
    </xf>
    <xf borderId="1" fillId="4" fontId="6" numFmtId="167" xfId="0" applyAlignment="1" applyBorder="1" applyFont="1" applyNumberFormat="1">
      <alignment horizontal="right" vertical="bottom"/>
    </xf>
    <xf borderId="1" fillId="9" fontId="3" numFmtId="165" xfId="0" applyAlignment="1" applyBorder="1" applyFont="1" applyNumberFormat="1">
      <alignment horizontal="right" readingOrder="0" vertical="bottom"/>
    </xf>
    <xf borderId="1" fillId="9" fontId="3" numFmtId="165" xfId="0" applyAlignment="1" applyBorder="1" applyFont="1" applyNumberFormat="1">
      <alignment horizontal="right" vertical="bottom"/>
    </xf>
    <xf borderId="0" fillId="5" fontId="42" numFmtId="0" xfId="0" applyAlignment="1" applyFont="1">
      <alignment readingOrder="0"/>
    </xf>
    <xf borderId="0" fillId="5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10" fillId="0" fontId="45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3" fontId="39" numFmtId="0" xfId="0" applyAlignment="1" applyBorder="1" applyFont="1">
      <alignment readingOrder="0"/>
    </xf>
    <xf borderId="1" fillId="3" fontId="13" numFmtId="0" xfId="0" applyAlignment="1" applyBorder="1" applyFont="1">
      <alignment readingOrder="0"/>
    </xf>
    <xf borderId="0" fillId="5" fontId="15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46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4" fontId="46" numFmtId="166" xfId="0" applyBorder="1" applyFont="1" applyNumberFormat="1"/>
    <xf borderId="1" fillId="0" fontId="46" numFmtId="164" xfId="0" applyBorder="1" applyFont="1" applyNumberFormat="1"/>
    <xf borderId="1" fillId="4" fontId="46" numFmtId="167" xfId="0" applyAlignment="1" applyBorder="1" applyFont="1" applyNumberFormat="1">
      <alignment readingOrder="0"/>
    </xf>
    <xf borderId="1" fillId="4" fontId="16" numFmtId="167" xfId="0" applyAlignment="1" applyBorder="1" applyFont="1" applyNumberFormat="1">
      <alignment readingOrder="0"/>
    </xf>
    <xf borderId="0" fillId="5" fontId="16" numFmtId="9" xfId="0" applyAlignment="1" applyFont="1" applyNumberFormat="1">
      <alignment readingOrder="0"/>
    </xf>
    <xf borderId="1" fillId="2" fontId="1" numFmtId="10" xfId="0" applyBorder="1" applyFont="1" applyNumberFormat="1"/>
    <xf borderId="1" fillId="0" fontId="1" numFmtId="0" xfId="0" applyAlignment="1" applyBorder="1" applyFont="1">
      <alignment readingOrder="0"/>
    </xf>
    <xf borderId="1" fillId="0" fontId="46" numFmtId="165" xfId="0" applyBorder="1" applyFont="1" applyNumberFormat="1"/>
    <xf borderId="1" fillId="4" fontId="46" numFmtId="167" xfId="0" applyBorder="1" applyFont="1" applyNumberFormat="1"/>
    <xf borderId="1" fillId="0" fontId="2" numFmtId="0" xfId="0" applyBorder="1" applyFont="1"/>
    <xf borderId="0" fillId="5" fontId="16" numFmtId="10" xfId="0" applyAlignment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0" fillId="5" fontId="16" numFmtId="165" xfId="0" applyFont="1" applyNumberFormat="1"/>
    <xf borderId="1" fillId="0" fontId="1" numFmtId="0" xfId="0" applyAlignment="1" applyBorder="1" applyFont="1">
      <alignment vertical="bottom"/>
    </xf>
    <xf borderId="1" fillId="0" fontId="2" numFmtId="165" xfId="0" applyBorder="1" applyFont="1" applyNumberFormat="1"/>
    <xf borderId="1" fillId="0" fontId="9" numFmtId="0" xfId="0" applyBorder="1" applyFont="1"/>
    <xf borderId="1" fillId="0" fontId="2" numFmtId="164" xfId="0" applyBorder="1" applyFont="1" applyNumberFormat="1"/>
    <xf borderId="1" fillId="0" fontId="46" numFmtId="0" xfId="0" applyBorder="1" applyFont="1"/>
    <xf borderId="1" fillId="4" fontId="9" numFmtId="167" xfId="0" applyBorder="1" applyFont="1" applyNumberFormat="1"/>
    <xf borderId="1" fillId="0" fontId="9" numFmtId="165" xfId="0" applyBorder="1" applyFont="1" applyNumberFormat="1"/>
    <xf borderId="1" fillId="3" fontId="2" numFmtId="0" xfId="0" applyBorder="1" applyFont="1"/>
    <xf borderId="1" fillId="3" fontId="1" numFmtId="165" xfId="0" applyBorder="1" applyFont="1" applyNumberFormat="1"/>
    <xf borderId="1" fillId="3" fontId="18" numFmtId="165" xfId="0" applyBorder="1" applyFont="1" applyNumberFormat="1"/>
    <xf borderId="1" fillId="3" fontId="2" numFmtId="164" xfId="0" applyBorder="1" applyFont="1" applyNumberFormat="1"/>
    <xf borderId="1" fillId="3" fontId="1" numFmtId="10" xfId="0" applyBorder="1" applyFont="1" applyNumberFormat="1"/>
    <xf borderId="1" fillId="3" fontId="15" numFmtId="10" xfId="0" applyBorder="1" applyFont="1" applyNumberFormat="1"/>
    <xf borderId="0" fillId="5" fontId="15" numFmtId="165" xfId="0" applyFont="1" applyNumberFormat="1"/>
    <xf borderId="1" fillId="4" fontId="2" numFmtId="167" xfId="0" applyAlignment="1" applyBorder="1" applyFont="1" applyNumberFormat="1">
      <alignment readingOrder="0"/>
    </xf>
    <xf borderId="1" fillId="4" fontId="2" numFmtId="167" xfId="0" applyBorder="1" applyFont="1" applyNumberFormat="1"/>
    <xf borderId="1" fillId="0" fontId="18" numFmtId="0" xfId="0" applyAlignment="1" applyBorder="1" applyFont="1">
      <alignment vertical="bottom"/>
    </xf>
    <xf borderId="1" fillId="3" fontId="1" numFmtId="0" xfId="0" applyBorder="1" applyFont="1"/>
    <xf borderId="1" fillId="4" fontId="16" numFmtId="167" xfId="0" applyBorder="1" applyFont="1" applyNumberFormat="1"/>
    <xf borderId="1" fillId="0" fontId="16" numFmtId="10" xfId="0" applyAlignment="1" applyBorder="1" applyFont="1" applyNumberFormat="1">
      <alignment readingOrder="0"/>
    </xf>
    <xf borderId="1" fillId="5" fontId="18" numFmtId="0" xfId="0" applyAlignment="1" applyBorder="1" applyFont="1">
      <alignment vertical="bottom"/>
    </xf>
    <xf borderId="1" fillId="0" fontId="2" numFmtId="9" xfId="0" applyAlignment="1" applyBorder="1" applyFont="1" applyNumberFormat="1">
      <alignment readingOrder="0"/>
    </xf>
    <xf borderId="0" fillId="5" fontId="16" numFmtId="0" xfId="0" applyFont="1"/>
    <xf borderId="1" fillId="4" fontId="31" numFmtId="167" xfId="0" applyBorder="1" applyFont="1" applyNumberFormat="1"/>
    <xf borderId="0" fillId="0" fontId="0" numFmtId="164" xfId="0" applyFont="1" applyNumberFormat="1"/>
    <xf borderId="0" fillId="3" fontId="1" numFmtId="0" xfId="0" applyAlignment="1" applyFont="1">
      <alignment readingOrder="0"/>
    </xf>
    <xf borderId="1" fillId="3" fontId="1" numFmtId="164" xfId="0" applyAlignment="1" applyBorder="1" applyFont="1" applyNumberFormat="1">
      <alignment readingOrder="0"/>
    </xf>
    <xf borderId="1" fillId="4" fontId="2" numFmtId="166" xfId="0" applyBorder="1" applyFont="1" applyNumberFormat="1"/>
    <xf borderId="0" fillId="0" fontId="46" numFmtId="164" xfId="0" applyFont="1" applyNumberFormat="1"/>
    <xf borderId="1" fillId="0" fontId="1" numFmtId="0" xfId="0" applyBorder="1" applyFont="1"/>
    <xf borderId="1" fillId="0" fontId="46" numFmtId="164" xfId="0" applyAlignment="1" applyBorder="1" applyFont="1" applyNumberFormat="1">
      <alignment readingOrder="0"/>
    </xf>
    <xf borderId="1" fillId="0" fontId="1" numFmtId="10" xfId="0" applyBorder="1" applyFont="1" applyNumberFormat="1"/>
    <xf borderId="1" fillId="5" fontId="40" numFmtId="0" xfId="0" applyAlignment="1" applyBorder="1" applyFont="1">
      <alignment readingOrder="0"/>
    </xf>
    <xf borderId="0" fillId="5" fontId="15" numFmtId="0" xfId="0" applyFont="1"/>
    <xf borderId="1" fillId="4" fontId="46" numFmtId="166" xfId="0" applyBorder="1" applyFont="1" applyNumberFormat="1"/>
    <xf borderId="1" fillId="0" fontId="46" numFmtId="164" xfId="0" applyBorder="1" applyFont="1" applyNumberFormat="1"/>
    <xf borderId="1" fillId="3" fontId="1" numFmtId="165" xfId="0" applyAlignment="1" applyBorder="1" applyFont="1" applyNumberFormat="1">
      <alignment readingOrder="0"/>
    </xf>
    <xf borderId="1" fillId="0" fontId="2" numFmtId="10" xfId="0" applyBorder="1" applyFont="1" applyNumberFormat="1"/>
    <xf borderId="1" fillId="0" fontId="1" numFmtId="165" xfId="0" applyBorder="1" applyFont="1" applyNumberFormat="1"/>
    <xf borderId="1" fillId="4" fontId="9" numFmtId="167" xfId="0" applyAlignment="1" applyBorder="1" applyFont="1" applyNumberFormat="1">
      <alignment readingOrder="0"/>
    </xf>
    <xf borderId="1" fillId="9" fontId="1" numFmtId="165" xfId="0" applyAlignment="1" applyBorder="1" applyFont="1" applyNumberFormat="1">
      <alignment readingOrder="0"/>
    </xf>
    <xf borderId="1" fillId="9" fontId="1" numFmtId="165" xfId="0" applyBorder="1" applyFont="1" applyNumberFormat="1"/>
    <xf borderId="1" fillId="5" fontId="2" numFmtId="0" xfId="0" applyAlignment="1" applyBorder="1" applyFont="1">
      <alignment readingOrder="0"/>
    </xf>
    <xf borderId="1" fillId="4" fontId="1" numFmtId="167" xfId="0" applyBorder="1" applyFont="1" applyNumberFormat="1"/>
    <xf borderId="0" fillId="5" fontId="47" numFmtId="0" xfId="0" applyAlignment="1" applyFont="1">
      <alignment horizontal="left" readingOrder="0"/>
    </xf>
    <xf borderId="1" fillId="6" fontId="39" numFmtId="0" xfId="0" applyAlignment="1" applyBorder="1" applyFont="1">
      <alignment vertical="bottom"/>
    </xf>
    <xf borderId="4" fillId="0" fontId="1" numFmtId="4" xfId="0" applyAlignment="1" applyBorder="1" applyFont="1" applyNumberFormat="1">
      <alignment horizontal="right" readingOrder="0" vertical="bottom"/>
    </xf>
    <xf borderId="1" fillId="3" fontId="3" numFmtId="167" xfId="0" applyAlignment="1" applyBorder="1" applyFont="1" applyNumberFormat="1">
      <alignment readingOrder="0"/>
    </xf>
    <xf borderId="1" fillId="10" fontId="0" numFmtId="166" xfId="0" applyBorder="1" applyFill="1" applyFont="1" applyNumberFormat="1"/>
    <xf borderId="1" fillId="10" fontId="5" numFmtId="167" xfId="0" applyBorder="1" applyFont="1" applyNumberFormat="1"/>
    <xf borderId="1" fillId="6" fontId="1" numFmtId="0" xfId="0" applyAlignment="1" applyBorder="1" applyFont="1">
      <alignment readingOrder="0"/>
    </xf>
    <xf borderId="1" fillId="5" fontId="46" numFmtId="164" xfId="0" applyBorder="1" applyFont="1" applyNumberFormat="1"/>
    <xf borderId="1" fillId="10" fontId="2" numFmtId="167" xfId="0" applyBorder="1" applyFont="1" applyNumberFormat="1"/>
    <xf borderId="0" fillId="5" fontId="34" numFmtId="0" xfId="0" applyAlignment="1" applyFont="1">
      <alignment readingOrder="0"/>
    </xf>
    <xf borderId="1" fillId="5" fontId="34" numFmtId="168" xfId="0" applyAlignment="1" applyBorder="1" applyFont="1" applyNumberFormat="1">
      <alignment readingOrder="0"/>
    </xf>
    <xf borderId="1" fillId="0" fontId="15" numFmtId="164" xfId="0" applyAlignment="1" applyBorder="1" applyFont="1" applyNumberFormat="1">
      <alignment readingOrder="0"/>
    </xf>
    <xf borderId="0" fillId="2" fontId="4" numFmtId="10" xfId="0" applyFont="1" applyNumberFormat="1"/>
    <xf borderId="1" fillId="2" fontId="3" numFmtId="10" xfId="0" applyBorder="1" applyFont="1" applyNumberFormat="1"/>
    <xf borderId="1" fillId="5" fontId="34" numFmtId="0" xfId="0" applyAlignment="1" applyBorder="1" applyFont="1">
      <alignment readingOrder="0"/>
    </xf>
    <xf borderId="1" fillId="0" fontId="15" numFmtId="164" xfId="0" applyBorder="1" applyFont="1" applyNumberFormat="1"/>
    <xf borderId="1" fillId="6" fontId="1" numFmtId="0" xfId="0" applyBorder="1" applyFont="1"/>
    <xf borderId="1" fillId="0" fontId="16" numFmtId="10" xfId="0" applyBorder="1" applyFont="1" applyNumberFormat="1"/>
    <xf borderId="1" fillId="0" fontId="5" numFmtId="10" xfId="0" applyAlignment="1" applyBorder="1" applyFont="1" applyNumberFormat="1">
      <alignment readingOrder="0"/>
    </xf>
    <xf borderId="1" fillId="6" fontId="3" numFmtId="0" xfId="0" applyBorder="1" applyFont="1"/>
    <xf borderId="1" fillId="6" fontId="3" numFmtId="0" xfId="0" applyAlignment="1" applyBorder="1" applyFont="1">
      <alignment readingOrder="0"/>
    </xf>
    <xf borderId="1" fillId="6" fontId="5" numFmtId="0" xfId="0" applyAlignment="1" applyBorder="1" applyFont="1">
      <alignment readingOrder="0"/>
    </xf>
    <xf borderId="1" fillId="6" fontId="3" numFmtId="165" xfId="0" applyBorder="1" applyFont="1" applyNumberFormat="1"/>
    <xf borderId="1" fillId="6" fontId="5" numFmtId="164" xfId="0" applyAlignment="1" applyBorder="1" applyFont="1" applyNumberFormat="1">
      <alignment readingOrder="0"/>
    </xf>
    <xf borderId="1" fillId="6" fontId="5" numFmtId="0" xfId="0" applyBorder="1" applyFont="1"/>
    <xf borderId="1" fillId="3" fontId="3" numFmtId="0" xfId="0" applyBorder="1" applyFont="1"/>
    <xf borderId="1" fillId="3" fontId="4" numFmtId="9" xfId="0" applyAlignment="1" applyBorder="1" applyFont="1" applyNumberFormat="1">
      <alignment vertical="bottom"/>
    </xf>
    <xf borderId="1" fillId="3" fontId="3" numFmtId="10" xfId="0" applyAlignment="1" applyBorder="1" applyFont="1" applyNumberFormat="1">
      <alignment readingOrder="0"/>
    </xf>
    <xf borderId="1" fillId="6" fontId="4" numFmtId="0" xfId="0" applyAlignment="1" applyBorder="1" applyFont="1">
      <alignment readingOrder="0"/>
    </xf>
    <xf borderId="1" fillId="6" fontId="4" numFmtId="0" xfId="0" applyAlignment="1" applyBorder="1" applyFont="1">
      <alignment vertical="bottom"/>
    </xf>
    <xf borderId="1" fillId="10" fontId="48" numFmtId="167" xfId="0" applyBorder="1" applyFont="1" applyNumberFormat="1"/>
    <xf borderId="1" fillId="0" fontId="1" numFmtId="164" xfId="0" applyBorder="1" applyFont="1" applyNumberFormat="1"/>
    <xf borderId="1" fillId="5" fontId="34" numFmtId="10" xfId="0" applyAlignment="1" applyBorder="1" applyFont="1" applyNumberFormat="1">
      <alignment readingOrder="0"/>
    </xf>
    <xf borderId="1" fillId="5" fontId="34" numFmtId="165" xfId="0" applyAlignment="1" applyBorder="1" applyFont="1" applyNumberFormat="1">
      <alignment readingOrder="0"/>
    </xf>
    <xf borderId="1" fillId="2" fontId="3" numFmtId="10" xfId="0" applyAlignment="1" applyBorder="1" applyFont="1" applyNumberFormat="1">
      <alignment readingOrder="0" vertical="bottom"/>
    </xf>
    <xf borderId="1" fillId="0" fontId="3" numFmtId="10" xfId="0" applyBorder="1" applyFont="1" applyNumberFormat="1"/>
    <xf borderId="1" fillId="6" fontId="2" numFmtId="164" xfId="0" applyBorder="1" applyFont="1" applyNumberFormat="1"/>
    <xf borderId="1" fillId="6" fontId="46" numFmtId="164" xfId="0" applyBorder="1" applyFont="1" applyNumberFormat="1"/>
    <xf borderId="1" fillId="6" fontId="1" numFmtId="165" xfId="0" applyBorder="1" applyFont="1" applyNumberFormat="1"/>
    <xf borderId="1" fillId="6" fontId="16" numFmtId="10" xfId="0" applyBorder="1" applyFont="1" applyNumberFormat="1"/>
    <xf borderId="1" fillId="6" fontId="15" numFmtId="165" xfId="0" applyBorder="1" applyFont="1" applyNumberFormat="1"/>
    <xf borderId="1" fillId="6" fontId="16" numFmtId="0" xfId="0" applyBorder="1" applyFont="1"/>
    <xf borderId="1" fillId="5" fontId="0" numFmtId="0" xfId="0" applyAlignment="1" applyBorder="1" applyFont="1">
      <alignment readingOrder="0"/>
    </xf>
    <xf borderId="1" fillId="5" fontId="0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vertical="bottom"/>
    </xf>
    <xf borderId="1" fillId="5" fontId="46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6" fontId="4" numFmtId="0" xfId="0" applyBorder="1" applyFont="1"/>
    <xf borderId="1" fillId="6" fontId="4" numFmtId="165" xfId="0" applyBorder="1" applyFont="1" applyNumberFormat="1"/>
    <xf borderId="1" fillId="10" fontId="0" numFmtId="167" xfId="0" applyBorder="1" applyFont="1" applyNumberFormat="1"/>
    <xf borderId="1" fillId="6" fontId="0" numFmtId="0" xfId="0" applyBorder="1" applyFont="1"/>
    <xf borderId="1" fillId="3" fontId="40" numFmtId="0" xfId="0" applyAlignment="1" applyBorder="1" applyFont="1">
      <alignment horizontal="left" readingOrder="0"/>
    </xf>
    <xf borderId="1" fillId="10" fontId="5" numFmtId="166" xfId="0" applyAlignment="1" applyBorder="1" applyFont="1" applyNumberFormat="1">
      <alignment readingOrder="0"/>
    </xf>
    <xf borderId="1" fillId="0" fontId="0" numFmtId="164" xfId="0" applyBorder="1" applyFont="1" applyNumberFormat="1"/>
    <xf borderId="1" fillId="6" fontId="3" numFmtId="165" xfId="0" applyAlignment="1" applyBorder="1" applyFont="1" applyNumberFormat="1">
      <alignment readingOrder="0"/>
    </xf>
    <xf borderId="1" fillId="10" fontId="1" numFmtId="167" xfId="0" applyBorder="1" applyFont="1" applyNumberFormat="1"/>
    <xf borderId="1" fillId="3" fontId="1" numFmtId="164" xfId="0" applyBorder="1" applyFont="1" applyNumberFormat="1"/>
    <xf borderId="1" fillId="0" fontId="3" numFmtId="165" xfId="0" applyBorder="1" applyFont="1" applyNumberFormat="1"/>
    <xf borderId="1" fillId="0" fontId="3" numFmtId="165" xfId="0" applyAlignment="1" applyBorder="1" applyFont="1" applyNumberFormat="1">
      <alignment readingOrder="0"/>
    </xf>
    <xf borderId="1" fillId="10" fontId="3" numFmtId="167" xfId="0" applyBorder="1" applyFont="1" applyNumberFormat="1"/>
    <xf borderId="1" fillId="10" fontId="3" numFmtId="167" xfId="0" applyAlignment="1" applyBorder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1" fillId="11" fontId="3" numFmtId="0" xfId="0" applyAlignment="1" applyBorder="1" applyFill="1" applyFont="1">
      <alignment readingOrder="0"/>
    </xf>
    <xf borderId="1" fillId="11" fontId="3" numFmtId="165" xfId="0" applyAlignment="1" applyBorder="1" applyFont="1" applyNumberFormat="1">
      <alignment readingOrder="0"/>
    </xf>
    <xf borderId="1" fillId="11" fontId="3" numFmtId="10" xfId="0" applyBorder="1" applyFont="1" applyNumberFormat="1"/>
    <xf borderId="1" fillId="11" fontId="3" numFmtId="165" xfId="0" applyBorder="1" applyFont="1" applyNumberFormat="1"/>
    <xf borderId="1" fillId="11" fontId="5" numFmtId="0" xfId="0" applyBorder="1" applyFont="1"/>
    <xf borderId="1" fillId="6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4" xfId="0" applyAlignment="1" applyBorder="1" applyFont="1" applyNumberFormat="1">
      <alignment vertical="bottom"/>
    </xf>
    <xf borderId="1" fillId="0" fontId="1" numFmtId="4" xfId="0" applyAlignment="1" applyBorder="1" applyFont="1" applyNumberFormat="1">
      <alignment horizontal="right" readingOrder="0" vertical="bottom"/>
    </xf>
    <xf borderId="1" fillId="0" fontId="1" numFmtId="4" xfId="0" applyAlignment="1" applyBorder="1" applyFont="1" applyNumberFormat="1">
      <alignment vertical="bottom"/>
    </xf>
    <xf borderId="1" fillId="10" fontId="1" numFmtId="167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1" fillId="6" fontId="18" numFmtId="0" xfId="0" applyAlignment="1" applyBorder="1" applyFont="1">
      <alignment vertical="bottom"/>
    </xf>
    <xf borderId="1" fillId="6" fontId="18" numFmtId="0" xfId="0" applyAlignment="1" applyBorder="1" applyFont="1">
      <alignment readingOrder="0" vertical="bottom"/>
    </xf>
    <xf borderId="1" fillId="6" fontId="18" numFmtId="165" xfId="0" applyAlignment="1" applyBorder="1" applyFont="1" applyNumberFormat="1">
      <alignment readingOrder="0" vertical="bottom"/>
    </xf>
    <xf borderId="1" fillId="6" fontId="18" numFmtId="164" xfId="0" applyAlignment="1" applyBorder="1" applyFont="1" applyNumberFormat="1">
      <alignment readingOrder="0" vertical="bottom"/>
    </xf>
    <xf borderId="1" fillId="6" fontId="18" numFmtId="164" xfId="0" applyAlignment="1" applyBorder="1" applyFont="1" applyNumberFormat="1">
      <alignment vertical="bottom"/>
    </xf>
    <xf borderId="1" fillId="6" fontId="1" numFmtId="165" xfId="0" applyAlignment="1" applyBorder="1" applyFont="1" applyNumberFormat="1">
      <alignment readingOrder="0"/>
    </xf>
    <xf borderId="0" fillId="6" fontId="1" numFmtId="0" xfId="0" applyAlignment="1" applyFont="1">
      <alignment readingOrder="0"/>
    </xf>
    <xf borderId="1" fillId="0" fontId="9" numFmtId="0" xfId="0" applyAlignment="1" applyBorder="1" applyFont="1">
      <alignment readingOrder="0" vertical="bottom"/>
    </xf>
    <xf borderId="1" fillId="0" fontId="9" numFmtId="165" xfId="0" applyAlignment="1" applyBorder="1" applyFont="1" applyNumberFormat="1">
      <alignment horizontal="right" readingOrder="0" vertical="bottom"/>
    </xf>
    <xf borderId="1" fillId="0" fontId="9" numFmtId="165" xfId="0" applyAlignment="1" applyBorder="1" applyFont="1" applyNumberFormat="1">
      <alignment horizontal="right" vertical="bottom"/>
    </xf>
    <xf borderId="1" fillId="0" fontId="9" numFmtId="164" xfId="0" applyAlignment="1" applyBorder="1" applyFont="1" applyNumberFormat="1">
      <alignment horizontal="right" readingOrder="0" vertical="bottom"/>
    </xf>
    <xf borderId="1" fillId="10" fontId="32" numFmtId="166" xfId="0" applyAlignment="1" applyBorder="1" applyFont="1" applyNumberFormat="1">
      <alignment horizontal="right" vertical="bottom"/>
    </xf>
    <xf borderId="1" fillId="0" fontId="9" numFmtId="164" xfId="0" applyAlignment="1" applyBorder="1" applyFont="1" applyNumberFormat="1">
      <alignment horizontal="right" vertical="bottom"/>
    </xf>
    <xf borderId="1" fillId="10" fontId="29" numFmtId="167" xfId="0" applyAlignment="1" applyBorder="1" applyFont="1" applyNumberFormat="1">
      <alignment horizontal="right" vertical="bottom"/>
    </xf>
    <xf borderId="1" fillId="0" fontId="9" numFmtId="10" xfId="0" applyAlignment="1" applyBorder="1" applyFont="1" applyNumberFormat="1">
      <alignment horizontal="right" vertical="bottom"/>
    </xf>
    <xf borderId="1" fillId="5" fontId="1" numFmtId="0" xfId="0" applyAlignment="1" applyBorder="1" applyFont="1">
      <alignment readingOrder="0"/>
    </xf>
    <xf borderId="1" fillId="5" fontId="2" numFmtId="168" xfId="0" applyAlignment="1" applyBorder="1" applyFont="1" applyNumberFormat="1">
      <alignment readingOrder="0"/>
    </xf>
    <xf borderId="1" fillId="5" fontId="46" numFmtId="164" xfId="0" applyBorder="1" applyFont="1" applyNumberFormat="1"/>
    <xf borderId="1" fillId="5" fontId="2" numFmtId="164" xfId="0" applyAlignment="1" applyBorder="1" applyFont="1" applyNumberFormat="1">
      <alignment readingOrder="0"/>
    </xf>
    <xf borderId="1" fillId="5" fontId="2" numFmtId="165" xfId="0" applyAlignment="1" applyBorder="1" applyFont="1" applyNumberFormat="1">
      <alignment readingOrder="0"/>
    </xf>
    <xf borderId="1" fillId="5" fontId="2" numFmtId="165" xfId="0" applyBorder="1" applyFont="1" applyNumberFormat="1"/>
    <xf borderId="1" fillId="5" fontId="46" numFmtId="165" xfId="0" applyBorder="1" applyFont="1" applyNumberFormat="1"/>
    <xf borderId="1" fillId="0" fontId="2" numFmtId="168" xfId="0" applyAlignment="1" applyBorder="1" applyFont="1" applyNumberFormat="1">
      <alignment readingOrder="0"/>
    </xf>
    <xf borderId="1" fillId="5" fontId="18" numFmtId="164" xfId="0" applyBorder="1" applyFont="1" applyNumberFormat="1"/>
    <xf borderId="1" fillId="6" fontId="3" numFmtId="10" xfId="0" applyAlignment="1" applyBorder="1" applyFont="1" applyNumberFormat="1">
      <alignment vertical="bottom"/>
    </xf>
    <xf borderId="1" fillId="10" fontId="29" numFmtId="166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2" fontId="2" numFmtId="168" xfId="0" applyAlignment="1" applyBorder="1" applyFont="1" applyNumberFormat="1">
      <alignment readingOrder="0"/>
    </xf>
    <xf borderId="1" fillId="2" fontId="46" numFmtId="164" xfId="0" applyBorder="1" applyFont="1" applyNumberFormat="1"/>
    <xf borderId="1" fillId="2" fontId="2" numFmtId="164" xfId="0" applyAlignment="1" applyBorder="1" applyFont="1" applyNumberFormat="1">
      <alignment readingOrder="0"/>
    </xf>
    <xf borderId="1" fillId="2" fontId="2" numFmtId="165" xfId="0" applyAlignment="1" applyBorder="1" applyFont="1" applyNumberFormat="1">
      <alignment readingOrder="0"/>
    </xf>
    <xf borderId="1" fillId="2" fontId="2" numFmtId="165" xfId="0" applyBorder="1" applyFont="1" applyNumberFormat="1"/>
    <xf borderId="1" fillId="2" fontId="46" numFmtId="165" xfId="0" applyBorder="1" applyFont="1" applyNumberFormat="1"/>
    <xf borderId="1" fillId="2" fontId="46" numFmtId="164" xfId="0" applyBorder="1" applyFont="1" applyNumberFormat="1"/>
    <xf borderId="1" fillId="2" fontId="1" numFmtId="164" xfId="0" applyBorder="1" applyFont="1" applyNumberFormat="1"/>
    <xf borderId="1" fillId="6" fontId="3" numFmtId="165" xfId="0" applyAlignment="1" applyBorder="1" applyFont="1" applyNumberFormat="1">
      <alignment vertical="bottom"/>
    </xf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2" fontId="18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vertical="bottom"/>
    </xf>
    <xf borderId="5" fillId="3" fontId="4" numFmtId="0" xfId="0" applyAlignment="1" applyBorder="1" applyFont="1">
      <alignment readingOrder="0"/>
    </xf>
    <xf borderId="1" fillId="2" fontId="4" numFmtId="0" xfId="0" applyAlignment="1" applyBorder="1" applyFont="1">
      <alignment vertical="bottom"/>
    </xf>
    <xf borderId="1" fillId="2" fontId="18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18" numFmtId="165" xfId="0" applyAlignment="1" applyBorder="1" applyFont="1" applyNumberFormat="1">
      <alignment horizontal="right" vertical="bottom"/>
    </xf>
    <xf borderId="1" fillId="2" fontId="2" numFmtId="166" xfId="0" applyAlignment="1" applyBorder="1" applyFont="1" applyNumberFormat="1">
      <alignment vertical="bottom"/>
    </xf>
    <xf borderId="1" fillId="2" fontId="18" numFmtId="10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vertical="bottom"/>
    </xf>
    <xf borderId="1" fillId="5" fontId="46" numFmtId="165" xfId="0" applyAlignment="1" applyBorder="1" applyFont="1" applyNumberFormat="1">
      <alignment readingOrder="0"/>
    </xf>
    <xf borderId="1" fillId="0" fontId="9" numFmtId="164" xfId="0" applyAlignment="1" applyBorder="1" applyFont="1" applyNumberFormat="1">
      <alignment horizontal="right" readingOrder="0" vertical="bottom"/>
    </xf>
    <xf borderId="1" fillId="10" fontId="32" numFmtId="167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readingOrder="0" vertical="bottom"/>
    </xf>
    <xf borderId="1" fillId="2" fontId="46" numFmtId="164" xfId="0" applyAlignment="1" applyBorder="1" applyFont="1" applyNumberFormat="1">
      <alignment readingOrder="0"/>
    </xf>
    <xf borderId="1" fillId="5" fontId="46" numFmtId="164" xfId="0" applyAlignment="1" applyBorder="1" applyFont="1" applyNumberFormat="1">
      <alignment readingOrder="0"/>
    </xf>
    <xf borderId="1" fillId="2" fontId="46" numFmtId="0" xfId="0" applyBorder="1" applyFont="1"/>
    <xf borderId="1" fillId="5" fontId="9" numFmtId="0" xfId="0" applyAlignment="1" applyBorder="1" applyFont="1">
      <alignment readingOrder="0"/>
    </xf>
    <xf borderId="1" fillId="5" fontId="9" numFmtId="168" xfId="0" applyAlignment="1" applyBorder="1" applyFont="1" applyNumberFormat="1">
      <alignment readingOrder="0"/>
    </xf>
    <xf borderId="1" fillId="2" fontId="9" numFmtId="0" xfId="0" applyAlignment="1" applyBorder="1" applyFont="1">
      <alignment readingOrder="0"/>
    </xf>
    <xf borderId="1" fillId="2" fontId="9" numFmtId="168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vertical="bottom"/>
    </xf>
    <xf borderId="1" fillId="2" fontId="40" numFmtId="0" xfId="0" applyAlignment="1" applyBorder="1" applyFont="1">
      <alignment readingOrder="0"/>
    </xf>
    <xf borderId="1" fillId="3" fontId="40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6" fontId="3" numFmtId="10" xfId="0" applyAlignment="1" applyBorder="1" applyFont="1" applyNumberFormat="1">
      <alignment readingOrder="0" vertical="bottom"/>
    </xf>
    <xf borderId="1" fillId="0" fontId="9" numFmtId="10" xfId="0" applyAlignment="1" applyBorder="1" applyFont="1" applyNumberFormat="1">
      <alignment horizontal="right" readingOrder="0" vertical="bottom"/>
    </xf>
    <xf borderId="0" fillId="2" fontId="40" numFmtId="0" xfId="0" applyAlignment="1" applyFont="1">
      <alignment readingOrder="0"/>
    </xf>
    <xf borderId="1" fillId="3" fontId="46" numFmtId="164" xfId="0" applyBorder="1" applyFont="1" applyNumberFormat="1"/>
    <xf borderId="9" fillId="2" fontId="2" numFmtId="0" xfId="0" applyBorder="1" applyFont="1"/>
    <xf borderId="0" fillId="0" fontId="2" numFmtId="164" xfId="0" applyFont="1" applyNumberFormat="1"/>
    <xf borderId="9" fillId="3" fontId="1" numFmtId="0" xfId="0" applyAlignment="1" applyBorder="1" applyFont="1">
      <alignment readingOrder="0"/>
    </xf>
    <xf borderId="9" fillId="4" fontId="46" numFmtId="167" xfId="0" applyBorder="1" applyFont="1" applyNumberFormat="1"/>
    <xf borderId="0" fillId="0" fontId="46" numFmtId="164" xfId="0" applyFont="1" applyNumberFormat="1"/>
    <xf borderId="1" fillId="5" fontId="46" numFmtId="164" xfId="0" applyBorder="1" applyFont="1" applyNumberFormat="1"/>
    <xf borderId="1" fillId="3" fontId="46" numFmtId="164" xfId="0" applyBorder="1" applyFont="1" applyNumberFormat="1"/>
    <xf borderId="1" fillId="3" fontId="2" numFmtId="165" xfId="0" applyAlignment="1" applyBorder="1" applyFont="1" applyNumberFormat="1">
      <alignment readingOrder="0"/>
    </xf>
    <xf borderId="1" fillId="3" fontId="2" numFmtId="165" xfId="0" applyBorder="1" applyFont="1" applyNumberFormat="1"/>
    <xf borderId="1" fillId="3" fontId="46" numFmtId="165" xfId="0" applyBorder="1" applyFont="1" applyNumberFormat="1"/>
    <xf borderId="9" fillId="3" fontId="46" numFmtId="167" xfId="0" applyBorder="1" applyFont="1" applyNumberFormat="1"/>
    <xf borderId="1" fillId="6" fontId="18" numFmtId="10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readingOrder="0"/>
    </xf>
    <xf borderId="1" fillId="5" fontId="46" numFmtId="177" xfId="0" applyBorder="1" applyFont="1" applyNumberFormat="1"/>
    <xf borderId="1" fillId="5" fontId="9" numFmtId="0" xfId="0" applyAlignment="1" applyBorder="1" applyFont="1">
      <alignment readingOrder="0" vertical="bottom"/>
    </xf>
    <xf borderId="1" fillId="5" fontId="9" numFmtId="165" xfId="0" applyAlignment="1" applyBorder="1" applyFont="1" applyNumberFormat="1">
      <alignment readingOrder="0" vertical="bottom"/>
    </xf>
    <xf borderId="1" fillId="5" fontId="9" numFmtId="164" xfId="0" applyAlignment="1" applyBorder="1" applyFont="1" applyNumberFormat="1">
      <alignment readingOrder="0" vertical="bottom"/>
    </xf>
    <xf borderId="1" fillId="5" fontId="9" numFmtId="10" xfId="0" applyAlignment="1" applyBorder="1" applyFont="1" applyNumberFormat="1">
      <alignment readingOrder="0" vertical="bottom"/>
    </xf>
    <xf borderId="0" fillId="6" fontId="3" numFmtId="10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6" fontId="4" numFmtId="165" xfId="0" applyAlignment="1" applyBorder="1" applyFont="1" applyNumberFormat="1">
      <alignment vertical="bottom"/>
    </xf>
    <xf borderId="1" fillId="2" fontId="18" numFmtId="165" xfId="0" applyAlignment="1" applyBorder="1" applyFont="1" applyNumberFormat="1">
      <alignment vertical="bottom"/>
    </xf>
    <xf borderId="1" fillId="2" fontId="18" numFmtId="164" xfId="0" applyAlignment="1" applyBorder="1" applyFont="1" applyNumberFormat="1">
      <alignment vertical="bottom"/>
    </xf>
    <xf borderId="1" fillId="2" fontId="18" numFmtId="10" xfId="0" applyAlignment="1" applyBorder="1" applyFont="1" applyNumberFormat="1">
      <alignment vertical="bottom"/>
    </xf>
    <xf borderId="1" fillId="3" fontId="40" numFmtId="164" xfId="0" applyBorder="1" applyFont="1" applyNumberFormat="1"/>
    <xf borderId="9" fillId="3" fontId="1" numFmtId="10" xfId="0" applyBorder="1" applyFont="1" applyNumberFormat="1"/>
    <xf borderId="1" fillId="2" fontId="1" numFmtId="165" xfId="0" applyAlignment="1" applyBorder="1" applyFont="1" applyNumberFormat="1">
      <alignment readingOrder="0"/>
    </xf>
    <xf borderId="0" fillId="5" fontId="4" numFmtId="0" xfId="0" applyAlignment="1" applyFont="1">
      <alignment readingOrder="0"/>
    </xf>
    <xf borderId="5" fillId="5" fontId="4" numFmtId="0" xfId="0" applyAlignment="1" applyBorder="1" applyFont="1">
      <alignment readingOrder="0"/>
    </xf>
    <xf borderId="1" fillId="2" fontId="18" numFmtId="10" xfId="0" applyAlignment="1" applyBorder="1" applyFont="1" applyNumberFormat="1">
      <alignment horizontal="right" readingOrder="0" vertical="bottom"/>
    </xf>
    <xf borderId="0" fillId="0" fontId="9" numFmtId="0" xfId="0" applyAlignment="1" applyFont="1">
      <alignment readingOrder="0" vertical="bottom"/>
    </xf>
    <xf borderId="1" fillId="5" fontId="1" numFmtId="164" xfId="0" applyBorder="1" applyFont="1" applyNumberFormat="1"/>
    <xf borderId="1" fillId="3" fontId="2" numFmtId="0" xfId="0" applyAlignment="1" applyBorder="1" applyFont="1">
      <alignment vertical="bottom"/>
    </xf>
    <xf borderId="1" fillId="3" fontId="18" numFmtId="165" xfId="0" applyAlignment="1" applyBorder="1" applyFont="1" applyNumberFormat="1">
      <alignment horizontal="right" vertical="bottom"/>
    </xf>
    <xf borderId="1" fillId="3" fontId="2" numFmtId="164" xfId="0" applyAlignment="1" applyBorder="1" applyFont="1" applyNumberFormat="1">
      <alignment vertical="bottom"/>
    </xf>
    <xf borderId="1" fillId="3" fontId="18" numFmtId="10" xfId="0" applyAlignment="1" applyBorder="1" applyFont="1" applyNumberFormat="1">
      <alignment horizontal="right" readingOrder="0" vertical="bottom"/>
    </xf>
    <xf borderId="1" fillId="3" fontId="18" numFmtId="165" xfId="0" applyAlignment="1" applyBorder="1" applyFont="1" applyNumberFormat="1">
      <alignment horizontal="right" readingOrder="0" vertical="bottom"/>
    </xf>
    <xf borderId="1" fillId="3" fontId="1" numFmtId="165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readingOrder="0" vertical="bottom"/>
    </xf>
    <xf borderId="1" fillId="3" fontId="1" numFmtId="165" xfId="0" applyAlignment="1" applyBorder="1" applyFont="1" applyNumberFormat="1">
      <alignment readingOrder="0" vertical="bottom"/>
    </xf>
    <xf borderId="1" fillId="12" fontId="4" numFmtId="0" xfId="0" applyAlignment="1" applyBorder="1" applyFill="1" applyFont="1">
      <alignment vertical="bottom"/>
    </xf>
    <xf borderId="1" fillId="12" fontId="18" numFmtId="164" xfId="0" applyAlignment="1" applyBorder="1" applyFont="1" applyNumberFormat="1">
      <alignment readingOrder="0" vertical="bottom"/>
    </xf>
    <xf borderId="1" fillId="12" fontId="18" numFmtId="0" xfId="0" applyAlignment="1" applyBorder="1" applyFont="1">
      <alignment readingOrder="0" vertical="bottom"/>
    </xf>
    <xf borderId="1" fillId="12" fontId="1" numFmtId="0" xfId="0" applyAlignment="1" applyBorder="1" applyFont="1">
      <alignment readingOrder="0" vertical="bottom"/>
    </xf>
    <xf borderId="1" fillId="13" fontId="4" numFmtId="0" xfId="0" applyAlignment="1" applyBorder="1" applyFill="1" applyFont="1">
      <alignment readingOrder="0" vertical="bottom"/>
    </xf>
    <xf borderId="1" fillId="13" fontId="18" numFmtId="165" xfId="0" applyAlignment="1" applyBorder="1" applyFont="1" applyNumberFormat="1">
      <alignment horizontal="right" vertical="bottom"/>
    </xf>
    <xf borderId="1" fillId="13" fontId="18" numFmtId="165" xfId="0" applyAlignment="1" applyBorder="1" applyFont="1" applyNumberFormat="1">
      <alignment horizontal="right" readingOrder="0" vertical="bottom"/>
    </xf>
    <xf borderId="1" fillId="13" fontId="1" numFmtId="10" xfId="0" applyAlignment="1" applyBorder="1" applyFont="1" applyNumberFormat="1">
      <alignment vertical="bottom"/>
    </xf>
    <xf borderId="1" fillId="10" fontId="18" numFmtId="167" xfId="0" applyAlignment="1" applyBorder="1" applyFont="1" applyNumberFormat="1">
      <alignment readingOrder="0" vertical="bottom"/>
    </xf>
    <xf borderId="1" fillId="10" fontId="49" numFmtId="164" xfId="0" applyAlignment="1" applyBorder="1" applyFont="1" applyNumberFormat="1">
      <alignment vertical="bottom"/>
    </xf>
    <xf borderId="1" fillId="10" fontId="18" numFmtId="167" xfId="0" applyAlignment="1" applyBorder="1" applyFont="1" applyNumberFormat="1">
      <alignment horizontal="right" vertical="bottom"/>
    </xf>
    <xf borderId="1" fillId="10" fontId="49" numFmtId="165" xfId="0" applyAlignment="1" applyBorder="1" applyFont="1" applyNumberFormat="1">
      <alignment readingOrder="0" vertical="bottom"/>
    </xf>
    <xf borderId="1" fillId="10" fontId="49" numFmtId="165" xfId="0" applyAlignment="1" applyBorder="1" applyFont="1" applyNumberFormat="1">
      <alignment vertical="bottom"/>
    </xf>
    <xf borderId="1" fillId="12" fontId="4" numFmtId="0" xfId="0" applyAlignment="1" applyBorder="1" applyFont="1">
      <alignment readingOrder="0" vertical="bottom"/>
    </xf>
    <xf borderId="0" fillId="6" fontId="40" numFmtId="10" xfId="0" applyFont="1" applyNumberFormat="1"/>
    <xf borderId="1" fillId="2" fontId="18" numFmtId="165" xfId="0" applyAlignment="1" applyBorder="1" applyFont="1" applyNumberFormat="1">
      <alignment readingOrder="0" vertical="bottom"/>
    </xf>
    <xf borderId="1" fillId="12" fontId="1" numFmtId="165" xfId="0" applyAlignment="1" applyBorder="1" applyFont="1" applyNumberFormat="1">
      <alignment readingOrder="0" vertical="bottom"/>
    </xf>
    <xf borderId="1" fillId="12" fontId="18" numFmtId="165" xfId="0" applyAlignment="1" applyBorder="1" applyFont="1" applyNumberFormat="1">
      <alignment horizontal="right" readingOrder="0" vertical="bottom"/>
    </xf>
    <xf borderId="1" fillId="12" fontId="1" numFmtId="10" xfId="0" applyAlignment="1" applyBorder="1" applyFont="1" applyNumberFormat="1">
      <alignment vertical="bottom"/>
    </xf>
    <xf borderId="1" fillId="12" fontId="2" numFmtId="0" xfId="0" applyAlignment="1" applyBorder="1" applyFont="1">
      <alignment vertical="bottom"/>
    </xf>
    <xf borderId="1" fillId="10" fontId="1" numFmtId="167" xfId="0" applyAlignment="1" applyBorder="1" applyFont="1" applyNumberFormat="1">
      <alignment vertical="bottom"/>
    </xf>
    <xf borderId="1" fillId="13" fontId="1" numFmtId="165" xfId="0" applyAlignment="1" applyBorder="1" applyFont="1" applyNumberFormat="1">
      <alignment readingOrder="0" vertical="bottom"/>
    </xf>
    <xf borderId="1" fillId="13" fontId="2" numFmtId="0" xfId="0" applyAlignment="1" applyBorder="1" applyFont="1">
      <alignment vertical="bottom"/>
    </xf>
    <xf borderId="1" fillId="13" fontId="1" numFmtId="165" xfId="0" applyAlignment="1" applyBorder="1" applyFont="1" applyNumberFormat="1">
      <alignment vertical="bottom"/>
    </xf>
    <xf borderId="1" fillId="10" fontId="1" numFmtId="167" xfId="0" applyAlignment="1" applyBorder="1" applyFont="1" applyNumberFormat="1">
      <alignment readingOrder="0" vertical="bottom"/>
    </xf>
    <xf borderId="1" fillId="13" fontId="1" numFmtId="178" xfId="0" applyAlignment="1" applyBorder="1" applyFont="1" applyNumberFormat="1">
      <alignment readingOrder="0" vertical="bottom"/>
    </xf>
    <xf borderId="1" fillId="12" fontId="4" numFmtId="165" xfId="0" applyAlignment="1" applyBorder="1" applyFont="1" applyNumberFormat="1">
      <alignment readingOrder="0"/>
    </xf>
    <xf borderId="1" fillId="10" fontId="49" numFmtId="167" xfId="0" applyAlignment="1" applyBorder="1" applyFont="1" applyNumberFormat="1">
      <alignment readingOrder="0" vertical="bottom"/>
    </xf>
    <xf borderId="11" fillId="13" fontId="4" numFmtId="0" xfId="0" applyAlignment="1" applyBorder="1" applyFont="1">
      <alignment vertical="bottom"/>
    </xf>
    <xf borderId="11" fillId="3" fontId="3" numFmtId="0" xfId="0" applyAlignment="1" applyBorder="1" applyFont="1">
      <alignment vertical="bottom"/>
    </xf>
    <xf borderId="11" fillId="3" fontId="1" numFmtId="165" xfId="0" applyAlignment="1" applyBorder="1" applyFont="1" applyNumberFormat="1">
      <alignment readingOrder="0" vertical="bottom"/>
    </xf>
    <xf borderId="11" fillId="13" fontId="1" numFmtId="165" xfId="0" applyAlignment="1" applyBorder="1" applyFont="1" applyNumberFormat="1">
      <alignment readingOrder="0" vertical="bottom"/>
    </xf>
    <xf borderId="11" fillId="13" fontId="18" numFmtId="165" xfId="0" applyAlignment="1" applyBorder="1" applyFont="1" applyNumberFormat="1">
      <alignment horizontal="right" vertical="bottom"/>
    </xf>
    <xf borderId="11" fillId="13" fontId="1" numFmtId="10" xfId="0" applyAlignment="1" applyBorder="1" applyFont="1" applyNumberFormat="1">
      <alignment readingOrder="0" vertical="bottom"/>
    </xf>
    <xf borderId="11" fillId="13" fontId="2" numFmtId="0" xfId="0" applyAlignment="1" applyBorder="1" applyFont="1">
      <alignment vertical="bottom"/>
    </xf>
    <xf borderId="1" fillId="13" fontId="4" numFmtId="0" xfId="0" applyAlignment="1" applyBorder="1" applyFont="1">
      <alignment vertical="bottom"/>
    </xf>
    <xf borderId="1" fillId="9" fontId="1" numFmtId="0" xfId="0" applyAlignment="1" applyBorder="1" applyFont="1">
      <alignment readingOrder="0" vertical="bottom"/>
    </xf>
    <xf borderId="1" fillId="13" fontId="18" numFmtId="165" xfId="0" applyAlignment="1" applyBorder="1" applyFont="1" applyNumberFormat="1">
      <alignment readingOrder="0" vertical="bottom"/>
    </xf>
    <xf borderId="1" fillId="5" fontId="2" numFmtId="0" xfId="0" applyBorder="1" applyFont="1"/>
    <xf borderId="1" fillId="5" fontId="2" numFmtId="164" xfId="0" applyBorder="1" applyFont="1" applyNumberFormat="1"/>
    <xf borderId="0" fillId="5" fontId="50" numFmtId="0" xfId="0" applyAlignment="1" applyFont="1">
      <alignment readingOrder="0"/>
    </xf>
    <xf borderId="12" fillId="0" fontId="5" numFmtId="0" xfId="0" applyBorder="1" applyFont="1"/>
    <xf borderId="12" fillId="0" fontId="2" numFmtId="0" xfId="0" applyBorder="1" applyFont="1"/>
    <xf borderId="2" fillId="0" fontId="2" numFmtId="0" xfId="0" applyBorder="1" applyFont="1"/>
    <xf borderId="4" fillId="6" fontId="2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1" fillId="0" fontId="9" numFmtId="168" xfId="0" applyAlignment="1" applyBorder="1" applyFont="1" applyNumberFormat="1">
      <alignment readingOrder="0" vertical="bottom"/>
    </xf>
    <xf borderId="1" fillId="0" fontId="9" numFmtId="164" xfId="0" applyAlignment="1" applyBorder="1" applyFont="1" applyNumberFormat="1">
      <alignment readingOrder="0" vertical="bottom"/>
    </xf>
    <xf borderId="3" fillId="6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4" xfId="0" applyAlignment="1" applyBorder="1" applyFont="1" applyNumberFormat="1">
      <alignment vertical="bottom"/>
    </xf>
    <xf borderId="4" fillId="0" fontId="2" numFmtId="4" xfId="0" applyAlignment="1" applyBorder="1" applyFont="1" applyNumberFormat="1">
      <alignment horizontal="right" vertical="bottom"/>
    </xf>
    <xf borderId="4" fillId="10" fontId="1" numFmtId="167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readingOrder="0" vertical="bottom"/>
    </xf>
    <xf borderId="0" fillId="0" fontId="45" numFmtId="0" xfId="0" applyAlignment="1" applyFont="1">
      <alignment readingOrder="0"/>
    </xf>
    <xf borderId="0" fillId="5" fontId="51" numFmtId="0" xfId="0" applyAlignment="1" applyFont="1">
      <alignment readingOrder="0"/>
    </xf>
    <xf borderId="1" fillId="6" fontId="1" numFmtId="164" xfId="0" applyBorder="1" applyFont="1" applyNumberFormat="1"/>
    <xf borderId="1" fillId="6" fontId="2" numFmtId="0" xfId="0" applyBorder="1" applyFont="1"/>
    <xf borderId="1" fillId="6" fontId="40" numFmtId="0" xfId="0" applyAlignment="1" applyBorder="1" applyFont="1">
      <alignment readingOrder="0"/>
    </xf>
    <xf borderId="1" fillId="0" fontId="52" numFmtId="164" xfId="0" applyBorder="1" applyFont="1" applyNumberFormat="1"/>
    <xf borderId="0" fillId="10" fontId="52" numFmtId="167" xfId="0" applyFont="1" applyNumberFormat="1"/>
    <xf borderId="1" fillId="6" fontId="1" numFmtId="10" xfId="0" applyAlignment="1" applyBorder="1" applyFont="1" applyNumberFormat="1">
      <alignment vertical="bottom"/>
    </xf>
    <xf borderId="0" fillId="0" fontId="53" numFmtId="0" xfId="0" applyAlignment="1" applyFont="1">
      <alignment readingOrder="0"/>
    </xf>
    <xf borderId="1" fillId="6" fontId="1" numFmtId="165" xfId="0" applyAlignment="1" applyBorder="1" applyFont="1" applyNumberFormat="1">
      <alignment vertical="bottom"/>
    </xf>
    <xf borderId="1" fillId="2" fontId="52" numFmtId="164" xfId="0" applyBorder="1" applyFont="1" applyNumberFormat="1"/>
    <xf borderId="1" fillId="2" fontId="1" numFmtId="164" xfId="0" applyAlignment="1" applyBorder="1" applyFont="1" applyNumberFormat="1">
      <alignment readingOrder="0"/>
    </xf>
    <xf borderId="1" fillId="2" fontId="1" numFmtId="165" xfId="0" applyBorder="1" applyFont="1" applyNumberFormat="1"/>
    <xf borderId="0" fillId="6" fontId="50" numFmtId="0" xfId="0" applyAlignment="1" applyFont="1">
      <alignment readingOrder="0"/>
    </xf>
    <xf borderId="0" fillId="6" fontId="50" numFmtId="10" xfId="0" applyFont="1" applyNumberFormat="1"/>
    <xf borderId="1" fillId="6" fontId="18" numFmtId="165" xfId="0" applyAlignment="1" applyBorder="1" applyFont="1" applyNumberFormat="1">
      <alignment vertical="bottom"/>
    </xf>
    <xf borderId="5" fillId="5" fontId="40" numFmtId="0" xfId="0" applyAlignment="1" applyBorder="1" applyFont="1">
      <alignment readingOrder="0"/>
    </xf>
    <xf borderId="5" fillId="5" fontId="50" numFmtId="0" xfId="0" applyAlignment="1" applyBorder="1" applyFont="1">
      <alignment readingOrder="0"/>
    </xf>
    <xf borderId="1" fillId="2" fontId="2" numFmtId="10" xfId="0" applyAlignment="1" applyBorder="1" applyFont="1" applyNumberFormat="1">
      <alignment vertical="bottom"/>
    </xf>
    <xf borderId="1" fillId="5" fontId="2" numFmtId="0" xfId="0" applyAlignment="1" applyBorder="1" applyFont="1">
      <alignment vertical="bottom"/>
    </xf>
    <xf borderId="1" fillId="5" fontId="18" numFmtId="165" xfId="0" applyAlignment="1" applyBorder="1" applyFont="1" applyNumberFormat="1">
      <alignment horizontal="right" vertical="bottom"/>
    </xf>
    <xf borderId="1" fillId="5" fontId="2" numFmtId="164" xfId="0" applyAlignment="1" applyBorder="1" applyFont="1" applyNumberFormat="1">
      <alignment vertical="bottom"/>
    </xf>
    <xf borderId="1" fillId="10" fontId="2" numFmtId="0" xfId="0" applyAlignment="1" applyBorder="1" applyFont="1">
      <alignment vertical="bottom"/>
    </xf>
    <xf borderId="1" fillId="10" fontId="18" numFmtId="10" xfId="0" applyAlignment="1" applyBorder="1" applyFont="1" applyNumberFormat="1">
      <alignment horizontal="right" vertical="bottom"/>
    </xf>
    <xf borderId="1" fillId="5" fontId="2" numFmtId="165" xfId="0" applyAlignment="1" applyBorder="1" applyFont="1" applyNumberFormat="1">
      <alignment vertical="bottom"/>
    </xf>
    <xf borderId="1" fillId="2" fontId="18" numFmtId="165" xfId="0" applyAlignment="1" applyBorder="1" applyFont="1" applyNumberFormat="1">
      <alignment horizontal="right" readingOrder="0" vertical="bottom"/>
    </xf>
    <xf borderId="1" fillId="6" fontId="18" numFmtId="164" xfId="0" applyAlignment="1" applyBorder="1" applyFont="1" applyNumberFormat="1">
      <alignment readingOrder="0" vertical="bottom"/>
    </xf>
    <xf borderId="1" fillId="2" fontId="1" numFmtId="10" xfId="0" applyAlignment="1" applyBorder="1" applyFont="1" applyNumberFormat="1">
      <alignment vertical="bottom"/>
    </xf>
    <xf borderId="1" fillId="2" fontId="1" numFmtId="164" xfId="0" applyAlignment="1" applyBorder="1" applyFont="1" applyNumberFormat="1">
      <alignment vertical="bottom"/>
    </xf>
    <xf borderId="1" fillId="6" fontId="1" numFmtId="165" xfId="0" applyAlignment="1" applyBorder="1" applyFont="1" applyNumberFormat="1">
      <alignment readingOrder="0" vertical="bottom"/>
    </xf>
    <xf borderId="1" fillId="6" fontId="18" numFmtId="165" xfId="0" applyAlignment="1" applyBorder="1" applyFont="1" applyNumberFormat="1">
      <alignment horizontal="right" readingOrder="0" vertical="bottom"/>
    </xf>
    <xf borderId="1" fillId="2" fontId="1" numFmtId="178" xfId="0" applyAlignment="1" applyBorder="1" applyFont="1" applyNumberFormat="1">
      <alignment readingOrder="0" vertical="bottom"/>
    </xf>
    <xf borderId="1" fillId="6" fontId="4" numFmtId="165" xfId="0" applyAlignment="1" applyBorder="1" applyFont="1" applyNumberFormat="1">
      <alignment readingOrder="0"/>
    </xf>
    <xf borderId="1" fillId="6" fontId="1" numFmtId="10" xfId="0" applyAlignment="1" applyBorder="1" applyFont="1" applyNumberFormat="1">
      <alignment readingOrder="0" vertical="bottom"/>
    </xf>
    <xf borderId="11" fillId="2" fontId="2" numFmtId="0" xfId="0" applyAlignment="1" applyBorder="1" applyFont="1">
      <alignment vertical="bottom"/>
    </xf>
    <xf borderId="11" fillId="2" fontId="1" numFmtId="165" xfId="0" applyAlignment="1" applyBorder="1" applyFont="1" applyNumberFormat="1">
      <alignment vertical="bottom"/>
    </xf>
    <xf borderId="11" fillId="2" fontId="1" numFmtId="165" xfId="0" applyAlignment="1" applyBorder="1" applyFont="1" applyNumberFormat="1">
      <alignment readingOrder="0" vertical="bottom"/>
    </xf>
    <xf borderId="11" fillId="2" fontId="18" numFmtId="165" xfId="0" applyAlignment="1" applyBorder="1" applyFont="1" applyNumberFormat="1">
      <alignment horizontal="right" vertical="bottom"/>
    </xf>
    <xf borderId="11" fillId="2" fontId="1" numFmtId="10" xfId="0" applyAlignment="1" applyBorder="1" applyFont="1" applyNumberFormat="1">
      <alignment readingOrder="0" vertical="bottom"/>
    </xf>
    <xf borderId="1" fillId="2" fontId="1" numFmtId="10" xfId="0" applyAlignment="1" applyBorder="1" applyFont="1" applyNumberFormat="1">
      <alignment readingOrder="0" vertical="bottom"/>
    </xf>
    <xf borderId="12" fillId="0" fontId="16" numFmtId="0" xfId="0" applyBorder="1" applyFont="1"/>
    <xf borderId="2" fillId="0" fontId="16" numFmtId="0" xfId="0" applyBorder="1" applyFont="1"/>
    <xf borderId="4" fillId="10" fontId="2" numFmtId="167" xfId="0" applyAlignment="1" applyBorder="1" applyFont="1" applyNumberFormat="1">
      <alignment horizontal="right" vertical="bottom"/>
    </xf>
    <xf borderId="1" fillId="2" fontId="2" numFmtId="164" xfId="0" applyBorder="1" applyFont="1" applyNumberFormat="1"/>
    <xf borderId="1" fillId="2" fontId="1" numFmtId="0" xfId="0" applyBorder="1" applyFont="1"/>
    <xf borderId="1" fillId="6" fontId="18" numFmtId="10" xfId="0" applyAlignment="1" applyBorder="1" applyFont="1" applyNumberFormat="1">
      <alignment vertical="bottom"/>
    </xf>
    <xf borderId="1" fillId="5" fontId="1" numFmtId="0" xfId="0" applyBorder="1" applyFont="1"/>
    <xf borderId="1" fillId="10" fontId="1" numFmtId="10" xfId="0" applyBorder="1" applyFont="1" applyNumberFormat="1"/>
    <xf borderId="1" fillId="2" fontId="1" numFmtId="164" xfId="0" applyAlignment="1" applyBorder="1" applyFont="1" applyNumberFormat="1">
      <alignment readingOrder="0" vertical="bottom"/>
    </xf>
    <xf borderId="1" fillId="6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hyperlink" Target="https://seekingalpha.com/mp/1129-the-financial-prophet/articles/5986827-the-all-weather-etf-portfolio-embedded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c.seekingalpha.com/group/all-weather-portfolio-updates" TargetMode="External"/><Relationship Id="rId2" Type="http://schemas.openxmlformats.org/officeDocument/2006/relationships/hyperlink" Target="https://rc.seekingalpha.com/group/the-financial-prophet" TargetMode="External"/><Relationship Id="rId3" Type="http://schemas.openxmlformats.org/officeDocument/2006/relationships/hyperlink" Target="https://rc.seekingalpha.com/group/Ask-The-Prophe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2.88"/>
    <col customWidth="1" min="3" max="3" width="20.38"/>
    <col customWidth="1" min="4" max="4" width="19.13"/>
    <col customWidth="1" min="5" max="5" width="24.75"/>
    <col customWidth="1" min="6" max="6" width="11.13"/>
    <col customWidth="1" min="7" max="7" width="11.63"/>
    <col customWidth="1" min="8" max="8" width="23.25"/>
    <col customWidth="1" min="9" max="9" width="24.38"/>
    <col customWidth="1" min="10" max="10" width="15.38"/>
    <col customWidth="1" min="11" max="11" width="22.13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6.88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8" t="s">
        <v>11</v>
      </c>
      <c r="M2" s="9" t="s">
        <v>12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18</v>
      </c>
      <c r="T2" s="5" t="s">
        <v>19</v>
      </c>
      <c r="U2" s="5" t="s">
        <v>20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13" t="s">
        <v>29</v>
      </c>
      <c r="B3" s="13" t="s">
        <v>29</v>
      </c>
      <c r="C3" s="14">
        <f>I3/E196</f>
        <v>0.01326995174</v>
      </c>
      <c r="D3" s="15" t="s">
        <v>30</v>
      </c>
      <c r="E3" s="16" t="s">
        <v>31</v>
      </c>
      <c r="F3" s="17">
        <v>7.8</v>
      </c>
      <c r="G3" s="18">
        <v>2000.0</v>
      </c>
      <c r="H3" s="19">
        <f t="shared" ref="H3:H75" si="1">G3*J3</f>
        <v>334380</v>
      </c>
      <c r="I3" s="20">
        <f t="shared" ref="I3:I4" si="2">H3+P3</f>
        <v>385380</v>
      </c>
      <c r="J3" s="21">
        <v>167.19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75" si="3">L3-J3</f>
        <v>25.5</v>
      </c>
      <c r="O3" s="25">
        <f t="shared" ref="O3:O4" si="4">L3/J3-1</f>
        <v>0.1525210838</v>
      </c>
      <c r="P3" s="19">
        <f t="shared" ref="P3:P75" si="5">H3*O3</f>
        <v>51000</v>
      </c>
      <c r="Q3" s="26">
        <v>0.0011</v>
      </c>
      <c r="R3" s="27"/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3">
        <f>(I76+I90+I129)/E196</f>
        <v>0.6785332843</v>
      </c>
      <c r="B4" s="33">
        <f>I76/E196</f>
        <v>0.5407312505</v>
      </c>
      <c r="C4" s="14">
        <f>I4/E196</f>
        <v>0.02604716122</v>
      </c>
      <c r="D4" s="15" t="s">
        <v>32</v>
      </c>
      <c r="E4" s="15" t="s">
        <v>33</v>
      </c>
      <c r="F4" s="17">
        <v>7.9</v>
      </c>
      <c r="G4" s="18">
        <v>9000.0</v>
      </c>
      <c r="H4" s="19">
        <f t="shared" si="1"/>
        <v>947610</v>
      </c>
      <c r="I4" s="20">
        <f t="shared" si="2"/>
        <v>756450</v>
      </c>
      <c r="J4" s="21">
        <v>105.29</v>
      </c>
      <c r="K4" s="22">
        <f>IFERROR(__xludf.DUMMYFUNCTION("GOOGLEFINANCE(E4,""changepct"")"),-2.94)</f>
        <v>-2.94</v>
      </c>
      <c r="L4" s="23">
        <f>IFERROR(__xludf.DUMMYFUNCTION("googlefinance(E4,""price"")"),84.05)</f>
        <v>84.05</v>
      </c>
      <c r="M4" s="21"/>
      <c r="N4" s="24">
        <f t="shared" si="3"/>
        <v>-21.24</v>
      </c>
      <c r="O4" s="25">
        <f t="shared" si="4"/>
        <v>-0.2017285592</v>
      </c>
      <c r="P4" s="19">
        <f t="shared" si="5"/>
        <v>-191160</v>
      </c>
      <c r="Q4" s="34"/>
      <c r="R4" s="29"/>
      <c r="S4" s="35"/>
      <c r="T4" s="27"/>
      <c r="U4" s="27"/>
      <c r="V4" s="15"/>
      <c r="W4" s="36"/>
      <c r="X4" s="37"/>
      <c r="Y4" s="27"/>
      <c r="Z4" s="16"/>
      <c r="AA4" s="32"/>
      <c r="AB4" s="31"/>
      <c r="AC4" s="29"/>
    </row>
    <row r="5">
      <c r="A5" s="38"/>
      <c r="B5" s="32"/>
      <c r="C5" s="14">
        <f>I5/E196</f>
        <v>0</v>
      </c>
      <c r="D5" s="15" t="s">
        <v>32</v>
      </c>
      <c r="E5" s="15" t="s">
        <v>33</v>
      </c>
      <c r="F5" s="17">
        <v>7.9</v>
      </c>
      <c r="G5" s="18">
        <v>3000.0</v>
      </c>
      <c r="H5" s="19">
        <f t="shared" si="1"/>
        <v>315870</v>
      </c>
      <c r="I5" s="20">
        <v>0.0</v>
      </c>
      <c r="J5" s="21">
        <v>105.29</v>
      </c>
      <c r="K5" s="22">
        <f>IFERROR(__xludf.DUMMYFUNCTION("GOOGLEFINANCE(E5,""changepct"")"),-2.94)</f>
        <v>-2.94</v>
      </c>
      <c r="L5" s="23">
        <f>IFERROR(__xludf.DUMMYFUNCTION("googlefinance(E5,""price"")"),84.05)</f>
        <v>84.05</v>
      </c>
      <c r="M5" s="21">
        <v>86.14</v>
      </c>
      <c r="N5" s="24">
        <f t="shared" si="3"/>
        <v>-21.24</v>
      </c>
      <c r="O5" s="25">
        <f t="shared" ref="O5:O6" si="6">M5/J5-1</f>
        <v>-0.181878621</v>
      </c>
      <c r="P5" s="19">
        <f t="shared" si="5"/>
        <v>-57450</v>
      </c>
      <c r="Q5" s="34"/>
      <c r="R5" s="29"/>
      <c r="S5" s="39"/>
      <c r="T5" s="27"/>
      <c r="U5" s="40"/>
      <c r="V5" s="15" t="s">
        <v>34</v>
      </c>
      <c r="W5" s="36">
        <v>45631.0</v>
      </c>
      <c r="X5" s="37">
        <v>86.14</v>
      </c>
      <c r="Y5" s="27">
        <v>258420.0</v>
      </c>
      <c r="Z5" s="15"/>
      <c r="AA5" s="41"/>
      <c r="AB5" s="21"/>
      <c r="AC5" s="20"/>
    </row>
    <row r="6">
      <c r="A6" s="38"/>
      <c r="B6" s="32"/>
      <c r="C6" s="14">
        <f>I6/E196</f>
        <v>0</v>
      </c>
      <c r="D6" s="15" t="s">
        <v>32</v>
      </c>
      <c r="E6" s="15" t="s">
        <v>33</v>
      </c>
      <c r="F6" s="17">
        <v>7.9</v>
      </c>
      <c r="G6" s="18">
        <v>3000.0</v>
      </c>
      <c r="H6" s="19">
        <f t="shared" si="1"/>
        <v>286440</v>
      </c>
      <c r="I6" s="20">
        <v>0.0</v>
      </c>
      <c r="J6" s="21">
        <v>95.48</v>
      </c>
      <c r="K6" s="22">
        <f>IFERROR(__xludf.DUMMYFUNCTION("GOOGLEFINANCE(E6,""changepct"")"),-2.94)</f>
        <v>-2.94</v>
      </c>
      <c r="L6" s="23">
        <f>IFERROR(__xludf.DUMMYFUNCTION("googlefinance(E6,""price"")"),84.05)</f>
        <v>84.05</v>
      </c>
      <c r="M6" s="21">
        <v>90.85</v>
      </c>
      <c r="N6" s="24">
        <f t="shared" si="3"/>
        <v>-11.43</v>
      </c>
      <c r="O6" s="25">
        <f t="shared" si="6"/>
        <v>-0.04849183075</v>
      </c>
      <c r="P6" s="19">
        <f t="shared" si="5"/>
        <v>-13890</v>
      </c>
      <c r="Q6" s="34"/>
      <c r="R6" s="29"/>
      <c r="S6" s="39"/>
      <c r="T6" s="27"/>
      <c r="U6" s="40"/>
      <c r="V6" s="15" t="s">
        <v>34</v>
      </c>
      <c r="W6" s="36">
        <v>45604.0</v>
      </c>
      <c r="X6" s="37">
        <v>90.85</v>
      </c>
      <c r="Y6" s="27">
        <v>272550.0</v>
      </c>
      <c r="Z6" s="15" t="s">
        <v>34</v>
      </c>
      <c r="AA6" s="41">
        <v>45581.0</v>
      </c>
      <c r="AB6" s="21">
        <v>95.48</v>
      </c>
      <c r="AC6" s="20">
        <v>286440.0</v>
      </c>
    </row>
    <row r="7">
      <c r="A7" s="38"/>
      <c r="B7" s="32"/>
      <c r="C7" s="14">
        <f>I7/E196</f>
        <v>0.08623712524</v>
      </c>
      <c r="D7" s="15" t="s">
        <v>35</v>
      </c>
      <c r="E7" s="15" t="s">
        <v>36</v>
      </c>
      <c r="F7" s="17">
        <v>8.1</v>
      </c>
      <c r="G7" s="18">
        <v>6000.0</v>
      </c>
      <c r="H7" s="19">
        <f t="shared" si="1"/>
        <v>1569780</v>
      </c>
      <c r="I7" s="20">
        <f>H7+P7</f>
        <v>2504460</v>
      </c>
      <c r="J7" s="21">
        <v>261.63</v>
      </c>
      <c r="K7" s="22">
        <f>IFERROR(__xludf.DUMMYFUNCTION("GOOGLEFINANCE(E7,""changepct"")"),-3.3)</f>
        <v>-3.3</v>
      </c>
      <c r="L7" s="23">
        <f>IFERROR(__xludf.DUMMYFUNCTION("googlefinance(E7,""price"")"),417.41)</f>
        <v>417.41</v>
      </c>
      <c r="M7" s="24"/>
      <c r="N7" s="24">
        <f t="shared" si="3"/>
        <v>155.78</v>
      </c>
      <c r="O7" s="25">
        <f>L7/J7-1</f>
        <v>0.5954210144</v>
      </c>
      <c r="P7" s="19">
        <f t="shared" si="5"/>
        <v>934680</v>
      </c>
      <c r="Q7" s="34"/>
      <c r="R7" s="29"/>
      <c r="S7" s="39"/>
      <c r="T7" s="27">
        <v>28400.0</v>
      </c>
      <c r="U7" s="40"/>
      <c r="V7" s="15"/>
      <c r="W7" s="36"/>
      <c r="X7" s="37"/>
      <c r="Y7" s="27"/>
      <c r="Z7" s="15"/>
      <c r="AA7" s="41"/>
      <c r="AB7" s="21"/>
      <c r="AC7" s="20"/>
    </row>
    <row r="8">
      <c r="A8" s="38"/>
      <c r="B8" s="32"/>
      <c r="C8" s="14">
        <f>I8/E196</f>
        <v>0</v>
      </c>
      <c r="D8" s="15" t="s">
        <v>37</v>
      </c>
      <c r="E8" s="15" t="s">
        <v>36</v>
      </c>
      <c r="F8" s="17">
        <v>8.1</v>
      </c>
      <c r="G8" s="18">
        <v>2000.0</v>
      </c>
      <c r="H8" s="19">
        <f t="shared" si="1"/>
        <v>523260</v>
      </c>
      <c r="I8" s="20">
        <v>0.0</v>
      </c>
      <c r="J8" s="21">
        <v>261.63</v>
      </c>
      <c r="K8" s="22">
        <f>IFERROR(__xludf.DUMMYFUNCTION("GOOGLEFINANCE(E8,""changepct"")"),-3.3)</f>
        <v>-3.3</v>
      </c>
      <c r="L8" s="23">
        <f>IFERROR(__xludf.DUMMYFUNCTION("googlefinance(E8,""price"")"),417.41)</f>
        <v>417.41</v>
      </c>
      <c r="M8" s="21">
        <v>475.0</v>
      </c>
      <c r="N8" s="24">
        <f t="shared" si="3"/>
        <v>155.78</v>
      </c>
      <c r="O8" s="25">
        <f t="shared" ref="O8:O14" si="7">M8/J8-1</f>
        <v>0.8155410312</v>
      </c>
      <c r="P8" s="19">
        <f t="shared" si="5"/>
        <v>426740</v>
      </c>
      <c r="Q8" s="34"/>
      <c r="R8" s="29"/>
      <c r="S8" s="39"/>
      <c r="T8" s="27"/>
      <c r="U8" s="40"/>
      <c r="V8" s="15" t="s">
        <v>36</v>
      </c>
      <c r="W8" s="41">
        <v>45644.0</v>
      </c>
      <c r="X8" s="21">
        <v>475.0</v>
      </c>
      <c r="Y8" s="20">
        <v>950000.0</v>
      </c>
      <c r="Z8" s="42"/>
      <c r="AA8" s="36"/>
      <c r="AB8" s="37"/>
      <c r="AC8" s="27"/>
    </row>
    <row r="9">
      <c r="A9" s="38"/>
      <c r="B9" s="32"/>
      <c r="C9" s="14">
        <f>I9/E196</f>
        <v>0.02892407353</v>
      </c>
      <c r="D9" s="15" t="s">
        <v>37</v>
      </c>
      <c r="E9" s="15" t="s">
        <v>36</v>
      </c>
      <c r="F9" s="17">
        <v>8.1</v>
      </c>
      <c r="G9" s="18">
        <v>2000.0</v>
      </c>
      <c r="H9" s="19">
        <f t="shared" si="1"/>
        <v>523260</v>
      </c>
      <c r="I9" s="20">
        <f>H9+P9</f>
        <v>840000</v>
      </c>
      <c r="J9" s="21">
        <v>261.63</v>
      </c>
      <c r="K9" s="22">
        <f>IFERROR(__xludf.DUMMYFUNCTION("GOOGLEFINANCE(E9,""changepct"")"),-3.3)</f>
        <v>-3.3</v>
      </c>
      <c r="L9" s="23">
        <f>IFERROR(__xludf.DUMMYFUNCTION("googlefinance(E9,""price"")"),417.41)</f>
        <v>417.41</v>
      </c>
      <c r="M9" s="21">
        <v>420.0</v>
      </c>
      <c r="N9" s="24">
        <f t="shared" si="3"/>
        <v>155.78</v>
      </c>
      <c r="O9" s="25">
        <f t="shared" si="7"/>
        <v>0.6053204908</v>
      </c>
      <c r="P9" s="19">
        <f t="shared" si="5"/>
        <v>316740</v>
      </c>
      <c r="Q9" s="34"/>
      <c r="R9" s="29"/>
      <c r="S9" s="39" t="s">
        <v>38</v>
      </c>
      <c r="T9" s="27">
        <v>79350.0</v>
      </c>
      <c r="U9" s="40"/>
      <c r="V9" s="15"/>
      <c r="W9" s="41"/>
      <c r="X9" s="21"/>
      <c r="Y9" s="20"/>
      <c r="Z9" s="42"/>
      <c r="AA9" s="36"/>
      <c r="AB9" s="37"/>
      <c r="AC9" s="27"/>
    </row>
    <row r="10">
      <c r="A10" s="38"/>
      <c r="B10" s="32"/>
      <c r="C10" s="14">
        <f>I10/E196</f>
        <v>0</v>
      </c>
      <c r="D10" s="15" t="s">
        <v>37</v>
      </c>
      <c r="E10" s="15" t="s">
        <v>36</v>
      </c>
      <c r="F10" s="17">
        <v>8.1</v>
      </c>
      <c r="G10" s="18">
        <v>2000.0</v>
      </c>
      <c r="H10" s="19">
        <f t="shared" si="1"/>
        <v>621600</v>
      </c>
      <c r="I10" s="20">
        <v>0.0</v>
      </c>
      <c r="J10" s="21">
        <v>310.8</v>
      </c>
      <c r="K10" s="22">
        <f>IFERROR(__xludf.DUMMYFUNCTION("GOOGLEFINANCE(E10,""changepct"")"),-3.3)</f>
        <v>-3.3</v>
      </c>
      <c r="L10" s="23">
        <f>IFERROR(__xludf.DUMMYFUNCTION("googlefinance(E10,""price"")"),417.41)</f>
        <v>417.41</v>
      </c>
      <c r="M10" s="21">
        <v>398.0</v>
      </c>
      <c r="N10" s="24">
        <f t="shared" si="3"/>
        <v>106.61</v>
      </c>
      <c r="O10" s="25">
        <f t="shared" si="7"/>
        <v>0.2805662806</v>
      </c>
      <c r="P10" s="19">
        <f t="shared" si="5"/>
        <v>174400</v>
      </c>
      <c r="Q10" s="34"/>
      <c r="R10" s="29"/>
      <c r="S10" s="43"/>
      <c r="T10" s="27">
        <v>-400.0</v>
      </c>
      <c r="U10" s="40"/>
      <c r="V10" s="15" t="s">
        <v>36</v>
      </c>
      <c r="W10" s="41">
        <v>45635.0</v>
      </c>
      <c r="X10" s="21">
        <v>398.0</v>
      </c>
      <c r="Y10" s="20">
        <v>796000.0</v>
      </c>
      <c r="Z10" s="42" t="s">
        <v>36</v>
      </c>
      <c r="AA10" s="36">
        <v>45610.0</v>
      </c>
      <c r="AB10" s="37">
        <v>310.8</v>
      </c>
      <c r="AC10" s="27">
        <v>621600.0</v>
      </c>
    </row>
    <row r="11">
      <c r="A11" s="38"/>
      <c r="B11" s="32"/>
      <c r="C11" s="14">
        <f>I11/E196</f>
        <v>0</v>
      </c>
      <c r="D11" s="15" t="s">
        <v>37</v>
      </c>
      <c r="E11" s="15" t="s">
        <v>36</v>
      </c>
      <c r="F11" s="17">
        <v>8.1</v>
      </c>
      <c r="G11" s="18">
        <v>2000.0</v>
      </c>
      <c r="H11" s="19">
        <f t="shared" si="1"/>
        <v>519600</v>
      </c>
      <c r="I11" s="20">
        <v>0.0</v>
      </c>
      <c r="J11" s="21">
        <v>259.8</v>
      </c>
      <c r="K11" s="22">
        <f>IFERROR(__xludf.DUMMYFUNCTION("GOOGLEFINANCE(E11,""changepct"")"),-3.3)</f>
        <v>-3.3</v>
      </c>
      <c r="L11" s="23">
        <f>IFERROR(__xludf.DUMMYFUNCTION("googlefinance(E11,""price"")"),417.41)</f>
        <v>417.41</v>
      </c>
      <c r="M11" s="21">
        <v>288.5</v>
      </c>
      <c r="N11" s="24">
        <f t="shared" si="3"/>
        <v>157.61</v>
      </c>
      <c r="O11" s="25">
        <f t="shared" si="7"/>
        <v>0.110469592</v>
      </c>
      <c r="P11" s="19">
        <f t="shared" si="5"/>
        <v>57400</v>
      </c>
      <c r="Q11" s="34"/>
      <c r="R11" s="29"/>
      <c r="S11" s="43"/>
      <c r="T11" s="27"/>
      <c r="U11" s="40"/>
      <c r="V11" s="15" t="s">
        <v>36</v>
      </c>
      <c r="W11" s="41">
        <v>45602.0</v>
      </c>
      <c r="X11" s="21">
        <v>288.5</v>
      </c>
      <c r="Y11" s="20">
        <v>577000.0</v>
      </c>
      <c r="Z11" s="42" t="s">
        <v>36</v>
      </c>
      <c r="AA11" s="36">
        <v>45594.0</v>
      </c>
      <c r="AB11" s="37">
        <v>259.8</v>
      </c>
      <c r="AC11" s="27">
        <v>519600.0</v>
      </c>
    </row>
    <row r="12">
      <c r="A12" s="38"/>
      <c r="B12" s="32"/>
      <c r="C12" s="14">
        <f>I12/E196</f>
        <v>0</v>
      </c>
      <c r="D12" s="15" t="s">
        <v>37</v>
      </c>
      <c r="E12" s="15" t="s">
        <v>36</v>
      </c>
      <c r="F12" s="17">
        <v>8.1</v>
      </c>
      <c r="G12" s="18">
        <v>1000.0</v>
      </c>
      <c r="H12" s="19">
        <f t="shared" si="1"/>
        <v>252000</v>
      </c>
      <c r="I12" s="20">
        <v>0.0</v>
      </c>
      <c r="J12" s="21">
        <v>252.0</v>
      </c>
      <c r="K12" s="22">
        <f>IFERROR(__xludf.DUMMYFUNCTION("GOOGLEFINANCE(E12,""changepct"")"),-3.3)</f>
        <v>-3.3</v>
      </c>
      <c r="L12" s="23">
        <f>IFERROR(__xludf.DUMMYFUNCTION("googlefinance(E12,""price"")"),417.41)</f>
        <v>417.41</v>
      </c>
      <c r="M12" s="21">
        <v>297.84</v>
      </c>
      <c r="N12" s="24">
        <f t="shared" si="3"/>
        <v>165.41</v>
      </c>
      <c r="O12" s="25">
        <f t="shared" si="7"/>
        <v>0.1819047619</v>
      </c>
      <c r="P12" s="19">
        <f t="shared" si="5"/>
        <v>45840</v>
      </c>
      <c r="Q12" s="34"/>
      <c r="R12" s="29"/>
      <c r="S12" s="43"/>
      <c r="T12" s="27"/>
      <c r="U12" s="40"/>
      <c r="V12" s="15" t="s">
        <v>36</v>
      </c>
      <c r="W12" s="41">
        <v>45604.0</v>
      </c>
      <c r="X12" s="21">
        <v>297.87</v>
      </c>
      <c r="Y12" s="20">
        <v>297840.0</v>
      </c>
      <c r="Z12" s="42" t="s">
        <v>36</v>
      </c>
      <c r="AA12" s="36">
        <v>45601.0</v>
      </c>
      <c r="AB12" s="37">
        <v>252.0</v>
      </c>
      <c r="AC12" s="27">
        <v>252000.0</v>
      </c>
    </row>
    <row r="13">
      <c r="A13" s="38"/>
      <c r="B13" s="32"/>
      <c r="C13" s="14">
        <f>I13/E196</f>
        <v>0</v>
      </c>
      <c r="D13" s="15" t="s">
        <v>37</v>
      </c>
      <c r="E13" s="15" t="s">
        <v>36</v>
      </c>
      <c r="F13" s="17">
        <v>8.1</v>
      </c>
      <c r="G13" s="18">
        <v>2000.0</v>
      </c>
      <c r="H13" s="19">
        <f t="shared" si="1"/>
        <v>523260</v>
      </c>
      <c r="I13" s="20">
        <v>0.0</v>
      </c>
      <c r="J13" s="21">
        <v>261.63</v>
      </c>
      <c r="K13" s="22">
        <f>IFERROR(__xludf.DUMMYFUNCTION("GOOGLEFINANCE(E13,""changepct"")"),-3.3)</f>
        <v>-3.3</v>
      </c>
      <c r="L13" s="23">
        <f>IFERROR(__xludf.DUMMYFUNCTION("googlefinance(E13,""price"")"),417.41)</f>
        <v>417.41</v>
      </c>
      <c r="M13" s="21">
        <v>267.0</v>
      </c>
      <c r="N13" s="24">
        <f t="shared" si="3"/>
        <v>155.78</v>
      </c>
      <c r="O13" s="25">
        <f t="shared" si="7"/>
        <v>0.02052516913</v>
      </c>
      <c r="P13" s="19">
        <f t="shared" si="5"/>
        <v>10740</v>
      </c>
      <c r="Q13" s="34"/>
      <c r="R13" s="29"/>
      <c r="S13" s="43"/>
      <c r="T13" s="27"/>
      <c r="U13" s="40"/>
      <c r="V13" s="15" t="s">
        <v>36</v>
      </c>
      <c r="W13" s="41">
        <v>45590.0</v>
      </c>
      <c r="X13" s="21">
        <v>267.0</v>
      </c>
      <c r="Y13" s="20">
        <v>534000.0</v>
      </c>
      <c r="Z13" s="42"/>
      <c r="AA13" s="36"/>
      <c r="AB13" s="37"/>
      <c r="AC13" s="27"/>
    </row>
    <row r="14">
      <c r="A14" s="38"/>
      <c r="B14" s="32"/>
      <c r="C14" s="14">
        <f>I14/E196</f>
        <v>0</v>
      </c>
      <c r="D14" s="15" t="s">
        <v>37</v>
      </c>
      <c r="E14" s="15" t="s">
        <v>36</v>
      </c>
      <c r="F14" s="17">
        <v>8.1</v>
      </c>
      <c r="G14" s="18">
        <v>2000.0</v>
      </c>
      <c r="H14" s="19">
        <f t="shared" si="1"/>
        <v>432900</v>
      </c>
      <c r="I14" s="20">
        <v>0.0</v>
      </c>
      <c r="J14" s="21">
        <v>216.45</v>
      </c>
      <c r="K14" s="22">
        <f>IFERROR(__xludf.DUMMYFUNCTION("GOOGLEFINANCE(E14,""changepct"")"),-3.3)</f>
        <v>-3.3</v>
      </c>
      <c r="L14" s="23">
        <f>IFERROR(__xludf.DUMMYFUNCTION("googlefinance(E14,""price"")"),417.41)</f>
        <v>417.41</v>
      </c>
      <c r="M14" s="21">
        <v>267.0</v>
      </c>
      <c r="N14" s="24">
        <f t="shared" si="3"/>
        <v>200.96</v>
      </c>
      <c r="O14" s="25">
        <f t="shared" si="7"/>
        <v>0.2335412335</v>
      </c>
      <c r="P14" s="19">
        <f t="shared" si="5"/>
        <v>101100</v>
      </c>
      <c r="Q14" s="34"/>
      <c r="R14" s="29"/>
      <c r="S14" s="43"/>
      <c r="T14" s="27"/>
      <c r="U14" s="40"/>
      <c r="V14" s="15" t="s">
        <v>36</v>
      </c>
      <c r="W14" s="41">
        <v>45590.0</v>
      </c>
      <c r="X14" s="21">
        <v>267.0</v>
      </c>
      <c r="Y14" s="20">
        <v>534000.0</v>
      </c>
      <c r="Z14" s="42" t="s">
        <v>36</v>
      </c>
      <c r="AA14" s="36">
        <v>45576.0</v>
      </c>
      <c r="AB14" s="37">
        <v>216.45</v>
      </c>
      <c r="AC14" s="27">
        <v>432900.0</v>
      </c>
    </row>
    <row r="15">
      <c r="A15" s="38"/>
      <c r="B15" s="32"/>
      <c r="C15" s="14">
        <f>I15/E196</f>
        <v>0.05059233662</v>
      </c>
      <c r="D15" s="42" t="s">
        <v>39</v>
      </c>
      <c r="E15" s="42" t="s">
        <v>40</v>
      </c>
      <c r="F15" s="44">
        <v>8.2</v>
      </c>
      <c r="G15" s="18">
        <v>12000.0</v>
      </c>
      <c r="H15" s="19">
        <f t="shared" si="1"/>
        <v>1968960</v>
      </c>
      <c r="I15" s="20">
        <f t="shared" ref="I15:I19" si="8">H15+P15</f>
        <v>1469280</v>
      </c>
      <c r="J15" s="21">
        <v>164.08</v>
      </c>
      <c r="K15" s="22">
        <f>IFERROR(__xludf.DUMMYFUNCTION("GOOGLEFINANCE(E15,""changepct"")"),-2.2)</f>
        <v>-2.2</v>
      </c>
      <c r="L15" s="23">
        <f>IFERROR(__xludf.DUMMYFUNCTION("googlefinance(E15,""price"")"),122.44)</f>
        <v>122.44</v>
      </c>
      <c r="M15" s="24"/>
      <c r="N15" s="24">
        <f t="shared" si="3"/>
        <v>-41.64</v>
      </c>
      <c r="O15" s="25">
        <f t="shared" ref="O15:O19" si="9">L15/J15-1</f>
        <v>-0.2537786446</v>
      </c>
      <c r="P15" s="19">
        <f t="shared" si="5"/>
        <v>-499680</v>
      </c>
      <c r="Q15" s="34"/>
      <c r="R15" s="29"/>
      <c r="S15" s="43"/>
      <c r="T15" s="27"/>
      <c r="U15" s="40"/>
      <c r="V15" s="15"/>
      <c r="W15" s="41"/>
      <c r="X15" s="21"/>
      <c r="Y15" s="20"/>
      <c r="Z15" s="42"/>
      <c r="AA15" s="36"/>
      <c r="AB15" s="37"/>
      <c r="AC15" s="27"/>
    </row>
    <row r="16">
      <c r="A16" s="38"/>
      <c r="B16" s="32"/>
      <c r="C16" s="14">
        <f>I16/E196</f>
        <v>0.01686411221</v>
      </c>
      <c r="D16" s="42" t="s">
        <v>41</v>
      </c>
      <c r="E16" s="42" t="s">
        <v>40</v>
      </c>
      <c r="F16" s="44">
        <v>8.2</v>
      </c>
      <c r="G16" s="18">
        <v>4000.0</v>
      </c>
      <c r="H16" s="19">
        <f t="shared" si="1"/>
        <v>563200</v>
      </c>
      <c r="I16" s="20">
        <f t="shared" si="8"/>
        <v>489760</v>
      </c>
      <c r="J16" s="21">
        <v>140.8</v>
      </c>
      <c r="K16" s="22">
        <f>IFERROR(__xludf.DUMMYFUNCTION("GOOGLEFINANCE(E16,""changepct"")"),-2.2)</f>
        <v>-2.2</v>
      </c>
      <c r="L16" s="23">
        <f>IFERROR(__xludf.DUMMYFUNCTION("googlefinance(E16,""price"")"),122.44)</f>
        <v>122.44</v>
      </c>
      <c r="M16" s="24"/>
      <c r="N16" s="24">
        <f t="shared" si="3"/>
        <v>-18.36</v>
      </c>
      <c r="O16" s="25">
        <f t="shared" si="9"/>
        <v>-0.1303977273</v>
      </c>
      <c r="P16" s="19">
        <f t="shared" si="5"/>
        <v>-73440</v>
      </c>
      <c r="Q16" s="34"/>
      <c r="R16" s="29"/>
      <c r="S16" s="43"/>
      <c r="T16" s="27"/>
      <c r="U16" s="40"/>
      <c r="V16" s="15"/>
      <c r="W16" s="41"/>
      <c r="X16" s="21"/>
      <c r="Y16" s="20"/>
      <c r="Z16" s="42" t="s">
        <v>40</v>
      </c>
      <c r="AA16" s="36">
        <v>45621.0</v>
      </c>
      <c r="AB16" s="37">
        <v>140.8</v>
      </c>
      <c r="AC16" s="27">
        <v>563200.0</v>
      </c>
    </row>
    <row r="17">
      <c r="A17" s="38"/>
      <c r="B17" s="32"/>
      <c r="C17" s="14">
        <f>I17/E196</f>
        <v>0.01264808415</v>
      </c>
      <c r="D17" s="42" t="s">
        <v>41</v>
      </c>
      <c r="E17" s="42" t="s">
        <v>40</v>
      </c>
      <c r="F17" s="44">
        <v>8.2</v>
      </c>
      <c r="G17" s="18">
        <v>3000.0</v>
      </c>
      <c r="H17" s="19">
        <f t="shared" si="1"/>
        <v>467460</v>
      </c>
      <c r="I17" s="20">
        <f t="shared" si="8"/>
        <v>367320</v>
      </c>
      <c r="J17" s="21">
        <v>155.82</v>
      </c>
      <c r="K17" s="22">
        <f>IFERROR(__xludf.DUMMYFUNCTION("GOOGLEFINANCE(E17,""changepct"")"),-2.2)</f>
        <v>-2.2</v>
      </c>
      <c r="L17" s="23">
        <f>IFERROR(__xludf.DUMMYFUNCTION("googlefinance(E17,""price"")"),122.44)</f>
        <v>122.44</v>
      </c>
      <c r="M17" s="24"/>
      <c r="N17" s="24">
        <f t="shared" si="3"/>
        <v>-33.38</v>
      </c>
      <c r="O17" s="25">
        <f t="shared" si="9"/>
        <v>-0.2142215377</v>
      </c>
      <c r="P17" s="19">
        <f t="shared" si="5"/>
        <v>-100140</v>
      </c>
      <c r="Q17" s="34"/>
      <c r="R17" s="29"/>
      <c r="S17" s="43"/>
      <c r="T17" s="27"/>
      <c r="U17" s="40"/>
      <c r="V17" s="15"/>
      <c r="W17" s="41"/>
      <c r="X17" s="21"/>
      <c r="Y17" s="20"/>
      <c r="Z17" s="42" t="s">
        <v>40</v>
      </c>
      <c r="AA17" s="36">
        <v>45581.0</v>
      </c>
      <c r="AB17" s="37">
        <v>155.82</v>
      </c>
      <c r="AC17" s="27">
        <v>467460.0</v>
      </c>
    </row>
    <row r="18">
      <c r="A18" s="38"/>
      <c r="B18" s="32"/>
      <c r="C18" s="14">
        <f>I18/E196</f>
        <v>0.008432056103</v>
      </c>
      <c r="D18" s="42" t="s">
        <v>41</v>
      </c>
      <c r="E18" s="42" t="s">
        <v>40</v>
      </c>
      <c r="F18" s="44">
        <v>8.2</v>
      </c>
      <c r="G18" s="18">
        <v>2000.0</v>
      </c>
      <c r="H18" s="19">
        <f t="shared" si="1"/>
        <v>279320</v>
      </c>
      <c r="I18" s="20">
        <f t="shared" si="8"/>
        <v>244880</v>
      </c>
      <c r="J18" s="21">
        <v>139.66</v>
      </c>
      <c r="K18" s="22">
        <f>IFERROR(__xludf.DUMMYFUNCTION("GOOGLEFINANCE(E18,""changepct"")"),-2.2)</f>
        <v>-2.2</v>
      </c>
      <c r="L18" s="23">
        <f>IFERROR(__xludf.DUMMYFUNCTION("googlefinance(E18,""price"")"),122.44)</f>
        <v>122.44</v>
      </c>
      <c r="M18" s="21"/>
      <c r="N18" s="24">
        <f t="shared" si="3"/>
        <v>-17.22</v>
      </c>
      <c r="O18" s="25">
        <f t="shared" si="9"/>
        <v>-0.1232994415</v>
      </c>
      <c r="P18" s="19">
        <f t="shared" si="5"/>
        <v>-34440</v>
      </c>
      <c r="Q18" s="34"/>
      <c r="R18" s="29"/>
      <c r="S18" s="43"/>
      <c r="T18" s="27"/>
      <c r="U18" s="40"/>
      <c r="V18" s="15"/>
      <c r="W18" s="41"/>
      <c r="X18" s="21"/>
      <c r="Y18" s="20"/>
      <c r="Z18" s="42" t="s">
        <v>40</v>
      </c>
      <c r="AA18" s="36">
        <v>45610.0</v>
      </c>
      <c r="AB18" s="37">
        <v>139.66</v>
      </c>
      <c r="AC18" s="27">
        <v>279320.0</v>
      </c>
    </row>
    <row r="19">
      <c r="A19" s="38"/>
      <c r="B19" s="32"/>
      <c r="C19" s="14">
        <f>I19/E196</f>
        <v>0.01264808415</v>
      </c>
      <c r="D19" s="42" t="s">
        <v>41</v>
      </c>
      <c r="E19" s="42" t="s">
        <v>40</v>
      </c>
      <c r="F19" s="44">
        <v>8.2</v>
      </c>
      <c r="G19" s="18">
        <v>3000.0</v>
      </c>
      <c r="H19" s="19">
        <f t="shared" si="1"/>
        <v>354000</v>
      </c>
      <c r="I19" s="20">
        <f t="shared" si="8"/>
        <v>367320</v>
      </c>
      <c r="J19" s="21">
        <v>118.0</v>
      </c>
      <c r="K19" s="22">
        <f>IFERROR(__xludf.DUMMYFUNCTION("GOOGLEFINANCE(E19,""changepct"")"),-2.2)</f>
        <v>-2.2</v>
      </c>
      <c r="L19" s="23">
        <f>IFERROR(__xludf.DUMMYFUNCTION("googlefinance(E19,""price"")"),122.44)</f>
        <v>122.44</v>
      </c>
      <c r="M19" s="21"/>
      <c r="N19" s="24">
        <f t="shared" si="3"/>
        <v>4.44</v>
      </c>
      <c r="O19" s="25">
        <f t="shared" si="9"/>
        <v>0.03762711864</v>
      </c>
      <c r="P19" s="19">
        <f t="shared" si="5"/>
        <v>13320</v>
      </c>
      <c r="Q19" s="34"/>
      <c r="R19" s="29"/>
      <c r="S19" s="43"/>
      <c r="T19" s="27"/>
      <c r="U19" s="40"/>
      <c r="V19" s="15"/>
      <c r="W19" s="41"/>
      <c r="X19" s="21"/>
      <c r="Y19" s="20"/>
      <c r="Z19" s="42" t="s">
        <v>40</v>
      </c>
      <c r="AA19" s="36">
        <v>45646.0</v>
      </c>
      <c r="AB19" s="37">
        <v>118.0</v>
      </c>
      <c r="AC19" s="27">
        <v>354000.0</v>
      </c>
    </row>
    <row r="20">
      <c r="A20" s="38"/>
      <c r="B20" s="32"/>
      <c r="C20" s="14">
        <f>I20/E196</f>
        <v>0</v>
      </c>
      <c r="D20" s="42" t="s">
        <v>41</v>
      </c>
      <c r="E20" s="42" t="s">
        <v>40</v>
      </c>
      <c r="F20" s="44">
        <v>8.2</v>
      </c>
      <c r="G20" s="18">
        <v>2000.0</v>
      </c>
      <c r="H20" s="19">
        <f t="shared" si="1"/>
        <v>281760</v>
      </c>
      <c r="I20" s="20">
        <v>0.0</v>
      </c>
      <c r="J20" s="21">
        <v>140.88</v>
      </c>
      <c r="K20" s="22">
        <f>IFERROR(__xludf.DUMMYFUNCTION("GOOGLEFINANCE(E20,""changepct"")"),-2.2)</f>
        <v>-2.2</v>
      </c>
      <c r="L20" s="23">
        <f>IFERROR(__xludf.DUMMYFUNCTION("googlefinance(E20,""price"")"),122.44)</f>
        <v>122.44</v>
      </c>
      <c r="M20" s="21">
        <v>149.2</v>
      </c>
      <c r="N20" s="24">
        <f t="shared" si="3"/>
        <v>-18.44</v>
      </c>
      <c r="O20" s="25">
        <f t="shared" ref="O20:O21" si="10">M20/J20-1</f>
        <v>0.05905735378</v>
      </c>
      <c r="P20" s="19">
        <f t="shared" si="5"/>
        <v>16640</v>
      </c>
      <c r="Q20" s="34"/>
      <c r="R20" s="29"/>
      <c r="S20" s="43"/>
      <c r="T20" s="27"/>
      <c r="U20" s="40"/>
      <c r="V20" s="15" t="s">
        <v>40</v>
      </c>
      <c r="W20" s="41">
        <v>45604.0</v>
      </c>
      <c r="X20" s="21">
        <v>149.2</v>
      </c>
      <c r="Y20" s="20">
        <v>298400.0</v>
      </c>
      <c r="Z20" s="42" t="s">
        <v>40</v>
      </c>
      <c r="AA20" s="36">
        <v>45601.0</v>
      </c>
      <c r="AB20" s="37">
        <v>140.88</v>
      </c>
      <c r="AC20" s="27">
        <v>281760.0</v>
      </c>
    </row>
    <row r="21">
      <c r="A21" s="38"/>
      <c r="B21" s="32"/>
      <c r="C21" s="14">
        <f>I21/E196</f>
        <v>0</v>
      </c>
      <c r="D21" s="42" t="s">
        <v>41</v>
      </c>
      <c r="E21" s="42" t="s">
        <v>40</v>
      </c>
      <c r="F21" s="44">
        <v>8.2</v>
      </c>
      <c r="G21" s="18">
        <v>2000.0</v>
      </c>
      <c r="H21" s="19">
        <f t="shared" si="1"/>
        <v>302960</v>
      </c>
      <c r="I21" s="20">
        <v>0.0</v>
      </c>
      <c r="J21" s="21">
        <v>151.48</v>
      </c>
      <c r="K21" s="22">
        <f>IFERROR(__xludf.DUMMYFUNCTION("GOOGLEFINANCE(E21,""changepct"")"),-2.2)</f>
        <v>-2.2</v>
      </c>
      <c r="L21" s="23">
        <f>IFERROR(__xludf.DUMMYFUNCTION("googlefinance(E21,""price"")"),122.44)</f>
        <v>122.44</v>
      </c>
      <c r="M21" s="21">
        <v>149.33</v>
      </c>
      <c r="N21" s="24">
        <f t="shared" si="3"/>
        <v>-29.04</v>
      </c>
      <c r="O21" s="25">
        <f t="shared" si="10"/>
        <v>-0.01419329284</v>
      </c>
      <c r="P21" s="19">
        <f t="shared" si="5"/>
        <v>-4300</v>
      </c>
      <c r="Q21" s="34"/>
      <c r="R21" s="29"/>
      <c r="S21" s="43"/>
      <c r="T21" s="27"/>
      <c r="U21" s="40"/>
      <c r="V21" s="15" t="s">
        <v>40</v>
      </c>
      <c r="W21" s="41">
        <v>45595.0</v>
      </c>
      <c r="X21" s="21">
        <v>149.33</v>
      </c>
      <c r="Y21" s="20">
        <v>298660.0</v>
      </c>
      <c r="Z21" s="42" t="s">
        <v>40</v>
      </c>
      <c r="AA21" s="36">
        <v>45588.0</v>
      </c>
      <c r="AB21" s="37">
        <v>151.48</v>
      </c>
      <c r="AC21" s="27">
        <v>302960.0</v>
      </c>
    </row>
    <row r="22">
      <c r="A22" s="38"/>
      <c r="B22" s="32"/>
      <c r="C22" s="14">
        <f>I22/E196</f>
        <v>0.01524023208</v>
      </c>
      <c r="D22" s="42" t="s">
        <v>42</v>
      </c>
      <c r="E22" s="45" t="s">
        <v>43</v>
      </c>
      <c r="F22" s="44">
        <v>7.9</v>
      </c>
      <c r="G22" s="18">
        <v>2000.0</v>
      </c>
      <c r="H22" s="19">
        <f t="shared" si="1"/>
        <v>372660</v>
      </c>
      <c r="I22" s="20">
        <f>H22+P22</f>
        <v>442600</v>
      </c>
      <c r="J22" s="21">
        <v>186.33</v>
      </c>
      <c r="K22" s="22">
        <f>IFERROR(__xludf.DUMMYFUNCTION("GOOGLEFINANCE(E22,""changepct"")"),-1.09)</f>
        <v>-1.09</v>
      </c>
      <c r="L22" s="23">
        <f>IFERROR(__xludf.DUMMYFUNCTION("googlefinance(E22,""price"")"),221.3)</f>
        <v>221.3</v>
      </c>
      <c r="M22" s="24"/>
      <c r="N22" s="24">
        <f t="shared" si="3"/>
        <v>34.97</v>
      </c>
      <c r="O22" s="25">
        <f>L22/J22-1</f>
        <v>0.187677776</v>
      </c>
      <c r="P22" s="19">
        <f t="shared" si="5"/>
        <v>69940</v>
      </c>
      <c r="Q22" s="34"/>
      <c r="R22" s="29"/>
      <c r="S22" s="43"/>
      <c r="T22" s="27"/>
      <c r="U22" s="40"/>
      <c r="V22" s="15"/>
      <c r="W22" s="41"/>
      <c r="X22" s="21"/>
      <c r="Y22" s="20"/>
      <c r="Z22" s="42"/>
      <c r="AA22" s="36"/>
      <c r="AB22" s="37"/>
      <c r="AC22" s="27"/>
    </row>
    <row r="23">
      <c r="A23" s="38"/>
      <c r="B23" s="32"/>
      <c r="C23" s="14">
        <f>I23/E196</f>
        <v>0</v>
      </c>
      <c r="D23" s="42" t="s">
        <v>44</v>
      </c>
      <c r="E23" s="45" t="s">
        <v>43</v>
      </c>
      <c r="F23" s="44">
        <v>7.9</v>
      </c>
      <c r="G23" s="18">
        <v>1000.0</v>
      </c>
      <c r="H23" s="19">
        <f t="shared" si="1"/>
        <v>186330</v>
      </c>
      <c r="I23" s="20">
        <v>0.0</v>
      </c>
      <c r="J23" s="21">
        <v>186.33</v>
      </c>
      <c r="K23" s="22">
        <f>IFERROR(__xludf.DUMMYFUNCTION("GOOGLEFINANCE(E23,""changepct"")"),-1.09)</f>
        <v>-1.09</v>
      </c>
      <c r="L23" s="23">
        <f>IFERROR(__xludf.DUMMYFUNCTION("googlefinance(E23,""price"")"),221.3)</f>
        <v>221.3</v>
      </c>
      <c r="M23" s="21">
        <v>228.2</v>
      </c>
      <c r="N23" s="24">
        <f t="shared" si="3"/>
        <v>34.97</v>
      </c>
      <c r="O23" s="25">
        <f t="shared" ref="O23:O29" si="11">M23/J23-1</f>
        <v>0.2247088499</v>
      </c>
      <c r="P23" s="19">
        <f t="shared" si="5"/>
        <v>41870</v>
      </c>
      <c r="Q23" s="34"/>
      <c r="R23" s="29"/>
      <c r="S23" s="46"/>
      <c r="T23" s="27"/>
      <c r="U23" s="40"/>
      <c r="V23" s="15" t="s">
        <v>43</v>
      </c>
      <c r="W23" s="36">
        <v>45635.0</v>
      </c>
      <c r="X23" s="37">
        <v>228.2</v>
      </c>
      <c r="Y23" s="27">
        <v>228200.0</v>
      </c>
      <c r="Z23" s="42"/>
      <c r="AA23" s="41"/>
      <c r="AB23" s="21"/>
      <c r="AC23" s="20"/>
    </row>
    <row r="24">
      <c r="A24" s="38"/>
      <c r="B24" s="32"/>
      <c r="C24" s="14">
        <f>I24/E196</f>
        <v>0</v>
      </c>
      <c r="D24" s="42" t="s">
        <v>44</v>
      </c>
      <c r="E24" s="45" t="s">
        <v>43</v>
      </c>
      <c r="F24" s="44">
        <v>7.9</v>
      </c>
      <c r="G24" s="18">
        <v>1000.0</v>
      </c>
      <c r="H24" s="19">
        <f t="shared" si="1"/>
        <v>189670</v>
      </c>
      <c r="I24" s="20">
        <v>0.0</v>
      </c>
      <c r="J24" s="21">
        <v>189.67</v>
      </c>
      <c r="K24" s="22">
        <f>IFERROR(__xludf.DUMMYFUNCTION("GOOGLEFINANCE(E24,""changepct"")"),-1.09)</f>
        <v>-1.09</v>
      </c>
      <c r="L24" s="23">
        <f>IFERROR(__xludf.DUMMYFUNCTION("googlefinance(E24,""price"")"),221.3)</f>
        <v>221.3</v>
      </c>
      <c r="M24" s="21">
        <v>221.0</v>
      </c>
      <c r="N24" s="24">
        <f t="shared" si="3"/>
        <v>31.63</v>
      </c>
      <c r="O24" s="25">
        <f t="shared" si="11"/>
        <v>0.1651816313</v>
      </c>
      <c r="P24" s="19">
        <f t="shared" si="5"/>
        <v>31330</v>
      </c>
      <c r="Q24" s="34"/>
      <c r="R24" s="29"/>
      <c r="S24" s="46"/>
      <c r="T24" s="27"/>
      <c r="U24" s="40"/>
      <c r="V24" s="15" t="s">
        <v>43</v>
      </c>
      <c r="W24" s="36">
        <v>45631.0</v>
      </c>
      <c r="X24" s="37">
        <v>221.0</v>
      </c>
      <c r="Y24" s="27">
        <v>221000.0</v>
      </c>
      <c r="Z24" s="42"/>
      <c r="AA24" s="41"/>
      <c r="AB24" s="21"/>
      <c r="AC24" s="20"/>
    </row>
    <row r="25">
      <c r="A25" s="38"/>
      <c r="B25" s="32"/>
      <c r="C25" s="14">
        <f>I25/E196</f>
        <v>0</v>
      </c>
      <c r="D25" s="42" t="s">
        <v>44</v>
      </c>
      <c r="E25" s="45" t="s">
        <v>43</v>
      </c>
      <c r="F25" s="44">
        <v>7.9</v>
      </c>
      <c r="G25" s="18">
        <v>1000.0</v>
      </c>
      <c r="H25" s="19">
        <f t="shared" si="1"/>
        <v>189670</v>
      </c>
      <c r="I25" s="20">
        <v>0.0</v>
      </c>
      <c r="J25" s="21">
        <v>189.67</v>
      </c>
      <c r="K25" s="22">
        <f>IFERROR(__xludf.DUMMYFUNCTION("GOOGLEFINANCE(E25,""changepct"")"),-1.09)</f>
        <v>-1.09</v>
      </c>
      <c r="L25" s="23">
        <f>IFERROR(__xludf.DUMMYFUNCTION("googlefinance(E25,""price"")"),221.3)</f>
        <v>221.3</v>
      </c>
      <c r="M25" s="21">
        <v>209.18</v>
      </c>
      <c r="N25" s="24">
        <f t="shared" si="3"/>
        <v>31.63</v>
      </c>
      <c r="O25" s="25">
        <f t="shared" si="11"/>
        <v>0.1028628671</v>
      </c>
      <c r="P25" s="19">
        <f t="shared" si="5"/>
        <v>19510</v>
      </c>
      <c r="Q25" s="34"/>
      <c r="R25" s="29"/>
      <c r="S25" s="46"/>
      <c r="T25" s="27"/>
      <c r="U25" s="40"/>
      <c r="V25" s="15" t="s">
        <v>43</v>
      </c>
      <c r="W25" s="36">
        <v>45604.0</v>
      </c>
      <c r="X25" s="37">
        <v>209.18</v>
      </c>
      <c r="Y25" s="27">
        <v>209180.0</v>
      </c>
      <c r="Z25" s="42" t="s">
        <v>43</v>
      </c>
      <c r="AA25" s="41">
        <v>45596.0</v>
      </c>
      <c r="AB25" s="21">
        <v>189.67</v>
      </c>
      <c r="AC25" s="20">
        <v>379340.0</v>
      </c>
    </row>
    <row r="26">
      <c r="A26" s="38"/>
      <c r="B26" s="32"/>
      <c r="C26" s="14">
        <f>I26/E196</f>
        <v>0</v>
      </c>
      <c r="D26" s="42" t="s">
        <v>45</v>
      </c>
      <c r="E26" s="45" t="s">
        <v>46</v>
      </c>
      <c r="F26" s="44">
        <v>7.7</v>
      </c>
      <c r="G26" s="18">
        <v>10000.0</v>
      </c>
      <c r="H26" s="19">
        <f t="shared" si="1"/>
        <v>372000</v>
      </c>
      <c r="I26" s="20">
        <v>0.0</v>
      </c>
      <c r="J26" s="21">
        <v>37.2</v>
      </c>
      <c r="K26" s="22">
        <f>IFERROR(__xludf.DUMMYFUNCTION("GOOGLEFINANCE(E26,""changepct"")"),-2.4)</f>
        <v>-2.4</v>
      </c>
      <c r="L26" s="23">
        <f>IFERROR(__xludf.DUMMYFUNCTION("googlefinance(E26,""price"")"),77.18)</f>
        <v>77.18</v>
      </c>
      <c r="M26" s="21">
        <v>55.0</v>
      </c>
      <c r="N26" s="24">
        <f t="shared" si="3"/>
        <v>39.98</v>
      </c>
      <c r="O26" s="25">
        <f t="shared" si="11"/>
        <v>0.4784946237</v>
      </c>
      <c r="P26" s="19">
        <f t="shared" si="5"/>
        <v>178000</v>
      </c>
      <c r="Q26" s="34"/>
      <c r="R26" s="29"/>
      <c r="S26" s="46" t="s">
        <v>47</v>
      </c>
      <c r="T26" s="27">
        <v>7700.0</v>
      </c>
      <c r="U26" s="40"/>
      <c r="V26" s="15" t="s">
        <v>46</v>
      </c>
      <c r="W26" s="36">
        <v>45646.0</v>
      </c>
      <c r="X26" s="37">
        <v>55.0</v>
      </c>
      <c r="Y26" s="27">
        <v>550000.0</v>
      </c>
      <c r="Z26" s="42"/>
      <c r="AA26" s="41"/>
      <c r="AB26" s="21"/>
      <c r="AC26" s="20"/>
    </row>
    <row r="27">
      <c r="A27" s="38"/>
      <c r="B27" s="32"/>
      <c r="C27" s="47">
        <f>I27/E196</f>
        <v>0.02496423013</v>
      </c>
      <c r="D27" s="42" t="s">
        <v>48</v>
      </c>
      <c r="E27" s="45" t="s">
        <v>46</v>
      </c>
      <c r="F27" s="44">
        <v>7.7</v>
      </c>
      <c r="G27" s="18">
        <v>10000.0</v>
      </c>
      <c r="H27" s="19">
        <f t="shared" si="1"/>
        <v>372000</v>
      </c>
      <c r="I27" s="20">
        <f>H27+P27</f>
        <v>725000</v>
      </c>
      <c r="J27" s="21">
        <v>37.2</v>
      </c>
      <c r="K27" s="22">
        <f>IFERROR(__xludf.DUMMYFUNCTION("GOOGLEFINANCE(E27,""changepct"")"),-2.4)</f>
        <v>-2.4</v>
      </c>
      <c r="L27" s="23">
        <f>IFERROR(__xludf.DUMMYFUNCTION("googlefinance(E27,""price"")"),77.18)</f>
        <v>77.18</v>
      </c>
      <c r="M27" s="21">
        <v>72.5</v>
      </c>
      <c r="N27" s="24">
        <f t="shared" si="3"/>
        <v>39.98</v>
      </c>
      <c r="O27" s="25">
        <f t="shared" si="11"/>
        <v>0.9489247312</v>
      </c>
      <c r="P27" s="19">
        <f t="shared" si="5"/>
        <v>353000</v>
      </c>
      <c r="Q27" s="47"/>
      <c r="R27" s="20"/>
      <c r="S27" s="37" t="s">
        <v>49</v>
      </c>
      <c r="T27" s="27">
        <v>34000.0</v>
      </c>
      <c r="U27" s="29"/>
      <c r="V27" s="15"/>
      <c r="W27" s="36"/>
      <c r="X27" s="37"/>
      <c r="Y27" s="27"/>
      <c r="Z27" s="15"/>
      <c r="AA27" s="36"/>
      <c r="AB27" s="37"/>
      <c r="AC27" s="27"/>
    </row>
    <row r="28">
      <c r="A28" s="38"/>
      <c r="B28" s="32"/>
      <c r="C28" s="47">
        <f>I28/E196</f>
        <v>0</v>
      </c>
      <c r="D28" s="42" t="s">
        <v>48</v>
      </c>
      <c r="E28" s="45" t="s">
        <v>46</v>
      </c>
      <c r="F28" s="44">
        <v>7.7</v>
      </c>
      <c r="G28" s="18">
        <v>20000.0</v>
      </c>
      <c r="H28" s="19">
        <f t="shared" si="1"/>
        <v>744000</v>
      </c>
      <c r="I28" s="20">
        <v>0.0</v>
      </c>
      <c r="J28" s="21">
        <v>37.2</v>
      </c>
      <c r="K28" s="22">
        <f>IFERROR(__xludf.DUMMYFUNCTION("GOOGLEFINANCE(E28,""changepct"")"),-2.4)</f>
        <v>-2.4</v>
      </c>
      <c r="L28" s="23">
        <f>IFERROR(__xludf.DUMMYFUNCTION("googlefinance(E28,""price"")"),77.18)</f>
        <v>77.18</v>
      </c>
      <c r="M28" s="21">
        <v>46.7</v>
      </c>
      <c r="N28" s="24">
        <f t="shared" si="3"/>
        <v>39.98</v>
      </c>
      <c r="O28" s="25">
        <f t="shared" si="11"/>
        <v>0.2553763441</v>
      </c>
      <c r="P28" s="19">
        <f t="shared" si="5"/>
        <v>190000</v>
      </c>
      <c r="Q28" s="47"/>
      <c r="R28" s="20"/>
      <c r="S28" s="37"/>
      <c r="T28" s="27"/>
      <c r="U28" s="29"/>
      <c r="V28" s="15" t="s">
        <v>46</v>
      </c>
      <c r="W28" s="36">
        <v>45601.0</v>
      </c>
      <c r="X28" s="37">
        <v>46.7</v>
      </c>
      <c r="Y28" s="27">
        <v>934000.0</v>
      </c>
      <c r="Z28" s="15"/>
      <c r="AA28" s="36"/>
      <c r="AB28" s="37"/>
      <c r="AC28" s="27"/>
    </row>
    <row r="29">
      <c r="A29" s="38"/>
      <c r="B29" s="32"/>
      <c r="C29" s="14">
        <f>I29/E196</f>
        <v>0</v>
      </c>
      <c r="D29" s="42" t="s">
        <v>48</v>
      </c>
      <c r="E29" s="45" t="s">
        <v>46</v>
      </c>
      <c r="F29" s="44">
        <v>7.7</v>
      </c>
      <c r="G29" s="18">
        <v>20000.0</v>
      </c>
      <c r="H29" s="19">
        <f t="shared" si="1"/>
        <v>744000</v>
      </c>
      <c r="I29" s="20">
        <v>0.0</v>
      </c>
      <c r="J29" s="21">
        <v>37.2</v>
      </c>
      <c r="K29" s="22">
        <f>IFERROR(__xludf.DUMMYFUNCTION("GOOGLEFINANCE(E29,""changepct"")"),-2.4)</f>
        <v>-2.4</v>
      </c>
      <c r="L29" s="23">
        <f>IFERROR(__xludf.DUMMYFUNCTION("googlefinance(E29,""price"")"),77.18)</f>
        <v>77.18</v>
      </c>
      <c r="M29" s="21">
        <v>42.44</v>
      </c>
      <c r="N29" s="24">
        <f t="shared" si="3"/>
        <v>39.98</v>
      </c>
      <c r="O29" s="25">
        <f t="shared" si="11"/>
        <v>0.1408602151</v>
      </c>
      <c r="P29" s="19">
        <f t="shared" si="5"/>
        <v>104800</v>
      </c>
      <c r="Q29" s="47"/>
      <c r="R29" s="20"/>
      <c r="S29" s="37"/>
      <c r="T29" s="27"/>
      <c r="U29" s="29"/>
      <c r="V29" s="15" t="s">
        <v>46</v>
      </c>
      <c r="W29" s="36">
        <v>45580.0</v>
      </c>
      <c r="X29" s="37">
        <v>42.44</v>
      </c>
      <c r="Y29" s="27">
        <v>848800.0</v>
      </c>
      <c r="Z29" s="15"/>
      <c r="AA29" s="36"/>
      <c r="AB29" s="37"/>
      <c r="AC29" s="27"/>
    </row>
    <row r="30">
      <c r="A30" s="38"/>
      <c r="B30" s="32"/>
      <c r="C30" s="14">
        <f>I30/E196</f>
        <v>0.02840550621</v>
      </c>
      <c r="D30" s="42" t="s">
        <v>50</v>
      </c>
      <c r="E30" s="42" t="s">
        <v>51</v>
      </c>
      <c r="F30" s="44">
        <v>7.8</v>
      </c>
      <c r="G30" s="18">
        <v>6000.0</v>
      </c>
      <c r="H30" s="19">
        <f t="shared" si="1"/>
        <v>728640</v>
      </c>
      <c r="I30" s="20">
        <f>H30+P30</f>
        <v>824940</v>
      </c>
      <c r="J30" s="21">
        <v>121.44</v>
      </c>
      <c r="K30" s="22">
        <f>IFERROR(__xludf.DUMMYFUNCTION("GOOGLEFINANCE(E30,""changepct"")"),0.35)</f>
        <v>0.35</v>
      </c>
      <c r="L30" s="23">
        <f>IFERROR(__xludf.DUMMYFUNCTION("googlefinance(E30,""price"")"),137.49)</f>
        <v>137.49</v>
      </c>
      <c r="M30" s="21"/>
      <c r="N30" s="24">
        <f t="shared" si="3"/>
        <v>16.05</v>
      </c>
      <c r="O30" s="25">
        <f>L30/J30-1</f>
        <v>0.1321640316</v>
      </c>
      <c r="P30" s="19">
        <f t="shared" si="5"/>
        <v>96300</v>
      </c>
      <c r="Q30" s="47">
        <v>3.0E-4</v>
      </c>
      <c r="R30" s="20"/>
      <c r="S30" s="37"/>
      <c r="T30" s="27"/>
      <c r="U30" s="29"/>
      <c r="V30" s="15"/>
      <c r="W30" s="36"/>
      <c r="X30" s="37"/>
      <c r="Y30" s="27"/>
      <c r="Z30" s="15"/>
      <c r="AA30" s="36"/>
      <c r="AB30" s="37"/>
      <c r="AC30" s="27"/>
    </row>
    <row r="31">
      <c r="A31" s="38"/>
      <c r="B31" s="32"/>
      <c r="C31" s="14">
        <f>I31/E196</f>
        <v>0</v>
      </c>
      <c r="D31" s="42" t="s">
        <v>52</v>
      </c>
      <c r="E31" s="42" t="s">
        <v>51</v>
      </c>
      <c r="F31" s="44">
        <v>7.8</v>
      </c>
      <c r="G31" s="18">
        <v>1000.0</v>
      </c>
      <c r="H31" s="19">
        <f t="shared" si="1"/>
        <v>121440</v>
      </c>
      <c r="I31" s="20">
        <v>0.0</v>
      </c>
      <c r="J31" s="21">
        <v>121.44</v>
      </c>
      <c r="K31" s="22">
        <f>IFERROR(__xludf.DUMMYFUNCTION("GOOGLEFINANCE(E31,""changepct"")"),0.35)</f>
        <v>0.35</v>
      </c>
      <c r="L31" s="23">
        <f>IFERROR(__xludf.DUMMYFUNCTION("googlefinance(E31,""price"")"),137.49)</f>
        <v>137.49</v>
      </c>
      <c r="M31" s="21">
        <v>132.65</v>
      </c>
      <c r="N31" s="24">
        <f t="shared" si="3"/>
        <v>16.05</v>
      </c>
      <c r="O31" s="25">
        <f t="shared" ref="O31:O38" si="12">M31/J31-1</f>
        <v>0.09230895916</v>
      </c>
      <c r="P31" s="19">
        <f t="shared" si="5"/>
        <v>11210</v>
      </c>
      <c r="Q31" s="47"/>
      <c r="R31" s="20"/>
      <c r="S31" s="37"/>
      <c r="T31" s="27"/>
      <c r="U31" s="29"/>
      <c r="V31" s="15" t="s">
        <v>53</v>
      </c>
      <c r="W31" s="36">
        <v>45574.0</v>
      </c>
      <c r="X31" s="37">
        <v>132.65</v>
      </c>
      <c r="Y31" s="27">
        <v>132650.0</v>
      </c>
      <c r="Z31" s="15"/>
      <c r="AA31" s="36"/>
      <c r="AB31" s="37"/>
      <c r="AC31" s="27"/>
    </row>
    <row r="32">
      <c r="A32" s="38"/>
      <c r="B32" s="32"/>
      <c r="C32" s="14">
        <f>I32/E196</f>
        <v>0</v>
      </c>
      <c r="D32" s="42" t="s">
        <v>52</v>
      </c>
      <c r="E32" s="42" t="s">
        <v>51</v>
      </c>
      <c r="F32" s="44">
        <v>7.8</v>
      </c>
      <c r="G32" s="18">
        <v>1000.0</v>
      </c>
      <c r="H32" s="19">
        <f t="shared" si="1"/>
        <v>121440</v>
      </c>
      <c r="I32" s="20">
        <v>0.0</v>
      </c>
      <c r="J32" s="21">
        <v>121.44</v>
      </c>
      <c r="K32" s="22">
        <f>IFERROR(__xludf.DUMMYFUNCTION("GOOGLEFINANCE(E32,""changepct"")"),0.35)</f>
        <v>0.35</v>
      </c>
      <c r="L32" s="23">
        <f>IFERROR(__xludf.DUMMYFUNCTION("googlefinance(E32,""price"")"),137.49)</f>
        <v>137.49</v>
      </c>
      <c r="M32" s="21">
        <v>131.32</v>
      </c>
      <c r="N32" s="24">
        <f t="shared" si="3"/>
        <v>16.05</v>
      </c>
      <c r="O32" s="25">
        <f t="shared" si="12"/>
        <v>0.08135704875</v>
      </c>
      <c r="P32" s="19">
        <f t="shared" si="5"/>
        <v>9880</v>
      </c>
      <c r="Q32" s="47"/>
      <c r="R32" s="20"/>
      <c r="S32" s="37"/>
      <c r="T32" s="27"/>
      <c r="U32" s="29"/>
      <c r="V32" s="15" t="s">
        <v>53</v>
      </c>
      <c r="W32" s="36">
        <v>45580.0</v>
      </c>
      <c r="X32" s="37">
        <v>131.32</v>
      </c>
      <c r="Y32" s="27">
        <v>131320.0</v>
      </c>
      <c r="Z32" s="15"/>
      <c r="AA32" s="36"/>
      <c r="AB32" s="37"/>
      <c r="AC32" s="27"/>
    </row>
    <row r="33">
      <c r="A33" s="38"/>
      <c r="B33" s="32"/>
      <c r="C33" s="14">
        <f>I33/E196</f>
        <v>0</v>
      </c>
      <c r="D33" s="42" t="s">
        <v>54</v>
      </c>
      <c r="E33" s="42" t="s">
        <v>55</v>
      </c>
      <c r="F33" s="44">
        <v>7.9</v>
      </c>
      <c r="G33" s="18">
        <v>2000.0</v>
      </c>
      <c r="H33" s="19">
        <f t="shared" si="1"/>
        <v>345000</v>
      </c>
      <c r="I33" s="20">
        <v>0.0</v>
      </c>
      <c r="J33" s="21">
        <v>172.5</v>
      </c>
      <c r="K33" s="22">
        <f>IFERROR(__xludf.DUMMYFUNCTION("GOOGLEFINANCE(E33,""changepct"")"),-2.55)</f>
        <v>-2.55</v>
      </c>
      <c r="L33" s="23">
        <f>IFERROR(__xludf.DUMMYFUNCTION("googlefinance(E33,""price"")"),235.58)</f>
        <v>235.58</v>
      </c>
      <c r="M33" s="21">
        <v>245.0</v>
      </c>
      <c r="N33" s="24">
        <f t="shared" si="3"/>
        <v>63.08</v>
      </c>
      <c r="O33" s="25">
        <f t="shared" si="12"/>
        <v>0.4202898551</v>
      </c>
      <c r="P33" s="19">
        <f t="shared" si="5"/>
        <v>145000</v>
      </c>
      <c r="Q33" s="47">
        <v>0.013</v>
      </c>
      <c r="R33" s="20"/>
      <c r="S33" s="37"/>
      <c r="T33" s="27"/>
      <c r="U33" s="29"/>
      <c r="V33" s="15" t="s">
        <v>55</v>
      </c>
      <c r="W33" s="36">
        <v>45643.0</v>
      </c>
      <c r="X33" s="37">
        <v>245.0</v>
      </c>
      <c r="Y33" s="27">
        <v>490000.0</v>
      </c>
      <c r="Z33" s="15"/>
      <c r="AA33" s="36"/>
      <c r="AB33" s="37"/>
      <c r="AC33" s="27"/>
    </row>
    <row r="34">
      <c r="A34" s="38"/>
      <c r="B34" s="32"/>
      <c r="C34" s="14">
        <f>I34/E196</f>
        <v>0</v>
      </c>
      <c r="D34" s="42" t="s">
        <v>54</v>
      </c>
      <c r="E34" s="42" t="s">
        <v>55</v>
      </c>
      <c r="F34" s="44">
        <v>7.9</v>
      </c>
      <c r="G34" s="18">
        <v>2000.0</v>
      </c>
      <c r="H34" s="19">
        <f t="shared" si="1"/>
        <v>345000</v>
      </c>
      <c r="I34" s="20">
        <v>0.0</v>
      </c>
      <c r="J34" s="21">
        <v>172.5</v>
      </c>
      <c r="K34" s="22">
        <f>IFERROR(__xludf.DUMMYFUNCTION("GOOGLEFINANCE(E34,""changepct"")"),-2.55)</f>
        <v>-2.55</v>
      </c>
      <c r="L34" s="23">
        <f>IFERROR(__xludf.DUMMYFUNCTION("googlefinance(E34,""price"")"),235.58)</f>
        <v>235.58</v>
      </c>
      <c r="M34" s="21">
        <v>214.8</v>
      </c>
      <c r="N34" s="24">
        <f t="shared" si="3"/>
        <v>63.08</v>
      </c>
      <c r="O34" s="25">
        <f t="shared" si="12"/>
        <v>0.2452173913</v>
      </c>
      <c r="P34" s="19">
        <f t="shared" si="5"/>
        <v>84600</v>
      </c>
      <c r="Q34" s="47"/>
      <c r="R34" s="20"/>
      <c r="S34" s="37"/>
      <c r="T34" s="27"/>
      <c r="U34" s="29"/>
      <c r="V34" s="15" t="s">
        <v>55</v>
      </c>
      <c r="W34" s="36">
        <v>45639.0</v>
      </c>
      <c r="X34" s="37">
        <v>214.8</v>
      </c>
      <c r="Y34" s="27">
        <v>429600.0</v>
      </c>
      <c r="Z34" s="15"/>
      <c r="AA34" s="36"/>
      <c r="AB34" s="37"/>
      <c r="AC34" s="27"/>
    </row>
    <row r="35">
      <c r="A35" s="38"/>
      <c r="B35" s="32"/>
      <c r="C35" s="14">
        <f>I35/E196</f>
        <v>0</v>
      </c>
      <c r="D35" s="42" t="s">
        <v>54</v>
      </c>
      <c r="E35" s="42" t="s">
        <v>55</v>
      </c>
      <c r="F35" s="44">
        <v>7.9</v>
      </c>
      <c r="G35" s="18">
        <v>1000.0</v>
      </c>
      <c r="H35" s="19">
        <f t="shared" si="1"/>
        <v>172500</v>
      </c>
      <c r="I35" s="20">
        <v>0.0</v>
      </c>
      <c r="J35" s="21">
        <v>172.5</v>
      </c>
      <c r="K35" s="22">
        <f>IFERROR(__xludf.DUMMYFUNCTION("GOOGLEFINANCE(E35,""changepct"")"),-2.55)</f>
        <v>-2.55</v>
      </c>
      <c r="L35" s="23">
        <f>IFERROR(__xludf.DUMMYFUNCTION("googlefinance(E35,""price"")"),235.58)</f>
        <v>235.58</v>
      </c>
      <c r="M35" s="21">
        <v>185.97</v>
      </c>
      <c r="N35" s="24">
        <f t="shared" si="3"/>
        <v>63.08</v>
      </c>
      <c r="O35" s="25">
        <f t="shared" si="12"/>
        <v>0.07808695652</v>
      </c>
      <c r="P35" s="19">
        <f t="shared" si="5"/>
        <v>13470</v>
      </c>
      <c r="Q35" s="47"/>
      <c r="R35" s="20"/>
      <c r="S35" s="37"/>
      <c r="T35" s="27"/>
      <c r="U35" s="29"/>
      <c r="V35" s="15" t="s">
        <v>55</v>
      </c>
      <c r="W35" s="36">
        <v>45574.0</v>
      </c>
      <c r="X35" s="37">
        <v>185.97</v>
      </c>
      <c r="Y35" s="27">
        <v>185970.0</v>
      </c>
      <c r="Z35" s="15"/>
      <c r="AA35" s="36"/>
      <c r="AB35" s="37"/>
      <c r="AC35" s="27"/>
    </row>
    <row r="36">
      <c r="A36" s="38"/>
      <c r="B36" s="32"/>
      <c r="C36" s="14">
        <f>I36/E196</f>
        <v>0</v>
      </c>
      <c r="D36" s="42" t="s">
        <v>54</v>
      </c>
      <c r="E36" s="42" t="s">
        <v>55</v>
      </c>
      <c r="F36" s="44">
        <v>7.9</v>
      </c>
      <c r="G36" s="18">
        <v>1000.0</v>
      </c>
      <c r="H36" s="19">
        <f t="shared" si="1"/>
        <v>172500</v>
      </c>
      <c r="I36" s="20">
        <v>0.0</v>
      </c>
      <c r="J36" s="21">
        <v>172.5</v>
      </c>
      <c r="K36" s="22">
        <f>IFERROR(__xludf.DUMMYFUNCTION("GOOGLEFINANCE(E36,""changepct"")"),-2.55)</f>
        <v>-2.55</v>
      </c>
      <c r="L36" s="23">
        <f>IFERROR(__xludf.DUMMYFUNCTION("googlefinance(E36,""price"")"),235.58)</f>
        <v>235.58</v>
      </c>
      <c r="M36" s="21">
        <v>175.7</v>
      </c>
      <c r="N36" s="24">
        <f t="shared" si="3"/>
        <v>63.08</v>
      </c>
      <c r="O36" s="25">
        <f t="shared" si="12"/>
        <v>0.01855072464</v>
      </c>
      <c r="P36" s="19">
        <f t="shared" si="5"/>
        <v>3200</v>
      </c>
      <c r="Q36" s="47"/>
      <c r="R36" s="20"/>
      <c r="S36" s="37"/>
      <c r="T36" s="27"/>
      <c r="U36" s="29"/>
      <c r="V36" s="15" t="s">
        <v>55</v>
      </c>
      <c r="W36" s="36">
        <v>45580.0</v>
      </c>
      <c r="X36" s="37">
        <v>175.7</v>
      </c>
      <c r="Y36" s="27">
        <v>175700.0</v>
      </c>
      <c r="Z36" s="15"/>
      <c r="AA36" s="36"/>
      <c r="AB36" s="37"/>
      <c r="AC36" s="27"/>
    </row>
    <row r="37">
      <c r="A37" s="38"/>
      <c r="B37" s="32"/>
      <c r="C37" s="14">
        <f>I37/E196</f>
        <v>0</v>
      </c>
      <c r="D37" s="42" t="s">
        <v>56</v>
      </c>
      <c r="E37" s="42" t="s">
        <v>57</v>
      </c>
      <c r="F37" s="44">
        <v>7.5</v>
      </c>
      <c r="G37" s="18">
        <v>50000.0</v>
      </c>
      <c r="H37" s="19">
        <f t="shared" si="1"/>
        <v>233000</v>
      </c>
      <c r="I37" s="20">
        <v>0.0</v>
      </c>
      <c r="J37" s="21">
        <v>4.66</v>
      </c>
      <c r="K37" s="22">
        <f>IFERROR(__xludf.DUMMYFUNCTION("GOOGLEFINANCE(E37,""changepct"")"),-5.3)</f>
        <v>-5.3</v>
      </c>
      <c r="L37" s="23">
        <f>IFERROR(__xludf.DUMMYFUNCTION("googlefinance(E37,""price"")"),22.68)</f>
        <v>22.68</v>
      </c>
      <c r="M37" s="21">
        <v>6.0</v>
      </c>
      <c r="N37" s="24">
        <f t="shared" si="3"/>
        <v>18.02</v>
      </c>
      <c r="O37" s="25">
        <f t="shared" si="12"/>
        <v>0.2875536481</v>
      </c>
      <c r="P37" s="19">
        <f t="shared" si="5"/>
        <v>67000</v>
      </c>
      <c r="Q37" s="47"/>
      <c r="R37" s="20"/>
      <c r="S37" s="37" t="s">
        <v>47</v>
      </c>
      <c r="T37" s="27">
        <v>22000.0</v>
      </c>
      <c r="U37" s="29"/>
      <c r="V37" s="15" t="s">
        <v>57</v>
      </c>
      <c r="W37" s="36">
        <v>45646.0</v>
      </c>
      <c r="X37" s="37">
        <v>6.0</v>
      </c>
      <c r="Y37" s="27">
        <v>300000.0</v>
      </c>
      <c r="Z37" s="15"/>
      <c r="AA37" s="36"/>
      <c r="AB37" s="37"/>
      <c r="AC37" s="27"/>
    </row>
    <row r="38">
      <c r="A38" s="38"/>
      <c r="B38" s="32"/>
      <c r="C38" s="14">
        <f>I38/E196</f>
        <v>0</v>
      </c>
      <c r="D38" s="42" t="s">
        <v>56</v>
      </c>
      <c r="E38" s="42" t="s">
        <v>57</v>
      </c>
      <c r="F38" s="44">
        <v>7.5</v>
      </c>
      <c r="G38" s="18">
        <v>50000.0</v>
      </c>
      <c r="H38" s="19">
        <f t="shared" si="1"/>
        <v>233000</v>
      </c>
      <c r="I38" s="20">
        <v>0.0</v>
      </c>
      <c r="J38" s="21">
        <v>4.66</v>
      </c>
      <c r="K38" s="22">
        <f>IFERROR(__xludf.DUMMYFUNCTION("GOOGLEFINANCE(E38,""changepct"")"),-5.3)</f>
        <v>-5.3</v>
      </c>
      <c r="L38" s="23">
        <f>IFERROR(__xludf.DUMMYFUNCTION("googlefinance(E38,""price"")"),22.68)</f>
        <v>22.68</v>
      </c>
      <c r="M38" s="21">
        <v>6.79</v>
      </c>
      <c r="N38" s="24">
        <f t="shared" si="3"/>
        <v>18.02</v>
      </c>
      <c r="O38" s="25">
        <f t="shared" si="12"/>
        <v>0.4570815451</v>
      </c>
      <c r="P38" s="19">
        <f t="shared" si="5"/>
        <v>106500</v>
      </c>
      <c r="Q38" s="47"/>
      <c r="R38" s="20"/>
      <c r="S38" s="37"/>
      <c r="T38" s="27"/>
      <c r="U38" s="29"/>
      <c r="V38" s="15" t="s">
        <v>57</v>
      </c>
      <c r="W38" s="36">
        <v>45604.0</v>
      </c>
      <c r="X38" s="37">
        <v>6.79</v>
      </c>
      <c r="Y38" s="27">
        <v>339500.0</v>
      </c>
      <c r="Z38" s="15"/>
      <c r="AA38" s="36"/>
      <c r="AB38" s="37"/>
      <c r="AC38" s="27"/>
    </row>
    <row r="39">
      <c r="A39" s="38"/>
      <c r="B39" s="32"/>
      <c r="C39" s="14">
        <f>I39/E196</f>
        <v>0.01017920788</v>
      </c>
      <c r="D39" s="42" t="s">
        <v>58</v>
      </c>
      <c r="E39" s="42" t="s">
        <v>59</v>
      </c>
      <c r="F39" s="44">
        <v>7.9</v>
      </c>
      <c r="G39" s="18">
        <v>500.0</v>
      </c>
      <c r="H39" s="19">
        <f t="shared" si="1"/>
        <v>286220</v>
      </c>
      <c r="I39" s="20">
        <f>H39+P39</f>
        <v>295620</v>
      </c>
      <c r="J39" s="21">
        <v>572.44</v>
      </c>
      <c r="K39" s="22">
        <f>IFERROR(__xludf.DUMMYFUNCTION("GOOGLEFINANCE(E39,""changepct"")"),-1.43)</f>
        <v>-1.43</v>
      </c>
      <c r="L39" s="23">
        <f>IFERROR(__xludf.DUMMYFUNCTION("googlefinance(E39,""price"")"),591.24)</f>
        <v>591.24</v>
      </c>
      <c r="M39" s="21"/>
      <c r="N39" s="24">
        <f t="shared" si="3"/>
        <v>18.8</v>
      </c>
      <c r="O39" s="25">
        <f>L39/J39-1</f>
        <v>0.03284186989</v>
      </c>
      <c r="P39" s="19">
        <f t="shared" si="5"/>
        <v>9400</v>
      </c>
      <c r="Q39" s="47">
        <v>0.0035</v>
      </c>
      <c r="R39" s="20"/>
      <c r="S39" s="37"/>
      <c r="T39" s="27"/>
      <c r="U39" s="29"/>
      <c r="V39" s="15"/>
      <c r="W39" s="36"/>
      <c r="X39" s="37"/>
      <c r="Y39" s="27"/>
      <c r="Z39" s="15"/>
      <c r="AA39" s="36"/>
      <c r="AB39" s="37"/>
      <c r="AC39" s="27"/>
    </row>
    <row r="40">
      <c r="A40" s="38"/>
      <c r="B40" s="32"/>
      <c r="C40" s="14">
        <f>I40/E196</f>
        <v>0</v>
      </c>
      <c r="D40" s="42" t="s">
        <v>58</v>
      </c>
      <c r="E40" s="42" t="s">
        <v>59</v>
      </c>
      <c r="F40" s="44">
        <v>7.9</v>
      </c>
      <c r="G40" s="18">
        <v>500.0</v>
      </c>
      <c r="H40" s="19">
        <f t="shared" si="1"/>
        <v>286220</v>
      </c>
      <c r="I40" s="20">
        <v>0.0</v>
      </c>
      <c r="J40" s="21">
        <v>572.44</v>
      </c>
      <c r="K40" s="22">
        <f>IFERROR(__xludf.DUMMYFUNCTION("GOOGLEFINANCE(E40,""changepct"")"),-1.43)</f>
        <v>-1.43</v>
      </c>
      <c r="L40" s="23">
        <f>IFERROR(__xludf.DUMMYFUNCTION("googlefinance(E40,""price"")"),591.24)</f>
        <v>591.24</v>
      </c>
      <c r="M40" s="21">
        <v>589.81</v>
      </c>
      <c r="N40" s="24">
        <f t="shared" si="3"/>
        <v>18.8</v>
      </c>
      <c r="O40" s="25">
        <f>M40/J40-1</f>
        <v>0.03034379149</v>
      </c>
      <c r="P40" s="19">
        <f t="shared" si="5"/>
        <v>8685</v>
      </c>
      <c r="Q40" s="47">
        <v>0.0035</v>
      </c>
      <c r="R40" s="20"/>
      <c r="S40" s="37"/>
      <c r="T40" s="27"/>
      <c r="U40" s="29"/>
      <c r="V40" s="15" t="s">
        <v>59</v>
      </c>
      <c r="W40" s="36">
        <v>45575.0</v>
      </c>
      <c r="X40" s="37">
        <v>589.81</v>
      </c>
      <c r="Y40" s="27">
        <v>294905.0</v>
      </c>
      <c r="Z40" s="15"/>
      <c r="AA40" s="36"/>
      <c r="AB40" s="37"/>
      <c r="AC40" s="27"/>
    </row>
    <row r="41">
      <c r="A41" s="38"/>
      <c r="B41" s="32"/>
      <c r="C41" s="14">
        <f>I41/E196</f>
        <v>0.02767551769</v>
      </c>
      <c r="D41" s="42" t="s">
        <v>60</v>
      </c>
      <c r="E41" s="42" t="s">
        <v>61</v>
      </c>
      <c r="F41" s="44">
        <v>8.0</v>
      </c>
      <c r="G41" s="18">
        <v>7000.0</v>
      </c>
      <c r="H41" s="19">
        <f t="shared" si="1"/>
        <v>829780</v>
      </c>
      <c r="I41" s="20">
        <f t="shared" ref="I41:I42" si="13">H41+P41</f>
        <v>803740</v>
      </c>
      <c r="J41" s="21">
        <v>118.54</v>
      </c>
      <c r="K41" s="22">
        <f>IFERROR(__xludf.DUMMYFUNCTION("GOOGLEFINANCE(E41,""changepct"")"),-2.14)</f>
        <v>-2.14</v>
      </c>
      <c r="L41" s="23">
        <f>IFERROR(__xludf.DUMMYFUNCTION("googlefinance(E41,""price"")"),114.82)</f>
        <v>114.82</v>
      </c>
      <c r="M41" s="21"/>
      <c r="N41" s="24">
        <f t="shared" si="3"/>
        <v>-3.72</v>
      </c>
      <c r="O41" s="25">
        <f t="shared" ref="O41:O42" si="14">L41/J41-1</f>
        <v>-0.03138181205</v>
      </c>
      <c r="P41" s="19">
        <f t="shared" si="5"/>
        <v>-26040</v>
      </c>
      <c r="Q41" s="47">
        <v>0.015</v>
      </c>
      <c r="R41" s="20"/>
      <c r="S41" s="37"/>
      <c r="T41" s="27"/>
      <c r="U41" s="29"/>
      <c r="V41" s="15"/>
      <c r="W41" s="36"/>
      <c r="X41" s="37"/>
      <c r="Y41" s="27"/>
      <c r="Z41" s="15"/>
      <c r="AA41" s="36"/>
      <c r="AB41" s="37"/>
      <c r="AC41" s="27"/>
    </row>
    <row r="42">
      <c r="A42" s="38"/>
      <c r="B42" s="32"/>
      <c r="C42" s="14">
        <f>I42/E196</f>
        <v>0.01186093615</v>
      </c>
      <c r="D42" s="42" t="s">
        <v>62</v>
      </c>
      <c r="E42" s="42" t="s">
        <v>61</v>
      </c>
      <c r="F42" s="44">
        <v>8.0</v>
      </c>
      <c r="G42" s="18">
        <v>3000.0</v>
      </c>
      <c r="H42" s="19">
        <f t="shared" si="1"/>
        <v>333000</v>
      </c>
      <c r="I42" s="20">
        <f t="shared" si="13"/>
        <v>344460</v>
      </c>
      <c r="J42" s="21">
        <v>111.0</v>
      </c>
      <c r="K42" s="22">
        <f>IFERROR(__xludf.DUMMYFUNCTION("GOOGLEFINANCE(E42,""changepct"")"),-2.14)</f>
        <v>-2.14</v>
      </c>
      <c r="L42" s="23">
        <f>IFERROR(__xludf.DUMMYFUNCTION("googlefinance(E42,""price"")"),114.82)</f>
        <v>114.82</v>
      </c>
      <c r="M42" s="21"/>
      <c r="N42" s="24">
        <f t="shared" si="3"/>
        <v>3.82</v>
      </c>
      <c r="O42" s="25">
        <f t="shared" si="14"/>
        <v>0.03441441441</v>
      </c>
      <c r="P42" s="19">
        <f t="shared" si="5"/>
        <v>11460</v>
      </c>
      <c r="Q42" s="47"/>
      <c r="R42" s="20"/>
      <c r="S42" s="37"/>
      <c r="T42" s="27"/>
      <c r="U42" s="29"/>
      <c r="V42" s="15"/>
      <c r="W42" s="36"/>
      <c r="X42" s="37"/>
      <c r="Y42" s="27"/>
      <c r="Z42" s="15" t="s">
        <v>61</v>
      </c>
      <c r="AA42" s="36">
        <v>45646.0</v>
      </c>
      <c r="AB42" s="37">
        <v>111.0</v>
      </c>
      <c r="AC42" s="27">
        <v>330000.0</v>
      </c>
    </row>
    <row r="43">
      <c r="A43" s="38"/>
      <c r="B43" s="32"/>
      <c r="C43" s="14">
        <f>I43/E196</f>
        <v>0</v>
      </c>
      <c r="D43" s="42" t="s">
        <v>62</v>
      </c>
      <c r="E43" s="42" t="s">
        <v>61</v>
      </c>
      <c r="F43" s="44">
        <v>8.0</v>
      </c>
      <c r="G43" s="18">
        <v>1000.0</v>
      </c>
      <c r="H43" s="19">
        <f t="shared" si="1"/>
        <v>118600</v>
      </c>
      <c r="I43" s="20">
        <v>0.0</v>
      </c>
      <c r="J43" s="21">
        <v>118.6</v>
      </c>
      <c r="K43" s="22">
        <f>IFERROR(__xludf.DUMMYFUNCTION("GOOGLEFINANCE(E43,""changepct"")"),-2.14)</f>
        <v>-2.14</v>
      </c>
      <c r="L43" s="23">
        <f>IFERROR(__xludf.DUMMYFUNCTION("googlefinance(E43,""price"")"),114.82)</f>
        <v>114.82</v>
      </c>
      <c r="M43" s="21">
        <v>126.27</v>
      </c>
      <c r="N43" s="24">
        <f t="shared" si="3"/>
        <v>-3.78</v>
      </c>
      <c r="O43" s="25">
        <f t="shared" ref="O43:O57" si="15">M43/J43-1</f>
        <v>0.06467116358</v>
      </c>
      <c r="P43" s="19">
        <f t="shared" si="5"/>
        <v>7670</v>
      </c>
      <c r="Q43" s="47"/>
      <c r="R43" s="20"/>
      <c r="S43" s="37"/>
      <c r="T43" s="27"/>
      <c r="U43" s="29"/>
      <c r="V43" s="15" t="s">
        <v>61</v>
      </c>
      <c r="W43" s="36">
        <v>45631.0</v>
      </c>
      <c r="X43" s="37">
        <v>126.27</v>
      </c>
      <c r="Y43" s="27">
        <v>126270.0</v>
      </c>
      <c r="Z43" s="15"/>
      <c r="AA43" s="36"/>
      <c r="AB43" s="37"/>
      <c r="AC43" s="27"/>
    </row>
    <row r="44">
      <c r="A44" s="38"/>
      <c r="B44" s="32"/>
      <c r="C44" s="14">
        <f>I44/E196</f>
        <v>0</v>
      </c>
      <c r="D44" s="42" t="s">
        <v>62</v>
      </c>
      <c r="E44" s="42" t="s">
        <v>61</v>
      </c>
      <c r="F44" s="44">
        <v>8.0</v>
      </c>
      <c r="G44" s="18">
        <v>2000.0</v>
      </c>
      <c r="H44" s="19">
        <f t="shared" si="1"/>
        <v>237200</v>
      </c>
      <c r="I44" s="20">
        <v>0.0</v>
      </c>
      <c r="J44" s="21">
        <v>118.6</v>
      </c>
      <c r="K44" s="22">
        <f>IFERROR(__xludf.DUMMYFUNCTION("GOOGLEFINANCE(E44,""changepct"")"),-2.14)</f>
        <v>-2.14</v>
      </c>
      <c r="L44" s="23">
        <f>IFERROR(__xludf.DUMMYFUNCTION("googlefinance(E44,""price"")"),114.82)</f>
        <v>114.82</v>
      </c>
      <c r="M44" s="21">
        <v>137.18</v>
      </c>
      <c r="N44" s="24">
        <f t="shared" si="3"/>
        <v>-3.78</v>
      </c>
      <c r="O44" s="25">
        <f t="shared" si="15"/>
        <v>0.1566610455</v>
      </c>
      <c r="P44" s="19">
        <f t="shared" si="5"/>
        <v>37160</v>
      </c>
      <c r="Q44" s="47"/>
      <c r="R44" s="20"/>
      <c r="S44" s="37"/>
      <c r="T44" s="27"/>
      <c r="U44" s="29"/>
      <c r="V44" s="15" t="s">
        <v>61</v>
      </c>
      <c r="W44" s="36">
        <v>45604.0</v>
      </c>
      <c r="X44" s="37">
        <v>137.18</v>
      </c>
      <c r="Y44" s="27">
        <v>274360.0</v>
      </c>
      <c r="Z44" s="15" t="s">
        <v>61</v>
      </c>
      <c r="AA44" s="36">
        <v>45588.0</v>
      </c>
      <c r="AB44" s="37">
        <v>118.6</v>
      </c>
      <c r="AC44" s="27">
        <v>355800.0</v>
      </c>
    </row>
    <row r="45">
      <c r="A45" s="38"/>
      <c r="B45" s="32"/>
      <c r="C45" s="14">
        <f>I45/E196</f>
        <v>0</v>
      </c>
      <c r="D45" s="42" t="s">
        <v>62</v>
      </c>
      <c r="E45" s="42" t="s">
        <v>61</v>
      </c>
      <c r="F45" s="44">
        <v>8.0</v>
      </c>
      <c r="G45" s="18">
        <v>2000.0</v>
      </c>
      <c r="H45" s="19">
        <f t="shared" si="1"/>
        <v>237080</v>
      </c>
      <c r="I45" s="20">
        <v>0.0</v>
      </c>
      <c r="J45" s="21">
        <v>118.54</v>
      </c>
      <c r="K45" s="22">
        <f>IFERROR(__xludf.DUMMYFUNCTION("GOOGLEFINANCE(E45,""changepct"")"),-2.14)</f>
        <v>-2.14</v>
      </c>
      <c r="L45" s="23">
        <f>IFERROR(__xludf.DUMMYFUNCTION("googlefinance(E45,""price"")"),114.82)</f>
        <v>114.82</v>
      </c>
      <c r="M45" s="21">
        <v>126.3</v>
      </c>
      <c r="N45" s="24">
        <f t="shared" si="3"/>
        <v>-3.72</v>
      </c>
      <c r="O45" s="25">
        <f t="shared" si="15"/>
        <v>0.06546313481</v>
      </c>
      <c r="P45" s="19">
        <f t="shared" si="5"/>
        <v>15520</v>
      </c>
      <c r="Q45" s="47">
        <v>0.015</v>
      </c>
      <c r="R45" s="20"/>
      <c r="S45" s="37"/>
      <c r="T45" s="27"/>
      <c r="U45" s="29"/>
      <c r="V45" s="15" t="s">
        <v>61</v>
      </c>
      <c r="W45" s="36">
        <v>45580.0</v>
      </c>
      <c r="X45" s="37">
        <v>126.3</v>
      </c>
      <c r="Y45" s="27">
        <v>252600.0</v>
      </c>
      <c r="Z45" s="15"/>
      <c r="AA45" s="36"/>
      <c r="AB45" s="37"/>
      <c r="AC45" s="27"/>
    </row>
    <row r="46">
      <c r="A46" s="38"/>
      <c r="B46" s="32"/>
      <c r="C46" s="14">
        <f>I46/E196</f>
        <v>0</v>
      </c>
      <c r="D46" s="42" t="s">
        <v>63</v>
      </c>
      <c r="E46" s="42" t="s">
        <v>64</v>
      </c>
      <c r="F46" s="44">
        <v>7.7</v>
      </c>
      <c r="G46" s="18">
        <v>3000.0</v>
      </c>
      <c r="H46" s="19">
        <f t="shared" si="1"/>
        <v>363540</v>
      </c>
      <c r="I46" s="20">
        <v>0.0</v>
      </c>
      <c r="J46" s="21">
        <v>121.18</v>
      </c>
      <c r="K46" s="22">
        <f>IFERROR(__xludf.DUMMYFUNCTION("GOOGLEFINANCE(E46,""changepct"")"),-2.32)</f>
        <v>-2.32</v>
      </c>
      <c r="L46" s="23">
        <f>IFERROR(__xludf.DUMMYFUNCTION("googlefinance(E46,""price"")"),154.97)</f>
        <v>154.97</v>
      </c>
      <c r="M46" s="21">
        <v>171.2</v>
      </c>
      <c r="N46" s="24">
        <f t="shared" si="3"/>
        <v>33.79</v>
      </c>
      <c r="O46" s="25">
        <f t="shared" si="15"/>
        <v>0.4127743852</v>
      </c>
      <c r="P46" s="19">
        <f t="shared" si="5"/>
        <v>150060</v>
      </c>
      <c r="Q46" s="47"/>
      <c r="R46" s="20"/>
      <c r="S46" s="37"/>
      <c r="T46" s="27"/>
      <c r="U46" s="29"/>
      <c r="V46" s="15" t="s">
        <v>64</v>
      </c>
      <c r="W46" s="36">
        <v>45617.0</v>
      </c>
      <c r="X46" s="37">
        <v>171.2</v>
      </c>
      <c r="Y46" s="27">
        <v>513600.0</v>
      </c>
      <c r="Z46" s="15" t="s">
        <v>64</v>
      </c>
      <c r="AA46" s="36">
        <v>45604.0</v>
      </c>
      <c r="AB46" s="37">
        <v>121.18</v>
      </c>
      <c r="AC46" s="27">
        <v>363540.0</v>
      </c>
    </row>
    <row r="47">
      <c r="A47" s="38"/>
      <c r="B47" s="32"/>
      <c r="C47" s="14">
        <f>I47/E196</f>
        <v>0</v>
      </c>
      <c r="D47" s="42" t="s">
        <v>63</v>
      </c>
      <c r="E47" s="42" t="s">
        <v>64</v>
      </c>
      <c r="F47" s="44">
        <v>7.7</v>
      </c>
      <c r="G47" s="18">
        <v>2500.0</v>
      </c>
      <c r="H47" s="19">
        <f t="shared" si="1"/>
        <v>287150</v>
      </c>
      <c r="I47" s="20">
        <v>0.0</v>
      </c>
      <c r="J47" s="21">
        <v>114.86</v>
      </c>
      <c r="K47" s="22">
        <f>IFERROR(__xludf.DUMMYFUNCTION("GOOGLEFINANCE(E47,""changepct"")"),-2.32)</f>
        <v>-2.32</v>
      </c>
      <c r="L47" s="23">
        <f>IFERROR(__xludf.DUMMYFUNCTION("googlefinance(E47,""price"")"),154.97)</f>
        <v>154.97</v>
      </c>
      <c r="M47" s="21">
        <v>114.48</v>
      </c>
      <c r="N47" s="24">
        <f t="shared" si="3"/>
        <v>40.11</v>
      </c>
      <c r="O47" s="25">
        <f t="shared" si="15"/>
        <v>-0.003308375414</v>
      </c>
      <c r="P47" s="19">
        <f t="shared" si="5"/>
        <v>-950</v>
      </c>
      <c r="Q47" s="47"/>
      <c r="R47" s="20"/>
      <c r="S47" s="37"/>
      <c r="T47" s="27"/>
      <c r="U47" s="29"/>
      <c r="V47" s="15" t="s">
        <v>64</v>
      </c>
      <c r="W47" s="36">
        <v>45600.0</v>
      </c>
      <c r="X47" s="37">
        <v>114.48</v>
      </c>
      <c r="Y47" s="27">
        <v>286200.0</v>
      </c>
      <c r="Z47" s="15"/>
      <c r="AA47" s="36"/>
      <c r="AB47" s="37"/>
      <c r="AC47" s="27"/>
    </row>
    <row r="48">
      <c r="A48" s="38"/>
      <c r="B48" s="32"/>
      <c r="C48" s="14">
        <f>I48/E196</f>
        <v>0</v>
      </c>
      <c r="D48" s="42" t="s">
        <v>63</v>
      </c>
      <c r="E48" s="42" t="s">
        <v>64</v>
      </c>
      <c r="F48" s="44">
        <v>7.7</v>
      </c>
      <c r="G48" s="18">
        <v>2500.0</v>
      </c>
      <c r="H48" s="19">
        <f t="shared" si="1"/>
        <v>287150</v>
      </c>
      <c r="I48" s="20">
        <v>0.0</v>
      </c>
      <c r="J48" s="21">
        <v>114.86</v>
      </c>
      <c r="K48" s="22">
        <f>IFERROR(__xludf.DUMMYFUNCTION("GOOGLEFINANCE(E48,""changepct"")"),-2.32)</f>
        <v>-2.32</v>
      </c>
      <c r="L48" s="23">
        <f>IFERROR(__xludf.DUMMYFUNCTION("googlefinance(E48,""price"")"),154.97)</f>
        <v>154.97</v>
      </c>
      <c r="M48" s="21">
        <v>123.08</v>
      </c>
      <c r="N48" s="24">
        <f t="shared" si="3"/>
        <v>40.11</v>
      </c>
      <c r="O48" s="25">
        <f t="shared" si="15"/>
        <v>0.07156538395</v>
      </c>
      <c r="P48" s="19">
        <f t="shared" si="5"/>
        <v>20550</v>
      </c>
      <c r="Q48" s="47"/>
      <c r="R48" s="20"/>
      <c r="S48" s="37"/>
      <c r="T48" s="27"/>
      <c r="U48" s="29"/>
      <c r="V48" s="15" t="s">
        <v>64</v>
      </c>
      <c r="W48" s="36">
        <v>45580.0</v>
      </c>
      <c r="X48" s="37">
        <v>123.08</v>
      </c>
      <c r="Y48" s="27">
        <v>307700.0</v>
      </c>
      <c r="Z48" s="15"/>
      <c r="AA48" s="36"/>
      <c r="AB48" s="37"/>
      <c r="AC48" s="27"/>
    </row>
    <row r="49">
      <c r="A49" s="38"/>
      <c r="B49" s="32"/>
      <c r="C49" s="14">
        <f>I49/E196</f>
        <v>0</v>
      </c>
      <c r="D49" s="42" t="s">
        <v>65</v>
      </c>
      <c r="E49" s="42" t="s">
        <v>66</v>
      </c>
      <c r="F49" s="44">
        <v>7.7</v>
      </c>
      <c r="G49" s="18">
        <v>1000.0</v>
      </c>
      <c r="H49" s="19">
        <f t="shared" si="1"/>
        <v>280470</v>
      </c>
      <c r="I49" s="20">
        <v>0.0</v>
      </c>
      <c r="J49" s="21">
        <v>280.47</v>
      </c>
      <c r="K49" s="22">
        <f>IFERROR(__xludf.DUMMYFUNCTION("GOOGLEFINANCE(E49,""changepct"")"),-1.6)</f>
        <v>-1.6</v>
      </c>
      <c r="L49" s="23">
        <f>IFERROR(__xludf.DUMMYFUNCTION("googlefinance(E49,""price"")"),349.31)</f>
        <v>349.31</v>
      </c>
      <c r="M49" s="21">
        <v>303.5</v>
      </c>
      <c r="N49" s="24">
        <f t="shared" si="3"/>
        <v>68.84</v>
      </c>
      <c r="O49" s="25">
        <f t="shared" si="15"/>
        <v>0.08211216886</v>
      </c>
      <c r="P49" s="19">
        <f t="shared" si="5"/>
        <v>23030</v>
      </c>
      <c r="Q49" s="47"/>
      <c r="R49" s="20"/>
      <c r="S49" s="37"/>
      <c r="T49" s="27"/>
      <c r="U49" s="29"/>
      <c r="V49" s="15" t="s">
        <v>66</v>
      </c>
      <c r="W49" s="36">
        <v>45580.0</v>
      </c>
      <c r="X49" s="37">
        <v>303.5</v>
      </c>
      <c r="Y49" s="27">
        <v>303500.0</v>
      </c>
      <c r="Z49" s="15"/>
      <c r="AA49" s="36"/>
      <c r="AB49" s="37"/>
      <c r="AC49" s="27"/>
    </row>
    <row r="50">
      <c r="A50" s="38"/>
      <c r="B50" s="32"/>
      <c r="C50" s="14">
        <f>I50/E196</f>
        <v>0</v>
      </c>
      <c r="D50" s="42" t="s">
        <v>67</v>
      </c>
      <c r="E50" s="42" t="s">
        <v>68</v>
      </c>
      <c r="F50" s="44">
        <v>7.2</v>
      </c>
      <c r="G50" s="18">
        <v>5000.0</v>
      </c>
      <c r="H50" s="19">
        <f t="shared" si="1"/>
        <v>518550</v>
      </c>
      <c r="I50" s="20">
        <v>0.0</v>
      </c>
      <c r="J50" s="21">
        <v>103.71</v>
      </c>
      <c r="K50" s="22">
        <f>IFERROR(__xludf.DUMMYFUNCTION("GOOGLEFINANCE(E50,""changepct"")"),-3.62)</f>
        <v>-3.62</v>
      </c>
      <c r="L50" s="23">
        <f>IFERROR(__xludf.DUMMYFUNCTION("googlefinance(E50,""price"")"),85.31)</f>
        <v>85.31</v>
      </c>
      <c r="M50" s="21">
        <v>88.0</v>
      </c>
      <c r="N50" s="24">
        <f t="shared" si="3"/>
        <v>-18.4</v>
      </c>
      <c r="O50" s="25">
        <f t="shared" si="15"/>
        <v>-0.1514800887</v>
      </c>
      <c r="P50" s="19">
        <f t="shared" si="5"/>
        <v>-78550</v>
      </c>
      <c r="Q50" s="47">
        <v>0.0043</v>
      </c>
      <c r="R50" s="20"/>
      <c r="S50" s="37"/>
      <c r="T50" s="27"/>
      <c r="U50" s="29"/>
      <c r="V50" s="15" t="s">
        <v>68</v>
      </c>
      <c r="W50" s="36">
        <v>45645.0</v>
      </c>
      <c r="X50" s="37">
        <v>88.0</v>
      </c>
      <c r="Y50" s="27">
        <v>440000.0</v>
      </c>
      <c r="Z50" s="15"/>
      <c r="AA50" s="36"/>
      <c r="AB50" s="37"/>
      <c r="AC50" s="27"/>
    </row>
    <row r="51">
      <c r="A51" s="38"/>
      <c r="B51" s="32"/>
      <c r="C51" s="14">
        <f>I51/E196</f>
        <v>0</v>
      </c>
      <c r="D51" s="42" t="s">
        <v>67</v>
      </c>
      <c r="E51" s="42" t="s">
        <v>68</v>
      </c>
      <c r="F51" s="44">
        <v>7.2</v>
      </c>
      <c r="G51" s="18">
        <v>3000.0</v>
      </c>
      <c r="H51" s="19">
        <f t="shared" si="1"/>
        <v>302610</v>
      </c>
      <c r="I51" s="20">
        <v>0.0</v>
      </c>
      <c r="J51" s="21">
        <v>100.87</v>
      </c>
      <c r="K51" s="22">
        <f>IFERROR(__xludf.DUMMYFUNCTION("GOOGLEFINANCE(E51,""changepct"")"),-3.62)</f>
        <v>-3.62</v>
      </c>
      <c r="L51" s="23">
        <f>IFERROR(__xludf.DUMMYFUNCTION("googlefinance(E51,""price"")"),85.31)</f>
        <v>85.31</v>
      </c>
      <c r="M51" s="21">
        <v>93.0</v>
      </c>
      <c r="N51" s="24">
        <f t="shared" si="3"/>
        <v>-15.56</v>
      </c>
      <c r="O51" s="25">
        <f t="shared" si="15"/>
        <v>-0.07802121543</v>
      </c>
      <c r="P51" s="19">
        <f t="shared" si="5"/>
        <v>-23610</v>
      </c>
      <c r="Q51" s="47"/>
      <c r="R51" s="20"/>
      <c r="S51" s="37"/>
      <c r="T51" s="27"/>
      <c r="U51" s="29"/>
      <c r="V51" s="15" t="s">
        <v>68</v>
      </c>
      <c r="W51" s="36">
        <v>45644.0</v>
      </c>
      <c r="X51" s="37">
        <v>93.0</v>
      </c>
      <c r="Y51" s="27">
        <v>279000.0</v>
      </c>
      <c r="Z51" s="15" t="s">
        <v>68</v>
      </c>
      <c r="AA51" s="36">
        <v>45610.0</v>
      </c>
      <c r="AB51" s="37">
        <v>100.87</v>
      </c>
      <c r="AC51" s="27">
        <v>302610.0</v>
      </c>
    </row>
    <row r="52">
      <c r="A52" s="38"/>
      <c r="B52" s="32"/>
      <c r="C52" s="14">
        <f>I52/E196</f>
        <v>0</v>
      </c>
      <c r="D52" s="42" t="s">
        <v>67</v>
      </c>
      <c r="E52" s="42" t="s">
        <v>68</v>
      </c>
      <c r="F52" s="44">
        <v>7.2</v>
      </c>
      <c r="G52" s="18">
        <v>1000.0</v>
      </c>
      <c r="H52" s="19">
        <f t="shared" si="1"/>
        <v>104120</v>
      </c>
      <c r="I52" s="20">
        <v>0.0</v>
      </c>
      <c r="J52" s="21">
        <v>104.12</v>
      </c>
      <c r="K52" s="22">
        <f>IFERROR(__xludf.DUMMYFUNCTION("GOOGLEFINANCE(E52,""changepct"")"),-3.62)</f>
        <v>-3.62</v>
      </c>
      <c r="L52" s="23">
        <f>IFERROR(__xludf.DUMMYFUNCTION("googlefinance(E52,""price"")"),85.31)</f>
        <v>85.31</v>
      </c>
      <c r="M52" s="21">
        <v>93.0</v>
      </c>
      <c r="N52" s="24">
        <f t="shared" si="3"/>
        <v>-18.81</v>
      </c>
      <c r="O52" s="25">
        <f t="shared" si="15"/>
        <v>-0.1067998463</v>
      </c>
      <c r="P52" s="19">
        <f t="shared" si="5"/>
        <v>-11120</v>
      </c>
      <c r="Q52" s="47"/>
      <c r="R52" s="20"/>
      <c r="S52" s="37"/>
      <c r="T52" s="27"/>
      <c r="U52" s="29"/>
      <c r="V52" s="15" t="s">
        <v>68</v>
      </c>
      <c r="W52" s="36">
        <v>45644.0</v>
      </c>
      <c r="X52" s="37">
        <v>93.0</v>
      </c>
      <c r="Y52" s="27">
        <v>93000.0</v>
      </c>
      <c r="Z52" s="15"/>
      <c r="AA52" s="36"/>
      <c r="AB52" s="37"/>
      <c r="AC52" s="27"/>
    </row>
    <row r="53">
      <c r="A53" s="38"/>
      <c r="B53" s="32"/>
      <c r="C53" s="14">
        <f>I53/E196</f>
        <v>0</v>
      </c>
      <c r="D53" s="42" t="s">
        <v>67</v>
      </c>
      <c r="E53" s="42" t="s">
        <v>68</v>
      </c>
      <c r="F53" s="44">
        <v>7.2</v>
      </c>
      <c r="G53" s="18">
        <v>2000.0</v>
      </c>
      <c r="H53" s="19">
        <f t="shared" si="1"/>
        <v>208240</v>
      </c>
      <c r="I53" s="20">
        <v>0.0</v>
      </c>
      <c r="J53" s="21">
        <v>104.12</v>
      </c>
      <c r="K53" s="22">
        <f>IFERROR(__xludf.DUMMYFUNCTION("GOOGLEFINANCE(E53,""changepct"")"),-3.62)</f>
        <v>-3.62</v>
      </c>
      <c r="L53" s="23">
        <f>IFERROR(__xludf.DUMMYFUNCTION("googlefinance(E53,""price"")"),85.31)</f>
        <v>85.31</v>
      </c>
      <c r="M53" s="21">
        <v>111.9</v>
      </c>
      <c r="N53" s="24">
        <f t="shared" si="3"/>
        <v>-18.81</v>
      </c>
      <c r="O53" s="25">
        <f t="shared" si="15"/>
        <v>0.07472147522</v>
      </c>
      <c r="P53" s="19">
        <f t="shared" si="5"/>
        <v>15560</v>
      </c>
      <c r="Q53" s="47"/>
      <c r="R53" s="20"/>
      <c r="S53" s="37"/>
      <c r="T53" s="27"/>
      <c r="U53" s="29"/>
      <c r="V53" s="15" t="s">
        <v>68</v>
      </c>
      <c r="W53" s="36">
        <v>45604.0</v>
      </c>
      <c r="X53" s="37">
        <v>111.9</v>
      </c>
      <c r="Y53" s="27">
        <v>223800.0</v>
      </c>
      <c r="Z53" s="15" t="s">
        <v>68</v>
      </c>
      <c r="AA53" s="36">
        <v>45588.0</v>
      </c>
      <c r="AB53" s="37">
        <v>104.12</v>
      </c>
      <c r="AC53" s="27">
        <v>312360.0</v>
      </c>
    </row>
    <row r="54">
      <c r="A54" s="38"/>
      <c r="B54" s="32"/>
      <c r="C54" s="14">
        <f>I54/E196</f>
        <v>0</v>
      </c>
      <c r="D54" s="15" t="s">
        <v>69</v>
      </c>
      <c r="E54" s="15" t="s">
        <v>70</v>
      </c>
      <c r="F54" s="17">
        <v>7.2</v>
      </c>
      <c r="G54" s="18">
        <v>25000.0</v>
      </c>
      <c r="H54" s="19">
        <f t="shared" si="1"/>
        <v>157500</v>
      </c>
      <c r="I54" s="20">
        <v>0.0</v>
      </c>
      <c r="J54" s="21">
        <v>6.3</v>
      </c>
      <c r="K54" s="22">
        <f>IFERROR(__xludf.DUMMYFUNCTION("GOOGLEFINANCE(E54,""changepct"")"),-0.32)</f>
        <v>-0.32</v>
      </c>
      <c r="L54" s="23">
        <f>IFERROR(__xludf.DUMMYFUNCTION("googlefinance(E54,""price"")"),12.45)</f>
        <v>12.45</v>
      </c>
      <c r="M54" s="21">
        <v>6.88</v>
      </c>
      <c r="N54" s="24">
        <f t="shared" si="3"/>
        <v>6.15</v>
      </c>
      <c r="O54" s="25">
        <f t="shared" si="15"/>
        <v>0.09206349206</v>
      </c>
      <c r="P54" s="19">
        <f t="shared" si="5"/>
        <v>14500</v>
      </c>
      <c r="Q54" s="47"/>
      <c r="R54" s="20"/>
      <c r="S54" s="37"/>
      <c r="T54" s="27">
        <v>11250.0</v>
      </c>
      <c r="U54" s="29"/>
      <c r="V54" s="15" t="s">
        <v>70</v>
      </c>
      <c r="W54" s="36">
        <v>45596.0</v>
      </c>
      <c r="X54" s="37">
        <v>6.88</v>
      </c>
      <c r="Y54" s="27">
        <v>172000.0</v>
      </c>
      <c r="Z54" s="15"/>
      <c r="AA54" s="36"/>
      <c r="AB54" s="37"/>
      <c r="AC54" s="27"/>
    </row>
    <row r="55">
      <c r="A55" s="38"/>
      <c r="B55" s="32"/>
      <c r="C55" s="14">
        <f>I55/E196</f>
        <v>0</v>
      </c>
      <c r="D55" s="15" t="s">
        <v>69</v>
      </c>
      <c r="E55" s="15" t="s">
        <v>70</v>
      </c>
      <c r="F55" s="17">
        <v>7.2</v>
      </c>
      <c r="G55" s="18">
        <v>25000.0</v>
      </c>
      <c r="H55" s="19">
        <f t="shared" si="1"/>
        <v>157500</v>
      </c>
      <c r="I55" s="20">
        <v>0.0</v>
      </c>
      <c r="J55" s="21">
        <v>6.3</v>
      </c>
      <c r="K55" s="22">
        <f>IFERROR(__xludf.DUMMYFUNCTION("GOOGLEFINANCE(E55,""changepct"")"),-0.32)</f>
        <v>-0.32</v>
      </c>
      <c r="L55" s="23">
        <f>IFERROR(__xludf.DUMMYFUNCTION("googlefinance(E55,""price"")"),12.45)</f>
        <v>12.45</v>
      </c>
      <c r="M55" s="21">
        <v>7.6</v>
      </c>
      <c r="N55" s="24">
        <f t="shared" si="3"/>
        <v>6.15</v>
      </c>
      <c r="O55" s="25">
        <f t="shared" si="15"/>
        <v>0.2063492063</v>
      </c>
      <c r="P55" s="19">
        <f t="shared" si="5"/>
        <v>32500</v>
      </c>
      <c r="Q55" s="47"/>
      <c r="R55" s="20"/>
      <c r="S55" s="37"/>
      <c r="T55" s="27"/>
      <c r="U55" s="29"/>
      <c r="V55" s="15" t="s">
        <v>70</v>
      </c>
      <c r="W55" s="36">
        <v>45590.0</v>
      </c>
      <c r="X55" s="37">
        <v>7.6</v>
      </c>
      <c r="Y55" s="27">
        <v>190000.0</v>
      </c>
      <c r="Z55" s="15"/>
      <c r="AA55" s="36"/>
      <c r="AB55" s="37"/>
      <c r="AC55" s="27"/>
    </row>
    <row r="56">
      <c r="A56" s="38"/>
      <c r="B56" s="32"/>
      <c r="C56" s="14">
        <f>I56/E196</f>
        <v>0</v>
      </c>
      <c r="D56" s="42" t="s">
        <v>71</v>
      </c>
      <c r="E56" s="42" t="s">
        <v>72</v>
      </c>
      <c r="F56" s="44">
        <v>7.7</v>
      </c>
      <c r="G56" s="18">
        <v>1500.0</v>
      </c>
      <c r="H56" s="19">
        <f t="shared" si="1"/>
        <v>291000</v>
      </c>
      <c r="I56" s="20">
        <v>0.0</v>
      </c>
      <c r="J56" s="21">
        <v>194.0</v>
      </c>
      <c r="K56" s="22">
        <f>IFERROR(__xludf.DUMMYFUNCTION("GOOGLEFINANCE(E56,""changepct"")"),-0.77)</f>
        <v>-0.77</v>
      </c>
      <c r="L56" s="23">
        <f>IFERROR(__xludf.DUMMYFUNCTION("googlefinance(E56,""price"")"),183.13)</f>
        <v>183.13</v>
      </c>
      <c r="M56" s="21">
        <v>206.0</v>
      </c>
      <c r="N56" s="24">
        <f t="shared" si="3"/>
        <v>-10.87</v>
      </c>
      <c r="O56" s="25">
        <f t="shared" si="15"/>
        <v>0.0618556701</v>
      </c>
      <c r="P56" s="19">
        <f t="shared" si="5"/>
        <v>18000</v>
      </c>
      <c r="Q56" s="47"/>
      <c r="R56" s="20"/>
      <c r="S56" s="37"/>
      <c r="T56" s="27"/>
      <c r="U56" s="29"/>
      <c r="V56" s="15" t="s">
        <v>72</v>
      </c>
      <c r="W56" s="36">
        <v>45635.0</v>
      </c>
      <c r="X56" s="37">
        <v>206.0</v>
      </c>
      <c r="Y56" s="27">
        <v>309000.0</v>
      </c>
      <c r="Z56" s="15" t="s">
        <v>72</v>
      </c>
      <c r="AA56" s="36">
        <v>45604.0</v>
      </c>
      <c r="AB56" s="37">
        <v>194.0</v>
      </c>
      <c r="AC56" s="27">
        <v>582000.0</v>
      </c>
    </row>
    <row r="57">
      <c r="A57" s="38"/>
      <c r="B57" s="32"/>
      <c r="C57" s="14">
        <f>I57/E196</f>
        <v>0</v>
      </c>
      <c r="D57" s="42" t="s">
        <v>71</v>
      </c>
      <c r="E57" s="42" t="s">
        <v>72</v>
      </c>
      <c r="F57" s="44">
        <v>7.7</v>
      </c>
      <c r="G57" s="18">
        <v>1500.0</v>
      </c>
      <c r="H57" s="19">
        <f t="shared" si="1"/>
        <v>291000</v>
      </c>
      <c r="I57" s="20">
        <v>0.0</v>
      </c>
      <c r="J57" s="21">
        <v>194.0</v>
      </c>
      <c r="K57" s="22">
        <f>IFERROR(__xludf.DUMMYFUNCTION("GOOGLEFINANCE(E57,""changepct"")"),-0.77)</f>
        <v>-0.77</v>
      </c>
      <c r="L57" s="23">
        <f>IFERROR(__xludf.DUMMYFUNCTION("googlefinance(E57,""price"")"),183.13)</f>
        <v>183.13</v>
      </c>
      <c r="M57" s="21">
        <v>208.2</v>
      </c>
      <c r="N57" s="24">
        <f t="shared" si="3"/>
        <v>-10.87</v>
      </c>
      <c r="O57" s="25">
        <f t="shared" si="15"/>
        <v>0.07319587629</v>
      </c>
      <c r="P57" s="19">
        <f t="shared" si="5"/>
        <v>21300</v>
      </c>
      <c r="Q57" s="47"/>
      <c r="R57" s="20"/>
      <c r="S57" s="37"/>
      <c r="T57" s="27"/>
      <c r="U57" s="29"/>
      <c r="V57" s="15" t="s">
        <v>72</v>
      </c>
      <c r="W57" s="36">
        <v>45631.0</v>
      </c>
      <c r="X57" s="37">
        <v>208.2</v>
      </c>
      <c r="Y57" s="27">
        <v>312300.0</v>
      </c>
      <c r="Z57" s="15"/>
      <c r="AA57" s="36"/>
      <c r="AB57" s="37"/>
      <c r="AC57" s="27"/>
    </row>
    <row r="58">
      <c r="A58" s="38"/>
      <c r="B58" s="32"/>
      <c r="C58" s="14">
        <f>I58/E196</f>
        <v>0</v>
      </c>
      <c r="D58" s="42" t="s">
        <v>71</v>
      </c>
      <c r="E58" s="42" t="s">
        <v>72</v>
      </c>
      <c r="F58" s="44">
        <v>7.7</v>
      </c>
      <c r="G58" s="18">
        <v>2000.0</v>
      </c>
      <c r="H58" s="19">
        <f t="shared" si="1"/>
        <v>356120</v>
      </c>
      <c r="I58" s="20">
        <v>0.0</v>
      </c>
      <c r="J58" s="21">
        <v>178.06</v>
      </c>
      <c r="K58" s="22">
        <f>IFERROR(__xludf.DUMMYFUNCTION("GOOGLEFINANCE(E58,""changepct"")"),-0.77)</f>
        <v>-0.77</v>
      </c>
      <c r="L58" s="23">
        <f>IFERROR(__xludf.DUMMYFUNCTION("googlefinance(E58,""price"")"),183.13)</f>
        <v>183.13</v>
      </c>
      <c r="M58" s="21">
        <v>195.8</v>
      </c>
      <c r="N58" s="24">
        <f t="shared" si="3"/>
        <v>5.07</v>
      </c>
      <c r="O58" s="25">
        <f>L58/J58-1</f>
        <v>0.02847354824</v>
      </c>
      <c r="P58" s="19">
        <f t="shared" si="5"/>
        <v>10140</v>
      </c>
      <c r="Q58" s="47"/>
      <c r="R58" s="20"/>
      <c r="S58" s="37"/>
      <c r="T58" s="27"/>
      <c r="U58" s="29"/>
      <c r="V58" s="15" t="s">
        <v>72</v>
      </c>
      <c r="W58" s="36">
        <v>45575.0</v>
      </c>
      <c r="X58" s="37">
        <v>195.8</v>
      </c>
      <c r="Y58" s="27">
        <v>391600.0</v>
      </c>
      <c r="Z58" s="15" t="s">
        <v>72</v>
      </c>
      <c r="AA58" s="36">
        <v>45574.0</v>
      </c>
      <c r="AB58" s="37">
        <v>178.06</v>
      </c>
      <c r="AC58" s="27">
        <v>356120.0</v>
      </c>
    </row>
    <row r="59">
      <c r="A59" s="38"/>
      <c r="B59" s="32"/>
      <c r="C59" s="14">
        <f>I59/E196</f>
        <v>0</v>
      </c>
      <c r="D59" s="15" t="s">
        <v>73</v>
      </c>
      <c r="E59" s="15" t="s">
        <v>74</v>
      </c>
      <c r="F59" s="17">
        <v>7.9</v>
      </c>
      <c r="G59" s="18">
        <v>1000.0</v>
      </c>
      <c r="H59" s="19">
        <f t="shared" si="1"/>
        <v>407020</v>
      </c>
      <c r="I59" s="20">
        <v>0.0</v>
      </c>
      <c r="J59" s="21">
        <v>407.02</v>
      </c>
      <c r="K59" s="22">
        <f>IFERROR(__xludf.DUMMYFUNCTION("GOOGLEFINANCE(E59,""changepct"")"),-1.32)</f>
        <v>-1.32</v>
      </c>
      <c r="L59" s="23">
        <f>IFERROR(__xludf.DUMMYFUNCTION("googlefinance(E59,""price"")"),424.83)</f>
        <v>424.83</v>
      </c>
      <c r="M59" s="21">
        <v>418.45</v>
      </c>
      <c r="N59" s="24">
        <f t="shared" si="3"/>
        <v>17.81</v>
      </c>
      <c r="O59" s="25">
        <f t="shared" ref="O59:O62" si="16">M59/J59-1</f>
        <v>0.02808215812</v>
      </c>
      <c r="P59" s="19">
        <f t="shared" si="5"/>
        <v>11430</v>
      </c>
      <c r="Q59" s="47"/>
      <c r="R59" s="20"/>
      <c r="S59" s="37"/>
      <c r="T59" s="27"/>
      <c r="U59" s="29"/>
      <c r="V59" s="15" t="s">
        <v>74</v>
      </c>
      <c r="W59" s="36">
        <v>45602.0</v>
      </c>
      <c r="X59" s="37">
        <v>418.45</v>
      </c>
      <c r="Y59" s="27">
        <v>418450.0</v>
      </c>
      <c r="Z59" s="15" t="s">
        <v>74</v>
      </c>
      <c r="AA59" s="36">
        <v>45596.0</v>
      </c>
      <c r="AB59" s="37">
        <v>407.02</v>
      </c>
      <c r="AC59" s="27">
        <v>407020.0</v>
      </c>
    </row>
    <row r="60">
      <c r="A60" s="38"/>
      <c r="B60" s="32"/>
      <c r="C60" s="14">
        <f>I60/E196</f>
        <v>0</v>
      </c>
      <c r="D60" s="15" t="s">
        <v>75</v>
      </c>
      <c r="E60" s="15" t="s">
        <v>75</v>
      </c>
      <c r="F60" s="17">
        <v>7.7</v>
      </c>
      <c r="G60" s="18">
        <v>5000.0</v>
      </c>
      <c r="H60" s="19">
        <f t="shared" si="1"/>
        <v>381700</v>
      </c>
      <c r="I60" s="20">
        <v>0.0</v>
      </c>
      <c r="J60" s="21">
        <v>76.34</v>
      </c>
      <c r="K60" s="22">
        <f>IFERROR(__xludf.DUMMYFUNCTION("GOOGLEFINANCE(E60,""changepct"")"),-2.45)</f>
        <v>-2.45</v>
      </c>
      <c r="L60" s="23">
        <f>IFERROR(__xludf.DUMMYFUNCTION("googlefinance(E60,""price"")"),79.64)</f>
        <v>79.64</v>
      </c>
      <c r="M60" s="21">
        <v>73.0</v>
      </c>
      <c r="N60" s="24">
        <f t="shared" si="3"/>
        <v>3.3</v>
      </c>
      <c r="O60" s="25">
        <f t="shared" si="16"/>
        <v>-0.04375163741</v>
      </c>
      <c r="P60" s="19">
        <f t="shared" si="5"/>
        <v>-16700</v>
      </c>
      <c r="Q60" s="47"/>
      <c r="R60" s="20"/>
      <c r="S60" s="37"/>
      <c r="T60" s="27"/>
      <c r="U60" s="29"/>
      <c r="V60" s="15" t="s">
        <v>75</v>
      </c>
      <c r="W60" s="36">
        <v>45614.0</v>
      </c>
      <c r="X60" s="37">
        <v>73.0</v>
      </c>
      <c r="Y60" s="27">
        <v>365000.0</v>
      </c>
      <c r="Z60" s="15" t="s">
        <v>75</v>
      </c>
      <c r="AA60" s="36">
        <v>45604.0</v>
      </c>
      <c r="AB60" s="37">
        <v>76.34</v>
      </c>
      <c r="AC60" s="27">
        <v>381700.0</v>
      </c>
    </row>
    <row r="61">
      <c r="A61" s="38"/>
      <c r="B61" s="32"/>
      <c r="C61" s="14">
        <f>I61/E196</f>
        <v>0</v>
      </c>
      <c r="D61" s="15" t="s">
        <v>30</v>
      </c>
      <c r="E61" s="16" t="s">
        <v>31</v>
      </c>
      <c r="F61" s="17">
        <v>7.6</v>
      </c>
      <c r="G61" s="18">
        <v>3000.0</v>
      </c>
      <c r="H61" s="19">
        <f t="shared" si="1"/>
        <v>505710</v>
      </c>
      <c r="I61" s="20">
        <v>0.0</v>
      </c>
      <c r="J61" s="21">
        <v>168.57</v>
      </c>
      <c r="K61" s="22">
        <f>IFERROR(__xludf.DUMMYFUNCTION("GOOGLEFINANCE(E61,""changepct"")"),-0.7)</f>
        <v>-0.7</v>
      </c>
      <c r="L61" s="23">
        <f>IFERROR(__xludf.DUMMYFUNCTION("googlefinance(E61,""price"")"),192.69)</f>
        <v>192.69</v>
      </c>
      <c r="M61" s="21">
        <v>168.5</v>
      </c>
      <c r="N61" s="24">
        <f t="shared" si="3"/>
        <v>24.12</v>
      </c>
      <c r="O61" s="25">
        <f t="shared" si="16"/>
        <v>-0.0004152577564</v>
      </c>
      <c r="P61" s="19">
        <f t="shared" si="5"/>
        <v>-210</v>
      </c>
      <c r="Q61" s="47"/>
      <c r="R61" s="20"/>
      <c r="S61" s="37"/>
      <c r="T61" s="27"/>
      <c r="U61" s="29"/>
      <c r="V61" s="15" t="s">
        <v>31</v>
      </c>
      <c r="W61" s="36">
        <v>45617.0</v>
      </c>
      <c r="X61" s="37">
        <v>168.5</v>
      </c>
      <c r="Y61" s="27">
        <v>505500.0</v>
      </c>
      <c r="Z61" s="15" t="s">
        <v>31</v>
      </c>
      <c r="AA61" s="36">
        <v>45593.0</v>
      </c>
      <c r="AB61" s="37">
        <v>168.57</v>
      </c>
      <c r="AC61" s="27">
        <v>505710.0</v>
      </c>
    </row>
    <row r="62">
      <c r="A62" s="38"/>
      <c r="B62" s="32"/>
      <c r="C62" s="14">
        <f>I62/E196</f>
        <v>0</v>
      </c>
      <c r="D62" s="15" t="s">
        <v>30</v>
      </c>
      <c r="E62" s="16" t="s">
        <v>31</v>
      </c>
      <c r="F62" s="17">
        <v>7.6</v>
      </c>
      <c r="G62" s="18">
        <v>1500.0</v>
      </c>
      <c r="H62" s="19">
        <f t="shared" si="1"/>
        <v>257250</v>
      </c>
      <c r="I62" s="20">
        <v>0.0</v>
      </c>
      <c r="J62" s="21">
        <v>171.5</v>
      </c>
      <c r="K62" s="22">
        <f>IFERROR(__xludf.DUMMYFUNCTION("GOOGLEFINANCE(E62,""changepct"")"),-0.7)</f>
        <v>-0.7</v>
      </c>
      <c r="L62" s="23">
        <f>IFERROR(__xludf.DUMMYFUNCTION("googlefinance(E62,""price"")"),192.69)</f>
        <v>192.69</v>
      </c>
      <c r="M62" s="21">
        <v>181.45</v>
      </c>
      <c r="N62" s="24">
        <f t="shared" si="3"/>
        <v>21.19</v>
      </c>
      <c r="O62" s="25">
        <f t="shared" si="16"/>
        <v>0.05801749271</v>
      </c>
      <c r="P62" s="19">
        <f t="shared" si="5"/>
        <v>14925</v>
      </c>
      <c r="Q62" s="47"/>
      <c r="R62" s="20"/>
      <c r="S62" s="37"/>
      <c r="T62" s="27"/>
      <c r="U62" s="29"/>
      <c r="V62" s="15" t="s">
        <v>31</v>
      </c>
      <c r="W62" s="36">
        <v>45604.0</v>
      </c>
      <c r="X62" s="37">
        <v>181.45</v>
      </c>
      <c r="Y62" s="27">
        <v>272175.0</v>
      </c>
      <c r="Z62" s="15" t="s">
        <v>31</v>
      </c>
      <c r="AA62" s="36">
        <v>45601.0</v>
      </c>
      <c r="AB62" s="37">
        <v>171.5</v>
      </c>
      <c r="AC62" s="27">
        <v>257250.0</v>
      </c>
    </row>
    <row r="63">
      <c r="A63" s="38"/>
      <c r="B63" s="32"/>
      <c r="C63" s="14">
        <f>I63/E196</f>
        <v>0.02129087279</v>
      </c>
      <c r="D63" s="42" t="s">
        <v>76</v>
      </c>
      <c r="E63" s="42" t="s">
        <v>77</v>
      </c>
      <c r="F63" s="44">
        <v>8.0</v>
      </c>
      <c r="G63" s="18">
        <v>4000.0</v>
      </c>
      <c r="H63" s="19">
        <f t="shared" si="1"/>
        <v>684080</v>
      </c>
      <c r="I63" s="20">
        <f t="shared" ref="I63:I65" si="17">H63+P63</f>
        <v>618320</v>
      </c>
      <c r="J63" s="21">
        <v>171.02</v>
      </c>
      <c r="K63" s="22">
        <f>IFERROR(__xludf.DUMMYFUNCTION("GOOGLEFINANCE(E63,""changepct"")"),-1.69)</f>
        <v>-1.69</v>
      </c>
      <c r="L63" s="23">
        <f>IFERROR(__xludf.DUMMYFUNCTION("googlefinance(E63,""price"")"),154.58)</f>
        <v>154.58</v>
      </c>
      <c r="M63" s="21"/>
      <c r="N63" s="24">
        <f t="shared" si="3"/>
        <v>-16.44</v>
      </c>
      <c r="O63" s="25">
        <f t="shared" ref="O63:O65" si="18">L63/J63-1</f>
        <v>-0.09612910771</v>
      </c>
      <c r="P63" s="19">
        <f t="shared" si="5"/>
        <v>-65760</v>
      </c>
      <c r="Q63" s="47">
        <v>0.02</v>
      </c>
      <c r="R63" s="20"/>
      <c r="S63" s="37"/>
      <c r="T63" s="27"/>
      <c r="U63" s="29"/>
      <c r="V63" s="15"/>
      <c r="W63" s="36"/>
      <c r="X63" s="37"/>
      <c r="Y63" s="27"/>
      <c r="Z63" s="15" t="s">
        <v>77</v>
      </c>
      <c r="AA63" s="36">
        <v>45593.0</v>
      </c>
      <c r="AB63" s="37">
        <v>171.02</v>
      </c>
      <c r="AC63" s="27">
        <v>684080.0</v>
      </c>
    </row>
    <row r="64">
      <c r="A64" s="38"/>
      <c r="B64" s="32"/>
      <c r="C64" s="14">
        <f>I64/E196</f>
        <v>0.0106454364</v>
      </c>
      <c r="D64" s="42" t="s">
        <v>76</v>
      </c>
      <c r="E64" s="42" t="s">
        <v>77</v>
      </c>
      <c r="F64" s="44">
        <v>8.0</v>
      </c>
      <c r="G64" s="18">
        <v>2000.0</v>
      </c>
      <c r="H64" s="19">
        <f t="shared" si="1"/>
        <v>324600</v>
      </c>
      <c r="I64" s="20">
        <f t="shared" si="17"/>
        <v>309160</v>
      </c>
      <c r="J64" s="21">
        <v>162.3</v>
      </c>
      <c r="K64" s="22">
        <f>IFERROR(__xludf.DUMMYFUNCTION("GOOGLEFINANCE(E64,""changepct"")"),-1.69)</f>
        <v>-1.69</v>
      </c>
      <c r="L64" s="23">
        <f>IFERROR(__xludf.DUMMYFUNCTION("googlefinance(E64,""price"")"),154.58)</f>
        <v>154.58</v>
      </c>
      <c r="M64" s="21"/>
      <c r="N64" s="24">
        <f t="shared" si="3"/>
        <v>-7.72</v>
      </c>
      <c r="O64" s="25">
        <f t="shared" si="18"/>
        <v>-0.04756623537</v>
      </c>
      <c r="P64" s="19">
        <f t="shared" si="5"/>
        <v>-15440</v>
      </c>
      <c r="Q64" s="47"/>
      <c r="R64" s="20"/>
      <c r="S64" s="37"/>
      <c r="T64" s="27"/>
      <c r="U64" s="29"/>
      <c r="V64" s="15"/>
      <c r="W64" s="36"/>
      <c r="X64" s="37"/>
      <c r="Y64" s="27"/>
      <c r="Z64" s="15" t="s">
        <v>77</v>
      </c>
      <c r="AA64" s="36">
        <v>45610.0</v>
      </c>
      <c r="AB64" s="37">
        <v>162.3</v>
      </c>
      <c r="AC64" s="27">
        <v>324600.0</v>
      </c>
    </row>
    <row r="65">
      <c r="A65" s="38"/>
      <c r="B65" s="32"/>
      <c r="C65" s="14">
        <f>I65/E196</f>
        <v>0.0106454364</v>
      </c>
      <c r="D65" s="42" t="s">
        <v>76</v>
      </c>
      <c r="E65" s="42" t="s">
        <v>77</v>
      </c>
      <c r="F65" s="44">
        <v>8.0</v>
      </c>
      <c r="G65" s="18">
        <v>2000.0</v>
      </c>
      <c r="H65" s="19">
        <f t="shared" si="1"/>
        <v>300000</v>
      </c>
      <c r="I65" s="20">
        <f t="shared" si="17"/>
        <v>309160</v>
      </c>
      <c r="J65" s="21">
        <v>150.0</v>
      </c>
      <c r="K65" s="22">
        <f>IFERROR(__xludf.DUMMYFUNCTION("GOOGLEFINANCE(E65,""changepct"")"),-1.69)</f>
        <v>-1.69</v>
      </c>
      <c r="L65" s="23">
        <f>IFERROR(__xludf.DUMMYFUNCTION("googlefinance(E65,""price"")"),154.58)</f>
        <v>154.58</v>
      </c>
      <c r="M65" s="21"/>
      <c r="N65" s="24">
        <f t="shared" si="3"/>
        <v>4.58</v>
      </c>
      <c r="O65" s="25">
        <f t="shared" si="18"/>
        <v>0.03053333333</v>
      </c>
      <c r="P65" s="19">
        <f t="shared" si="5"/>
        <v>9160</v>
      </c>
      <c r="Q65" s="47"/>
      <c r="R65" s="20"/>
      <c r="S65" s="37"/>
      <c r="T65" s="27"/>
      <c r="U65" s="29"/>
      <c r="V65" s="15"/>
      <c r="W65" s="36"/>
      <c r="X65" s="37"/>
      <c r="Y65" s="27"/>
      <c r="Z65" s="15" t="s">
        <v>77</v>
      </c>
      <c r="AA65" s="36">
        <v>45646.0</v>
      </c>
      <c r="AB65" s="37">
        <v>150.0</v>
      </c>
      <c r="AC65" s="27">
        <v>300000.0</v>
      </c>
    </row>
    <row r="66">
      <c r="A66" s="38"/>
      <c r="B66" s="32"/>
      <c r="C66" s="14">
        <f>I66/E196</f>
        <v>0</v>
      </c>
      <c r="D66" s="42" t="s">
        <v>76</v>
      </c>
      <c r="E66" s="42" t="s">
        <v>77</v>
      </c>
      <c r="F66" s="44">
        <v>8.0</v>
      </c>
      <c r="G66" s="18">
        <v>1500.0</v>
      </c>
      <c r="H66" s="19">
        <f t="shared" si="1"/>
        <v>246900</v>
      </c>
      <c r="I66" s="20">
        <v>0.0</v>
      </c>
      <c r="J66" s="21">
        <v>164.6</v>
      </c>
      <c r="K66" s="22">
        <f>IFERROR(__xludf.DUMMYFUNCTION("GOOGLEFINANCE(E66,""changepct"")"),-1.69)</f>
        <v>-1.69</v>
      </c>
      <c r="L66" s="23">
        <f>IFERROR(__xludf.DUMMYFUNCTION("googlefinance(E66,""price"")"),154.58)</f>
        <v>154.58</v>
      </c>
      <c r="M66" s="21">
        <v>171.8</v>
      </c>
      <c r="N66" s="24">
        <f t="shared" si="3"/>
        <v>-10.02</v>
      </c>
      <c r="O66" s="25">
        <f>M66/J66-1</f>
        <v>0.04374240583</v>
      </c>
      <c r="P66" s="19">
        <f t="shared" si="5"/>
        <v>10800</v>
      </c>
      <c r="Q66" s="47"/>
      <c r="R66" s="20"/>
      <c r="S66" s="37"/>
      <c r="T66" s="27"/>
      <c r="U66" s="29"/>
      <c r="V66" s="15" t="s">
        <v>77</v>
      </c>
      <c r="W66" s="36">
        <v>45604.0</v>
      </c>
      <c r="X66" s="37">
        <v>171.8</v>
      </c>
      <c r="Y66" s="27">
        <v>257700.0</v>
      </c>
      <c r="Z66" s="15" t="s">
        <v>77</v>
      </c>
      <c r="AA66" s="36">
        <v>45601.0</v>
      </c>
      <c r="AB66" s="37">
        <v>164.6</v>
      </c>
      <c r="AC66" s="27">
        <v>246900.0</v>
      </c>
    </row>
    <row r="67">
      <c r="A67" s="38"/>
      <c r="B67" s="32"/>
      <c r="C67" s="14">
        <f>I67/E196</f>
        <v>0.03595623891</v>
      </c>
      <c r="D67" s="42" t="s">
        <v>78</v>
      </c>
      <c r="E67" s="42" t="s">
        <v>79</v>
      </c>
      <c r="F67" s="44">
        <v>7.9</v>
      </c>
      <c r="G67" s="18">
        <v>1500.0</v>
      </c>
      <c r="H67" s="19">
        <f t="shared" si="1"/>
        <v>1029645</v>
      </c>
      <c r="I67" s="20">
        <f t="shared" ref="I67:I70" si="19">H67+P67</f>
        <v>1044225</v>
      </c>
      <c r="J67" s="21">
        <v>686.43</v>
      </c>
      <c r="K67" s="22">
        <f>IFERROR(__xludf.DUMMYFUNCTION("GOOGLEFINANCE(E67,""changepct"")"),-2.44)</f>
        <v>-2.44</v>
      </c>
      <c r="L67" s="23">
        <f>IFERROR(__xludf.DUMMYFUNCTION("googlefinance(E67,""price"")"),696.15)</f>
        <v>696.15</v>
      </c>
      <c r="M67" s="21"/>
      <c r="N67" s="24">
        <f t="shared" si="3"/>
        <v>9.72</v>
      </c>
      <c r="O67" s="25">
        <f t="shared" ref="O67:O70" si="20">L67/J67-1</f>
        <v>0.01416022027</v>
      </c>
      <c r="P67" s="19">
        <f t="shared" si="5"/>
        <v>14580</v>
      </c>
      <c r="Q67" s="47"/>
      <c r="R67" s="20"/>
      <c r="S67" s="37"/>
      <c r="T67" s="27"/>
      <c r="U67" s="29"/>
      <c r="V67" s="15"/>
      <c r="W67" s="36"/>
      <c r="X67" s="37"/>
      <c r="Y67" s="27"/>
      <c r="Z67" s="15" t="s">
        <v>79</v>
      </c>
      <c r="AA67" s="36">
        <v>45621.0</v>
      </c>
      <c r="AB67" s="37">
        <v>686.43</v>
      </c>
      <c r="AC67" s="27">
        <v>1029645.0</v>
      </c>
    </row>
    <row r="68">
      <c r="A68" s="38"/>
      <c r="B68" s="32"/>
      <c r="C68" s="14">
        <f>I68/E196</f>
        <v>0.01933436582</v>
      </c>
      <c r="D68" s="42" t="s">
        <v>80</v>
      </c>
      <c r="E68" s="42" t="s">
        <v>81</v>
      </c>
      <c r="F68" s="44">
        <v>7.9</v>
      </c>
      <c r="G68" s="18">
        <v>25000.0</v>
      </c>
      <c r="H68" s="19">
        <f t="shared" si="1"/>
        <v>623750</v>
      </c>
      <c r="I68" s="20">
        <f t="shared" si="19"/>
        <v>561500</v>
      </c>
      <c r="J68" s="21">
        <v>24.95</v>
      </c>
      <c r="K68" s="22">
        <f>IFERROR(__xludf.DUMMYFUNCTION("GOOGLEFINANCE(E68,""changepct"")"),0.04)</f>
        <v>0.04</v>
      </c>
      <c r="L68" s="23">
        <f>IFERROR(__xludf.DUMMYFUNCTION("googlefinance(E68,""price"")"),22.46)</f>
        <v>22.46</v>
      </c>
      <c r="M68" s="21"/>
      <c r="N68" s="24">
        <f t="shared" si="3"/>
        <v>-2.49</v>
      </c>
      <c r="O68" s="25">
        <f t="shared" si="20"/>
        <v>-0.0997995992</v>
      </c>
      <c r="P68" s="19">
        <f t="shared" si="5"/>
        <v>-62250</v>
      </c>
      <c r="Q68" s="47"/>
      <c r="R68" s="20"/>
      <c r="S68" s="37"/>
      <c r="T68" s="27"/>
      <c r="U68" s="29"/>
      <c r="V68" s="15"/>
      <c r="W68" s="36"/>
      <c r="X68" s="37"/>
      <c r="Y68" s="27"/>
      <c r="Z68" s="15" t="s">
        <v>81</v>
      </c>
      <c r="AA68" s="36">
        <v>45635.0</v>
      </c>
      <c r="AB68" s="37">
        <v>24.95</v>
      </c>
      <c r="AC68" s="27">
        <v>623750.0</v>
      </c>
    </row>
    <row r="69">
      <c r="A69" s="38"/>
      <c r="B69" s="32"/>
      <c r="C69" s="14">
        <f>I69/E196</f>
        <v>0.01160061949</v>
      </c>
      <c r="D69" s="42" t="s">
        <v>80</v>
      </c>
      <c r="E69" s="42" t="s">
        <v>81</v>
      </c>
      <c r="F69" s="44">
        <v>7.9</v>
      </c>
      <c r="G69" s="18">
        <v>15000.0</v>
      </c>
      <c r="H69" s="19">
        <f t="shared" si="1"/>
        <v>325800</v>
      </c>
      <c r="I69" s="20">
        <f t="shared" si="19"/>
        <v>336900</v>
      </c>
      <c r="J69" s="21">
        <v>21.72</v>
      </c>
      <c r="K69" s="22">
        <f>IFERROR(__xludf.DUMMYFUNCTION("GOOGLEFINANCE(E69,""changepct"")"),0.04)</f>
        <v>0.04</v>
      </c>
      <c r="L69" s="23">
        <f>IFERROR(__xludf.DUMMYFUNCTION("googlefinance(E69,""price"")"),22.46)</f>
        <v>22.46</v>
      </c>
      <c r="M69" s="21"/>
      <c r="N69" s="24">
        <f t="shared" si="3"/>
        <v>0.74</v>
      </c>
      <c r="O69" s="25">
        <f t="shared" si="20"/>
        <v>0.03406998158</v>
      </c>
      <c r="P69" s="19">
        <f t="shared" si="5"/>
        <v>11100</v>
      </c>
      <c r="Q69" s="47"/>
      <c r="R69" s="20"/>
      <c r="S69" s="37"/>
      <c r="T69" s="27"/>
      <c r="U69" s="29"/>
      <c r="V69" s="15"/>
      <c r="W69" s="36"/>
      <c r="X69" s="37"/>
      <c r="Y69" s="27"/>
      <c r="Z69" s="15" t="s">
        <v>81</v>
      </c>
      <c r="AA69" s="36">
        <v>45646.0</v>
      </c>
      <c r="AB69" s="37">
        <v>21.72</v>
      </c>
      <c r="AC69" s="27">
        <v>325800.0</v>
      </c>
    </row>
    <row r="70">
      <c r="A70" s="38"/>
      <c r="B70" s="32"/>
      <c r="C70" s="14">
        <f>I70/E196</f>
        <v>0.01987497053</v>
      </c>
      <c r="D70" s="42" t="s">
        <v>82</v>
      </c>
      <c r="E70" s="42" t="s">
        <v>83</v>
      </c>
      <c r="F70" s="44">
        <v>7.5</v>
      </c>
      <c r="G70" s="18">
        <v>8000.0</v>
      </c>
      <c r="H70" s="19">
        <f t="shared" si="1"/>
        <v>616000</v>
      </c>
      <c r="I70" s="20">
        <f t="shared" si="19"/>
        <v>577200</v>
      </c>
      <c r="J70" s="21">
        <v>77.0</v>
      </c>
      <c r="K70" s="22">
        <f>IFERROR(__xludf.DUMMYFUNCTION("GOOGLEFINANCE(E70,""changepct"")"),-1.7)</f>
        <v>-1.7</v>
      </c>
      <c r="L70" s="23">
        <f>IFERROR(__xludf.DUMMYFUNCTION("googlefinance(E70,""price"")"),72.15)</f>
        <v>72.15</v>
      </c>
      <c r="M70" s="21"/>
      <c r="N70" s="24">
        <f t="shared" si="3"/>
        <v>-4.85</v>
      </c>
      <c r="O70" s="25">
        <f t="shared" si="20"/>
        <v>-0.06298701299</v>
      </c>
      <c r="P70" s="19">
        <f t="shared" si="5"/>
        <v>-38800</v>
      </c>
      <c r="Q70" s="47"/>
      <c r="R70" s="20"/>
      <c r="S70" s="37"/>
      <c r="T70" s="27"/>
      <c r="U70" s="29"/>
      <c r="V70" s="15"/>
      <c r="W70" s="36"/>
      <c r="X70" s="37"/>
      <c r="Y70" s="27"/>
      <c r="Z70" s="15" t="s">
        <v>83</v>
      </c>
      <c r="AA70" s="36">
        <v>45635.0</v>
      </c>
      <c r="AB70" s="37">
        <v>77.0</v>
      </c>
      <c r="AC70" s="27">
        <v>616000.0</v>
      </c>
    </row>
    <row r="71">
      <c r="A71" s="38"/>
      <c r="B71" s="32"/>
      <c r="C71" s="14">
        <f>I71/E196</f>
        <v>0</v>
      </c>
      <c r="D71" s="42" t="s">
        <v>84</v>
      </c>
      <c r="E71" s="42" t="s">
        <v>85</v>
      </c>
      <c r="F71" s="44">
        <v>7.7</v>
      </c>
      <c r="G71" s="18">
        <v>500.0</v>
      </c>
      <c r="H71" s="19">
        <f t="shared" si="1"/>
        <v>290000</v>
      </c>
      <c r="I71" s="20">
        <v>0.0</v>
      </c>
      <c r="J71" s="21">
        <v>580.0</v>
      </c>
      <c r="K71" s="22">
        <f>IFERROR(__xludf.DUMMYFUNCTION("GOOGLEFINANCE(E71,""changepct"")"),-1.48)</f>
        <v>-1.48</v>
      </c>
      <c r="L71" s="23">
        <f>IFERROR(__xludf.DUMMYFUNCTION("googlefinance(E71,""price"")"),603.65)</f>
        <v>603.65</v>
      </c>
      <c r="M71" s="21">
        <v>572.4</v>
      </c>
      <c r="N71" s="24">
        <f t="shared" si="3"/>
        <v>23.65</v>
      </c>
      <c r="O71" s="25">
        <f t="shared" ref="O71:O73" si="21">M71/J71-1</f>
        <v>-0.01310344828</v>
      </c>
      <c r="P71" s="19">
        <f t="shared" si="5"/>
        <v>-3800</v>
      </c>
      <c r="Q71" s="47"/>
      <c r="R71" s="20"/>
      <c r="S71" s="37"/>
      <c r="T71" s="27"/>
      <c r="U71" s="29"/>
      <c r="V71" s="15" t="s">
        <v>85</v>
      </c>
      <c r="W71" s="36">
        <v>45631.0</v>
      </c>
      <c r="X71" s="37">
        <v>572.4</v>
      </c>
      <c r="Y71" s="27">
        <v>286200.0</v>
      </c>
      <c r="Z71" s="15" t="s">
        <v>85</v>
      </c>
      <c r="AA71" s="36">
        <v>45614.0</v>
      </c>
      <c r="AB71" s="37">
        <v>580.0</v>
      </c>
      <c r="AC71" s="27">
        <v>290000.0</v>
      </c>
    </row>
    <row r="72">
      <c r="A72" s="38"/>
      <c r="B72" s="32"/>
      <c r="C72" s="14">
        <f>I72/E196</f>
        <v>0</v>
      </c>
      <c r="D72" s="42" t="s">
        <v>86</v>
      </c>
      <c r="E72" s="42" t="s">
        <v>87</v>
      </c>
      <c r="F72" s="44">
        <v>8.0</v>
      </c>
      <c r="G72" s="18">
        <v>25000.0</v>
      </c>
      <c r="H72" s="19">
        <f t="shared" si="1"/>
        <v>270500</v>
      </c>
      <c r="I72" s="20">
        <v>0.0</v>
      </c>
      <c r="J72" s="21">
        <v>10.82</v>
      </c>
      <c r="K72" s="22">
        <f>IFERROR(__xludf.DUMMYFUNCTION("GOOGLEFINANCE(E72,""changepct"")"),-1.18)</f>
        <v>-1.18</v>
      </c>
      <c r="L72" s="23">
        <f>IFERROR(__xludf.DUMMYFUNCTION("googlefinance(E72,""price"")"),10.86)</f>
        <v>10.86</v>
      </c>
      <c r="M72" s="21">
        <v>12.6</v>
      </c>
      <c r="N72" s="24">
        <f t="shared" si="3"/>
        <v>0.04</v>
      </c>
      <c r="O72" s="25">
        <f t="shared" si="21"/>
        <v>0.1645101664</v>
      </c>
      <c r="P72" s="19">
        <f t="shared" si="5"/>
        <v>44500</v>
      </c>
      <c r="Q72" s="47"/>
      <c r="R72" s="20"/>
      <c r="S72" s="37"/>
      <c r="T72" s="27"/>
      <c r="U72" s="29"/>
      <c r="V72" s="15" t="s">
        <v>88</v>
      </c>
      <c r="W72" s="36">
        <v>45595.0</v>
      </c>
      <c r="X72" s="37">
        <v>12.6</v>
      </c>
      <c r="Y72" s="27">
        <v>315000.0</v>
      </c>
      <c r="Z72" s="15" t="s">
        <v>87</v>
      </c>
      <c r="AA72" s="36">
        <v>45581.0</v>
      </c>
      <c r="AB72" s="37">
        <v>10.82</v>
      </c>
      <c r="AC72" s="27">
        <v>270500.0</v>
      </c>
    </row>
    <row r="73">
      <c r="A73" s="38"/>
      <c r="B73" s="32"/>
      <c r="C73" s="14">
        <f>I73/E196</f>
        <v>0</v>
      </c>
      <c r="D73" s="42" t="s">
        <v>86</v>
      </c>
      <c r="E73" s="42" t="s">
        <v>87</v>
      </c>
      <c r="F73" s="44">
        <v>8.0</v>
      </c>
      <c r="G73" s="18">
        <v>25000.0</v>
      </c>
      <c r="H73" s="19">
        <f t="shared" si="1"/>
        <v>290500</v>
      </c>
      <c r="I73" s="20">
        <v>0.0</v>
      </c>
      <c r="J73" s="21">
        <v>11.62</v>
      </c>
      <c r="K73" s="22">
        <f>IFERROR(__xludf.DUMMYFUNCTION("GOOGLEFINANCE(E73,""changepct"")"),-1.18)</f>
        <v>-1.18</v>
      </c>
      <c r="L73" s="23">
        <f>IFERROR(__xludf.DUMMYFUNCTION("googlefinance(E73,""price"")"),10.86)</f>
        <v>10.86</v>
      </c>
      <c r="M73" s="21">
        <v>12.2</v>
      </c>
      <c r="N73" s="24">
        <f t="shared" si="3"/>
        <v>-0.76</v>
      </c>
      <c r="O73" s="25">
        <f t="shared" si="21"/>
        <v>0.04991394148</v>
      </c>
      <c r="P73" s="19">
        <f t="shared" si="5"/>
        <v>14500</v>
      </c>
      <c r="Q73" s="47"/>
      <c r="R73" s="20"/>
      <c r="S73" s="37"/>
      <c r="T73" s="27"/>
      <c r="U73" s="29"/>
      <c r="V73" s="15" t="s">
        <v>87</v>
      </c>
      <c r="W73" s="36">
        <v>45631.0</v>
      </c>
      <c r="X73" s="37">
        <v>12.2</v>
      </c>
      <c r="Y73" s="27">
        <v>305000.0</v>
      </c>
      <c r="Z73" s="15" t="s">
        <v>87</v>
      </c>
      <c r="AA73" s="36">
        <v>45602.0</v>
      </c>
      <c r="AB73" s="37">
        <v>11.62</v>
      </c>
      <c r="AC73" s="27">
        <v>290500.0</v>
      </c>
    </row>
    <row r="74">
      <c r="A74" s="38"/>
      <c r="B74" s="32"/>
      <c r="C74" s="14">
        <f>I74/E196</f>
        <v>0.01682761278</v>
      </c>
      <c r="D74" s="42" t="s">
        <v>86</v>
      </c>
      <c r="E74" s="42" t="s">
        <v>87</v>
      </c>
      <c r="F74" s="44">
        <v>8.0</v>
      </c>
      <c r="G74" s="18">
        <v>45000.0</v>
      </c>
      <c r="H74" s="19">
        <f t="shared" si="1"/>
        <v>508500</v>
      </c>
      <c r="I74" s="20">
        <f t="shared" ref="I74:I75" si="22">H74+P74</f>
        <v>488700</v>
      </c>
      <c r="J74" s="21">
        <v>11.3</v>
      </c>
      <c r="K74" s="22">
        <f>IFERROR(__xludf.DUMMYFUNCTION("GOOGLEFINANCE(E74,""changepct"")"),-1.18)</f>
        <v>-1.18</v>
      </c>
      <c r="L74" s="23">
        <f>IFERROR(__xludf.DUMMYFUNCTION("googlefinance(E74,""price"")"),10.86)</f>
        <v>10.86</v>
      </c>
      <c r="M74" s="21"/>
      <c r="N74" s="24">
        <f t="shared" si="3"/>
        <v>-0.44</v>
      </c>
      <c r="O74" s="25">
        <f t="shared" ref="O74:O75" si="23">L74/J74-1</f>
        <v>-0.0389380531</v>
      </c>
      <c r="P74" s="19">
        <f t="shared" si="5"/>
        <v>-19800</v>
      </c>
      <c r="Q74" s="47"/>
      <c r="R74" s="20"/>
      <c r="S74" s="37"/>
      <c r="T74" s="27"/>
      <c r="U74" s="29"/>
      <c r="V74" s="15"/>
      <c r="W74" s="36"/>
      <c r="X74" s="37"/>
      <c r="Y74" s="27"/>
      <c r="Z74" s="15" t="s">
        <v>87</v>
      </c>
      <c r="AA74" s="36">
        <v>45645.0</v>
      </c>
      <c r="AB74" s="37">
        <v>11.3</v>
      </c>
      <c r="AC74" s="27">
        <v>508500.0</v>
      </c>
    </row>
    <row r="75">
      <c r="A75" s="38"/>
      <c r="B75" s="32"/>
      <c r="C75" s="14">
        <f>I75/E196</f>
        <v>0.02056708229</v>
      </c>
      <c r="D75" s="42" t="s">
        <v>86</v>
      </c>
      <c r="E75" s="42" t="s">
        <v>87</v>
      </c>
      <c r="F75" s="44">
        <v>8.0</v>
      </c>
      <c r="G75" s="18">
        <v>55000.0</v>
      </c>
      <c r="H75" s="19">
        <f t="shared" si="1"/>
        <v>588500</v>
      </c>
      <c r="I75" s="20">
        <f t="shared" si="22"/>
        <v>597300</v>
      </c>
      <c r="J75" s="21">
        <v>10.7</v>
      </c>
      <c r="K75" s="22">
        <f>IFERROR(__xludf.DUMMYFUNCTION("GOOGLEFINANCE(E75,""changepct"")"),-1.18)</f>
        <v>-1.18</v>
      </c>
      <c r="L75" s="23">
        <f>IFERROR(__xludf.DUMMYFUNCTION("googlefinance(E75,""price"")"),10.86)</f>
        <v>10.86</v>
      </c>
      <c r="M75" s="21"/>
      <c r="N75" s="24">
        <f t="shared" si="3"/>
        <v>0.16</v>
      </c>
      <c r="O75" s="25">
        <f t="shared" si="23"/>
        <v>0.01495327103</v>
      </c>
      <c r="P75" s="19">
        <f t="shared" si="5"/>
        <v>8800</v>
      </c>
      <c r="Q75" s="47"/>
      <c r="R75" s="20"/>
      <c r="S75" s="37"/>
      <c r="T75" s="27"/>
      <c r="U75" s="29"/>
      <c r="V75" s="15"/>
      <c r="W75" s="36"/>
      <c r="X75" s="37"/>
      <c r="Y75" s="27"/>
      <c r="Z75" s="15"/>
      <c r="AA75" s="36"/>
      <c r="AB75" s="37"/>
      <c r="AC75" s="27"/>
    </row>
    <row r="76">
      <c r="A76" s="48"/>
      <c r="B76" s="6"/>
      <c r="C76" s="6" t="s">
        <v>89</v>
      </c>
      <c r="D76" s="6"/>
      <c r="E76" s="6"/>
      <c r="F76" s="6"/>
      <c r="G76" s="11"/>
      <c r="H76" s="49">
        <f t="shared" ref="H76:I76" si="24">SUM(H3:H75)</f>
        <v>30293975</v>
      </c>
      <c r="I76" s="50">
        <f t="shared" si="24"/>
        <v>15703675</v>
      </c>
      <c r="J76" s="8"/>
      <c r="K76" s="8"/>
      <c r="L76" s="8"/>
      <c r="M76" s="10"/>
      <c r="N76" s="10"/>
      <c r="O76" s="51">
        <f>(P76+T76+U76+R76)/I76</f>
        <v>0.1944965112</v>
      </c>
      <c r="P76" s="50">
        <f>SUM(P3:P75)</f>
        <v>2872010</v>
      </c>
      <c r="Q76" s="52"/>
      <c r="R76" s="49">
        <f>SUM(R3:R75)</f>
        <v>0</v>
      </c>
      <c r="S76" s="10"/>
      <c r="T76" s="11">
        <f t="shared" ref="T76:U76" si="25">SUM(T3:T75)</f>
        <v>182300</v>
      </c>
      <c r="U76" s="11">
        <f t="shared" si="25"/>
        <v>0</v>
      </c>
      <c r="V76" s="6" t="s">
        <v>89</v>
      </c>
      <c r="W76" s="53"/>
      <c r="X76" s="54"/>
      <c r="Y76" s="49">
        <f>SUM(Y3:Y75)</f>
        <v>17487650</v>
      </c>
      <c r="Z76" s="6" t="s">
        <v>89</v>
      </c>
      <c r="AA76" s="53"/>
      <c r="AB76" s="54"/>
      <c r="AC76" s="49">
        <f>SUM(AC3:AC75)</f>
        <v>14404965</v>
      </c>
    </row>
    <row r="77">
      <c r="A77" s="55"/>
      <c r="B77" s="5" t="s">
        <v>90</v>
      </c>
      <c r="C77" s="6" t="s">
        <v>2</v>
      </c>
      <c r="D77" s="6" t="s">
        <v>3</v>
      </c>
      <c r="E77" s="6" t="s">
        <v>4</v>
      </c>
      <c r="F77" s="6" t="s">
        <v>5</v>
      </c>
      <c r="G77" s="6" t="s">
        <v>6</v>
      </c>
      <c r="H77" s="6" t="s">
        <v>7</v>
      </c>
      <c r="I77" s="7" t="s">
        <v>8</v>
      </c>
      <c r="J77" s="7" t="s">
        <v>9</v>
      </c>
      <c r="K77" s="8" t="s">
        <v>10</v>
      </c>
      <c r="L77" s="8" t="s">
        <v>11</v>
      </c>
      <c r="M77" s="9" t="s">
        <v>12</v>
      </c>
      <c r="N77" s="10" t="s">
        <v>13</v>
      </c>
      <c r="O77" s="6" t="s">
        <v>14</v>
      </c>
      <c r="P77" s="10" t="s">
        <v>15</v>
      </c>
      <c r="Q77" s="6" t="s">
        <v>16</v>
      </c>
      <c r="R77" s="6" t="s">
        <v>17</v>
      </c>
      <c r="S77" s="9" t="s">
        <v>18</v>
      </c>
      <c r="T77" s="5" t="s">
        <v>19</v>
      </c>
      <c r="U77" s="5" t="s">
        <v>91</v>
      </c>
      <c r="V77" s="6" t="s">
        <v>21</v>
      </c>
      <c r="W77" s="6" t="s">
        <v>22</v>
      </c>
      <c r="X77" s="12" t="s">
        <v>23</v>
      </c>
      <c r="Y77" s="12" t="s">
        <v>24</v>
      </c>
      <c r="Z77" s="6" t="s">
        <v>25</v>
      </c>
      <c r="AA77" s="6" t="s">
        <v>26</v>
      </c>
      <c r="AB77" s="6" t="s">
        <v>27</v>
      </c>
      <c r="AC77" s="6" t="s">
        <v>28</v>
      </c>
    </row>
    <row r="78">
      <c r="A78" s="56" t="s">
        <v>29</v>
      </c>
      <c r="B78" s="57">
        <f>I90/E196</f>
        <v>0.06274767852</v>
      </c>
      <c r="C78" s="58">
        <f>I78/E196</f>
        <v>0</v>
      </c>
      <c r="D78" s="59" t="s">
        <v>92</v>
      </c>
      <c r="E78" s="59" t="s">
        <v>93</v>
      </c>
      <c r="F78" s="17">
        <v>7.8</v>
      </c>
      <c r="G78" s="60">
        <v>10000.0</v>
      </c>
      <c r="H78" s="19">
        <f t="shared" ref="H78:H89" si="26">J78*G78</f>
        <v>391200</v>
      </c>
      <c r="I78" s="20">
        <v>0.0</v>
      </c>
      <c r="J78" s="61">
        <v>39.12</v>
      </c>
      <c r="K78" s="22">
        <f>IFERROR(__xludf.DUMMYFUNCTION("GOOGLEFINANCE(E78,""changepct"")"),2.47)</f>
        <v>2.47</v>
      </c>
      <c r="L78" s="24">
        <f>IFERROR(__xludf.DUMMYFUNCTION("googlefinance(E78,""price"")"),31.97)</f>
        <v>31.97</v>
      </c>
      <c r="M78" s="61">
        <v>39.55</v>
      </c>
      <c r="N78" s="24">
        <f t="shared" ref="N78:N89" si="27">L78-J78</f>
        <v>-7.15</v>
      </c>
      <c r="O78" s="25">
        <f t="shared" ref="O78:O79" si="28">M78/J78-1</f>
        <v>0.01099182004</v>
      </c>
      <c r="P78" s="19">
        <f t="shared" ref="P78:P89" si="29">H78*O78</f>
        <v>4300</v>
      </c>
      <c r="Q78" s="62">
        <v>0.052</v>
      </c>
      <c r="R78" s="29"/>
      <c r="S78" s="24"/>
      <c r="T78" s="29"/>
      <c r="U78" s="16"/>
      <c r="V78" s="15" t="s">
        <v>93</v>
      </c>
      <c r="W78" s="41">
        <v>45611.0</v>
      </c>
      <c r="X78" s="21">
        <v>39.55</v>
      </c>
      <c r="Y78" s="20">
        <v>395500.0</v>
      </c>
      <c r="Z78" s="16"/>
      <c r="AA78" s="32"/>
      <c r="AB78" s="31"/>
      <c r="AC78" s="29"/>
    </row>
    <row r="79">
      <c r="A79" s="63"/>
      <c r="B79" s="45"/>
      <c r="C79" s="58">
        <f>I79/E196</f>
        <v>0</v>
      </c>
      <c r="D79" s="59" t="s">
        <v>92</v>
      </c>
      <c r="E79" s="59" t="s">
        <v>93</v>
      </c>
      <c r="F79" s="17">
        <v>7.8</v>
      </c>
      <c r="G79" s="60">
        <v>5000.0</v>
      </c>
      <c r="H79" s="19">
        <f t="shared" si="26"/>
        <v>192500</v>
      </c>
      <c r="I79" s="20">
        <v>0.0</v>
      </c>
      <c r="J79" s="61">
        <v>38.5</v>
      </c>
      <c r="K79" s="22">
        <f>IFERROR(__xludf.DUMMYFUNCTION("GOOGLEFINANCE(E79,""changepct"")"),2.47)</f>
        <v>2.47</v>
      </c>
      <c r="L79" s="24">
        <f>IFERROR(__xludf.DUMMYFUNCTION("googlefinance(E79,""price"")"),31.97)</f>
        <v>31.97</v>
      </c>
      <c r="M79" s="61">
        <v>38.72</v>
      </c>
      <c r="N79" s="24">
        <f t="shared" si="27"/>
        <v>-6.53</v>
      </c>
      <c r="O79" s="25">
        <f t="shared" si="28"/>
        <v>0.005714285714</v>
      </c>
      <c r="P79" s="19">
        <f t="shared" si="29"/>
        <v>1100</v>
      </c>
      <c r="Q79" s="62">
        <v>0.052</v>
      </c>
      <c r="R79" s="64"/>
      <c r="S79" s="65"/>
      <c r="T79" s="66"/>
      <c r="U79" s="45"/>
      <c r="V79" s="42" t="s">
        <v>93</v>
      </c>
      <c r="W79" s="67">
        <v>45604.0</v>
      </c>
      <c r="X79" s="39">
        <v>38.72</v>
      </c>
      <c r="Y79" s="68">
        <v>193600.0</v>
      </c>
      <c r="Z79" s="42" t="s">
        <v>93</v>
      </c>
      <c r="AA79" s="67">
        <v>45593.0</v>
      </c>
      <c r="AB79" s="39">
        <v>38.5</v>
      </c>
      <c r="AC79" s="68">
        <v>192500.0</v>
      </c>
    </row>
    <row r="80">
      <c r="A80" s="63"/>
      <c r="B80" s="45"/>
      <c r="C80" s="58">
        <f>I80/E196</f>
        <v>0.01100836465</v>
      </c>
      <c r="D80" s="59" t="s">
        <v>92</v>
      </c>
      <c r="E80" s="59" t="s">
        <v>93</v>
      </c>
      <c r="F80" s="17">
        <v>7.8</v>
      </c>
      <c r="G80" s="60">
        <v>10000.0</v>
      </c>
      <c r="H80" s="19">
        <f t="shared" si="26"/>
        <v>352700</v>
      </c>
      <c r="I80" s="20">
        <f t="shared" ref="I80:I83" si="30">H80+P80</f>
        <v>319700</v>
      </c>
      <c r="J80" s="61">
        <v>35.27</v>
      </c>
      <c r="K80" s="22">
        <f>IFERROR(__xludf.DUMMYFUNCTION("GOOGLEFINANCE(E80,""changepct"")"),2.47)</f>
        <v>2.47</v>
      </c>
      <c r="L80" s="24">
        <f>IFERROR(__xludf.DUMMYFUNCTION("googlefinance(E80,""price"")"),31.97)</f>
        <v>31.97</v>
      </c>
      <c r="M80" s="61"/>
      <c r="N80" s="24">
        <f t="shared" si="27"/>
        <v>-3.3</v>
      </c>
      <c r="O80" s="25">
        <f t="shared" ref="O80:O83" si="31">L80/J80-1</f>
        <v>-0.09356393536</v>
      </c>
      <c r="P80" s="19">
        <f t="shared" si="29"/>
        <v>-33000</v>
      </c>
      <c r="Q80" s="62">
        <v>0.052</v>
      </c>
      <c r="R80" s="64"/>
      <c r="S80" s="65"/>
      <c r="T80" s="66"/>
      <c r="U80" s="45"/>
      <c r="V80" s="42"/>
      <c r="W80" s="67"/>
      <c r="X80" s="39"/>
      <c r="Y80" s="68"/>
      <c r="Z80" s="42" t="s">
        <v>93</v>
      </c>
      <c r="AA80" s="67">
        <v>45635.0</v>
      </c>
      <c r="AB80" s="39">
        <v>35.27</v>
      </c>
      <c r="AC80" s="68">
        <v>352700.0</v>
      </c>
    </row>
    <row r="81">
      <c r="A81" s="63"/>
      <c r="B81" s="45"/>
      <c r="C81" s="58">
        <f>I81/E196</f>
        <v>0.01100836465</v>
      </c>
      <c r="D81" s="59" t="s">
        <v>92</v>
      </c>
      <c r="E81" s="59" t="s">
        <v>93</v>
      </c>
      <c r="F81" s="17">
        <v>7.8</v>
      </c>
      <c r="G81" s="60">
        <v>10000.0</v>
      </c>
      <c r="H81" s="19">
        <f t="shared" si="26"/>
        <v>308800</v>
      </c>
      <c r="I81" s="20">
        <f t="shared" si="30"/>
        <v>319700</v>
      </c>
      <c r="J81" s="61">
        <v>30.88</v>
      </c>
      <c r="K81" s="22">
        <f>IFERROR(__xludf.DUMMYFUNCTION("GOOGLEFINANCE(E81,""changepct"")"),2.47)</f>
        <v>2.47</v>
      </c>
      <c r="L81" s="24">
        <f>IFERROR(__xludf.DUMMYFUNCTION("googlefinance(E81,""price"")"),31.97)</f>
        <v>31.97</v>
      </c>
      <c r="M81" s="61"/>
      <c r="N81" s="24">
        <f t="shared" si="27"/>
        <v>1.09</v>
      </c>
      <c r="O81" s="25">
        <f t="shared" si="31"/>
        <v>0.03529792746</v>
      </c>
      <c r="P81" s="19">
        <f t="shared" si="29"/>
        <v>10900</v>
      </c>
      <c r="Q81" s="62">
        <v>0.052</v>
      </c>
      <c r="R81" s="64"/>
      <c r="S81" s="65"/>
      <c r="T81" s="66"/>
      <c r="U81" s="45"/>
      <c r="V81" s="42"/>
      <c r="W81" s="67"/>
      <c r="X81" s="39"/>
      <c r="Y81" s="68"/>
      <c r="Z81" s="42" t="s">
        <v>93</v>
      </c>
      <c r="AA81" s="67">
        <v>45649.0</v>
      </c>
      <c r="AB81" s="39">
        <v>30.88</v>
      </c>
      <c r="AC81" s="68">
        <v>308800.0</v>
      </c>
    </row>
    <row r="82">
      <c r="A82" s="63"/>
      <c r="B82" s="45"/>
      <c r="C82" s="58">
        <f>I82/E196</f>
        <v>0.007811565859</v>
      </c>
      <c r="D82" s="59" t="s">
        <v>94</v>
      </c>
      <c r="E82" s="59" t="s">
        <v>95</v>
      </c>
      <c r="F82" s="17">
        <v>7.7</v>
      </c>
      <c r="G82" s="60">
        <v>6000.0</v>
      </c>
      <c r="H82" s="19">
        <f t="shared" si="26"/>
        <v>251700</v>
      </c>
      <c r="I82" s="20">
        <f t="shared" si="30"/>
        <v>226860</v>
      </c>
      <c r="J82" s="61">
        <v>41.95</v>
      </c>
      <c r="K82" s="22">
        <f>IFERROR(__xludf.DUMMYFUNCTION("GOOGLEFINANCE(E82,""changepct"")"),0.03)</f>
        <v>0.03</v>
      </c>
      <c r="L82" s="24">
        <f>IFERROR(__xludf.DUMMYFUNCTION("googlefinance(E82,""price"")"),37.81)</f>
        <v>37.81</v>
      </c>
      <c r="M82" s="61"/>
      <c r="N82" s="24">
        <f t="shared" si="27"/>
        <v>-4.14</v>
      </c>
      <c r="O82" s="25">
        <f t="shared" si="31"/>
        <v>-0.09868891538</v>
      </c>
      <c r="P82" s="19">
        <f t="shared" si="29"/>
        <v>-24840</v>
      </c>
      <c r="Q82" s="62">
        <v>0.026</v>
      </c>
      <c r="R82" s="64"/>
      <c r="S82" s="65"/>
      <c r="T82" s="66"/>
      <c r="U82" s="45"/>
      <c r="V82" s="42"/>
      <c r="W82" s="67"/>
      <c r="X82" s="39"/>
      <c r="Y82" s="68"/>
      <c r="Z82" s="42"/>
      <c r="AA82" s="67"/>
      <c r="AB82" s="39"/>
      <c r="AC82" s="68"/>
    </row>
    <row r="83">
      <c r="A83" s="63"/>
      <c r="B83" s="45"/>
      <c r="C83" s="58">
        <f>I83/E196</f>
        <v>0.01041542115</v>
      </c>
      <c r="D83" s="59" t="s">
        <v>94</v>
      </c>
      <c r="E83" s="59" t="s">
        <v>95</v>
      </c>
      <c r="F83" s="17">
        <v>7.7</v>
      </c>
      <c r="G83" s="60">
        <v>8000.0</v>
      </c>
      <c r="H83" s="19">
        <f t="shared" si="26"/>
        <v>295600</v>
      </c>
      <c r="I83" s="20">
        <f t="shared" si="30"/>
        <v>302480</v>
      </c>
      <c r="J83" s="61">
        <v>36.95</v>
      </c>
      <c r="K83" s="22">
        <f>IFERROR(__xludf.DUMMYFUNCTION("GOOGLEFINANCE(E83,""changepct"")"),0.03)</f>
        <v>0.03</v>
      </c>
      <c r="L83" s="24">
        <f>IFERROR(__xludf.DUMMYFUNCTION("googlefinance(E83,""price"")"),37.81)</f>
        <v>37.81</v>
      </c>
      <c r="M83" s="61"/>
      <c r="N83" s="24">
        <f t="shared" si="27"/>
        <v>0.86</v>
      </c>
      <c r="O83" s="25">
        <f t="shared" si="31"/>
        <v>0.02327469553</v>
      </c>
      <c r="P83" s="19">
        <f t="shared" si="29"/>
        <v>6880</v>
      </c>
      <c r="Q83" s="62">
        <v>0.026</v>
      </c>
      <c r="R83" s="64"/>
      <c r="S83" s="65"/>
      <c r="T83" s="66"/>
      <c r="U83" s="45"/>
      <c r="V83" s="42"/>
      <c r="W83" s="67"/>
      <c r="X83" s="39"/>
      <c r="Y83" s="68"/>
      <c r="Z83" s="42" t="s">
        <v>95</v>
      </c>
      <c r="AA83" s="67">
        <v>45649.0</v>
      </c>
      <c r="AB83" s="39">
        <v>36.95</v>
      </c>
      <c r="AC83" s="68">
        <v>295600.0</v>
      </c>
    </row>
    <row r="84">
      <c r="A84" s="63"/>
      <c r="B84" s="45"/>
      <c r="C84" s="58">
        <f>I84/E196</f>
        <v>0</v>
      </c>
      <c r="D84" s="59" t="s">
        <v>94</v>
      </c>
      <c r="E84" s="59" t="s">
        <v>95</v>
      </c>
      <c r="F84" s="17">
        <v>7.7</v>
      </c>
      <c r="G84" s="60">
        <v>6000.0</v>
      </c>
      <c r="H84" s="19">
        <f t="shared" si="26"/>
        <v>251700</v>
      </c>
      <c r="I84" s="20">
        <v>0.0</v>
      </c>
      <c r="J84" s="61">
        <v>41.95</v>
      </c>
      <c r="K84" s="22">
        <f>IFERROR(__xludf.DUMMYFUNCTION("GOOGLEFINANCE(E84,""changepct"")"),0.03)</f>
        <v>0.03</v>
      </c>
      <c r="L84" s="24">
        <f>IFERROR(__xludf.DUMMYFUNCTION("googlefinance(E84,""price"")"),37.81)</f>
        <v>37.81</v>
      </c>
      <c r="M84" s="61">
        <v>43.6</v>
      </c>
      <c r="N84" s="24">
        <f t="shared" si="27"/>
        <v>-4.14</v>
      </c>
      <c r="O84" s="25">
        <f t="shared" ref="O84:O87" si="32">M84/J84-1</f>
        <v>0.03933253874</v>
      </c>
      <c r="P84" s="19">
        <f t="shared" si="29"/>
        <v>9900</v>
      </c>
      <c r="Q84" s="62">
        <v>0.026</v>
      </c>
      <c r="R84" s="64"/>
      <c r="S84" s="65"/>
      <c r="T84" s="66"/>
      <c r="U84" s="45"/>
      <c r="V84" s="42" t="s">
        <v>95</v>
      </c>
      <c r="W84" s="67">
        <v>45622.0</v>
      </c>
      <c r="X84" s="39">
        <v>43.6</v>
      </c>
      <c r="Y84" s="68">
        <v>261600.0</v>
      </c>
      <c r="Z84" s="42"/>
      <c r="AA84" s="67"/>
      <c r="AB84" s="39"/>
      <c r="AC84" s="68"/>
    </row>
    <row r="85">
      <c r="A85" s="63"/>
      <c r="B85" s="45"/>
      <c r="C85" s="58">
        <f>I85/E196</f>
        <v>0</v>
      </c>
      <c r="D85" s="59" t="s">
        <v>96</v>
      </c>
      <c r="E85" s="59" t="s">
        <v>97</v>
      </c>
      <c r="F85" s="17">
        <v>7.6</v>
      </c>
      <c r="G85" s="60">
        <v>10000.0</v>
      </c>
      <c r="H85" s="19">
        <f t="shared" si="26"/>
        <v>244600</v>
      </c>
      <c r="I85" s="20">
        <v>0.0</v>
      </c>
      <c r="J85" s="61">
        <v>24.46</v>
      </c>
      <c r="K85" s="22">
        <f>IFERROR(__xludf.DUMMYFUNCTION("GOOGLEFINANCE(E85,""changepct"")"),1.49)</f>
        <v>1.49</v>
      </c>
      <c r="L85" s="24">
        <f>IFERROR(__xludf.DUMMYFUNCTION("googlefinance(E85,""price"")"),22.42)</f>
        <v>22.42</v>
      </c>
      <c r="M85" s="61">
        <v>23.12</v>
      </c>
      <c r="N85" s="24">
        <f t="shared" si="27"/>
        <v>-2.04</v>
      </c>
      <c r="O85" s="25">
        <f t="shared" si="32"/>
        <v>-0.05478331971</v>
      </c>
      <c r="P85" s="19">
        <f t="shared" si="29"/>
        <v>-13400</v>
      </c>
      <c r="Q85" s="62">
        <v>0.04</v>
      </c>
      <c r="R85" s="64"/>
      <c r="S85" s="65"/>
      <c r="T85" s="66"/>
      <c r="U85" s="45"/>
      <c r="V85" s="42" t="s">
        <v>97</v>
      </c>
      <c r="W85" s="67">
        <v>45611.0</v>
      </c>
      <c r="X85" s="39">
        <v>23.12</v>
      </c>
      <c r="Y85" s="68">
        <v>231200.0</v>
      </c>
      <c r="Z85" s="42"/>
      <c r="AA85" s="67"/>
      <c r="AB85" s="39"/>
      <c r="AC85" s="68"/>
    </row>
    <row r="86">
      <c r="A86" s="63"/>
      <c r="B86" s="45"/>
      <c r="C86" s="58">
        <f>I86/E196</f>
        <v>0</v>
      </c>
      <c r="D86" s="59" t="s">
        <v>96</v>
      </c>
      <c r="E86" s="59" t="s">
        <v>97</v>
      </c>
      <c r="F86" s="17">
        <v>7.6</v>
      </c>
      <c r="G86" s="60">
        <v>10000.0</v>
      </c>
      <c r="H86" s="19">
        <f t="shared" si="26"/>
        <v>244600</v>
      </c>
      <c r="I86" s="20">
        <v>0.0</v>
      </c>
      <c r="J86" s="61">
        <v>24.46</v>
      </c>
      <c r="K86" s="22">
        <f>IFERROR(__xludf.DUMMYFUNCTION("GOOGLEFINANCE(E86,""changepct"")"),1.49)</f>
        <v>1.49</v>
      </c>
      <c r="L86" s="24">
        <f>IFERROR(__xludf.DUMMYFUNCTION("googlefinance(E86,""price"")"),22.42)</f>
        <v>22.42</v>
      </c>
      <c r="M86" s="61">
        <v>22.1</v>
      </c>
      <c r="N86" s="24">
        <f t="shared" si="27"/>
        <v>-2.04</v>
      </c>
      <c r="O86" s="25">
        <f t="shared" si="32"/>
        <v>-0.0964840556</v>
      </c>
      <c r="P86" s="19">
        <f t="shared" si="29"/>
        <v>-23600</v>
      </c>
      <c r="Q86" s="62">
        <v>0.04</v>
      </c>
      <c r="R86" s="68"/>
      <c r="S86" s="65"/>
      <c r="T86" s="66"/>
      <c r="U86" s="45"/>
      <c r="V86" s="42" t="s">
        <v>97</v>
      </c>
      <c r="W86" s="67">
        <v>45604.0</v>
      </c>
      <c r="X86" s="39">
        <v>22.1</v>
      </c>
      <c r="Y86" s="68">
        <v>221000.0</v>
      </c>
      <c r="Z86" s="42"/>
      <c r="AA86" s="67"/>
      <c r="AB86" s="39"/>
      <c r="AC86" s="68"/>
    </row>
    <row r="87">
      <c r="A87" s="63"/>
      <c r="B87" s="45"/>
      <c r="C87" s="58">
        <f>I87/E196</f>
        <v>0</v>
      </c>
      <c r="D87" s="59" t="s">
        <v>98</v>
      </c>
      <c r="E87" s="59" t="s">
        <v>99</v>
      </c>
      <c r="F87" s="17">
        <v>7.8</v>
      </c>
      <c r="G87" s="60">
        <v>1000.0</v>
      </c>
      <c r="H87" s="19">
        <f t="shared" si="26"/>
        <v>136800</v>
      </c>
      <c r="I87" s="20">
        <v>0.0</v>
      </c>
      <c r="J87" s="61">
        <v>136.8</v>
      </c>
      <c r="K87" s="22">
        <f>IFERROR(__xludf.DUMMYFUNCTION("GOOGLEFINANCE(E87,""changepct"")"),0.1)</f>
        <v>0.1</v>
      </c>
      <c r="L87" s="24">
        <f>IFERROR(__xludf.DUMMYFUNCTION("googlefinance(E87,""price"")"),130.71)</f>
        <v>130.71</v>
      </c>
      <c r="M87" s="61">
        <v>146.84</v>
      </c>
      <c r="N87" s="24">
        <f t="shared" si="27"/>
        <v>-6.09</v>
      </c>
      <c r="O87" s="25">
        <f t="shared" si="32"/>
        <v>0.07339181287</v>
      </c>
      <c r="P87" s="19">
        <f t="shared" si="29"/>
        <v>10040</v>
      </c>
      <c r="Q87" s="62">
        <v>0.015</v>
      </c>
      <c r="R87" s="68"/>
      <c r="S87" s="65"/>
      <c r="T87" s="66"/>
      <c r="U87" s="45"/>
      <c r="V87" s="42" t="s">
        <v>99</v>
      </c>
      <c r="W87" s="67">
        <v>45622.0</v>
      </c>
      <c r="X87" s="39">
        <v>146.84</v>
      </c>
      <c r="Y87" s="68">
        <v>146840.0</v>
      </c>
      <c r="Z87" s="42" t="s">
        <v>99</v>
      </c>
      <c r="AA87" s="67">
        <v>45593.0</v>
      </c>
      <c r="AB87" s="39">
        <v>136.8</v>
      </c>
      <c r="AC87" s="68">
        <v>136800.0</v>
      </c>
    </row>
    <row r="88">
      <c r="A88" s="63"/>
      <c r="B88" s="45"/>
      <c r="C88" s="58">
        <f>I88/E196</f>
        <v>0.01350237733</v>
      </c>
      <c r="D88" s="59" t="s">
        <v>98</v>
      </c>
      <c r="E88" s="59" t="s">
        <v>99</v>
      </c>
      <c r="F88" s="17">
        <v>7.8</v>
      </c>
      <c r="G88" s="60">
        <v>3000.0</v>
      </c>
      <c r="H88" s="19">
        <f t="shared" si="26"/>
        <v>386250</v>
      </c>
      <c r="I88" s="20">
        <f t="shared" ref="I88:I89" si="33">H88+P88</f>
        <v>392130</v>
      </c>
      <c r="J88" s="61">
        <v>128.75</v>
      </c>
      <c r="K88" s="22">
        <f>IFERROR(__xludf.DUMMYFUNCTION("GOOGLEFINANCE(E88,""changepct"")"),0.1)</f>
        <v>0.1</v>
      </c>
      <c r="L88" s="24">
        <f>IFERROR(__xludf.DUMMYFUNCTION("googlefinance(E88,""price"")"),130.71)</f>
        <v>130.71</v>
      </c>
      <c r="M88" s="61"/>
      <c r="N88" s="24">
        <f t="shared" si="27"/>
        <v>1.96</v>
      </c>
      <c r="O88" s="25">
        <f t="shared" ref="O88:O89" si="34">L88/J88-1</f>
        <v>0.01522330097</v>
      </c>
      <c r="P88" s="19">
        <f t="shared" si="29"/>
        <v>5880</v>
      </c>
      <c r="Q88" s="62">
        <v>0.015</v>
      </c>
      <c r="R88" s="68"/>
      <c r="S88" s="65"/>
      <c r="T88" s="66"/>
      <c r="U88" s="45"/>
      <c r="V88" s="42"/>
      <c r="W88" s="67"/>
      <c r="X88" s="39"/>
      <c r="Y88" s="68"/>
      <c r="Z88" s="42" t="s">
        <v>99</v>
      </c>
      <c r="AA88" s="67">
        <v>45649.0</v>
      </c>
      <c r="AB88" s="39">
        <v>128.75</v>
      </c>
      <c r="AC88" s="68">
        <v>386250.0</v>
      </c>
    </row>
    <row r="89">
      <c r="A89" s="63"/>
      <c r="B89" s="45"/>
      <c r="C89" s="58">
        <f>I89/E196</f>
        <v>0.009001584884</v>
      </c>
      <c r="D89" s="59" t="s">
        <v>98</v>
      </c>
      <c r="E89" s="59" t="s">
        <v>99</v>
      </c>
      <c r="F89" s="17">
        <v>7.8</v>
      </c>
      <c r="G89" s="60">
        <v>2000.0</v>
      </c>
      <c r="H89" s="19">
        <f t="shared" si="26"/>
        <v>271600</v>
      </c>
      <c r="I89" s="20">
        <f t="shared" si="33"/>
        <v>261420</v>
      </c>
      <c r="J89" s="61">
        <v>135.8</v>
      </c>
      <c r="K89" s="22">
        <f>IFERROR(__xludf.DUMMYFUNCTION("GOOGLEFINANCE(E89,""changepct"")"),0.1)</f>
        <v>0.1</v>
      </c>
      <c r="L89" s="24">
        <f>IFERROR(__xludf.DUMMYFUNCTION("googlefinance(E89,""price"")"),130.71)</f>
        <v>130.71</v>
      </c>
      <c r="M89" s="61"/>
      <c r="N89" s="24">
        <f t="shared" si="27"/>
        <v>-5.09</v>
      </c>
      <c r="O89" s="25">
        <f t="shared" si="34"/>
        <v>-0.03748159057</v>
      </c>
      <c r="P89" s="19">
        <f t="shared" si="29"/>
        <v>-10180</v>
      </c>
      <c r="Q89" s="62">
        <v>0.015</v>
      </c>
      <c r="R89" s="68"/>
      <c r="S89" s="65"/>
      <c r="T89" s="66"/>
      <c r="U89" s="45"/>
      <c r="V89" s="42"/>
      <c r="W89" s="67"/>
      <c r="X89" s="39"/>
      <c r="Y89" s="68"/>
      <c r="Z89" s="42"/>
      <c r="AA89" s="67"/>
      <c r="AB89" s="39"/>
      <c r="AC89" s="68"/>
    </row>
    <row r="90">
      <c r="A90" s="48"/>
      <c r="B90" s="6"/>
      <c r="C90" s="6" t="s">
        <v>89</v>
      </c>
      <c r="D90" s="6"/>
      <c r="E90" s="6"/>
      <c r="F90" s="6"/>
      <c r="G90" s="69"/>
      <c r="H90" s="49">
        <f t="shared" ref="H90:I90" si="35">SUM(H78:H89)</f>
        <v>3328050</v>
      </c>
      <c r="I90" s="50">
        <f t="shared" si="35"/>
        <v>1822290</v>
      </c>
      <c r="J90" s="8"/>
      <c r="K90" s="8"/>
      <c r="L90" s="8"/>
      <c r="M90" s="10"/>
      <c r="N90" s="10"/>
      <c r="O90" s="51">
        <f>P90/H90</f>
        <v>-0.0168326798</v>
      </c>
      <c r="P90" s="50">
        <f>SUM(P78:P89)</f>
        <v>-56020</v>
      </c>
      <c r="Q90" s="6"/>
      <c r="R90" s="49">
        <f>SUM(R78:R89)</f>
        <v>0</v>
      </c>
      <c r="S90" s="10"/>
      <c r="T90" s="11">
        <f>SUM(T78:T89)</f>
        <v>0</v>
      </c>
      <c r="U90" s="6"/>
      <c r="V90" s="6" t="s">
        <v>89</v>
      </c>
      <c r="W90" s="53"/>
      <c r="X90" s="54"/>
      <c r="Y90" s="49">
        <f>SUM(Y78:Y89)</f>
        <v>1449740</v>
      </c>
      <c r="Z90" s="6" t="s">
        <v>89</v>
      </c>
      <c r="AA90" s="53"/>
      <c r="AB90" s="54"/>
      <c r="AC90" s="49">
        <f>SUM(AC78:AC89)</f>
        <v>1672650</v>
      </c>
    </row>
    <row r="91">
      <c r="A91" s="55"/>
      <c r="B91" s="5" t="s">
        <v>100</v>
      </c>
      <c r="C91" s="6" t="s">
        <v>2</v>
      </c>
      <c r="D91" s="6" t="s">
        <v>3</v>
      </c>
      <c r="E91" s="6" t="s">
        <v>4</v>
      </c>
      <c r="F91" s="6" t="s">
        <v>5</v>
      </c>
      <c r="G91" s="6" t="s">
        <v>6</v>
      </c>
      <c r="H91" s="6" t="s">
        <v>7</v>
      </c>
      <c r="I91" s="7" t="s">
        <v>8</v>
      </c>
      <c r="J91" s="7" t="s">
        <v>9</v>
      </c>
      <c r="K91" s="8" t="s">
        <v>10</v>
      </c>
      <c r="L91" s="8" t="s">
        <v>11</v>
      </c>
      <c r="M91" s="9" t="s">
        <v>12</v>
      </c>
      <c r="N91" s="10" t="s">
        <v>13</v>
      </c>
      <c r="O91" s="6" t="s">
        <v>14</v>
      </c>
      <c r="P91" s="10" t="s">
        <v>15</v>
      </c>
      <c r="Q91" s="6" t="s">
        <v>16</v>
      </c>
      <c r="R91" s="6" t="s">
        <v>17</v>
      </c>
      <c r="S91" s="9" t="s">
        <v>18</v>
      </c>
      <c r="T91" s="5" t="s">
        <v>19</v>
      </c>
      <c r="U91" s="5" t="s">
        <v>91</v>
      </c>
      <c r="V91" s="6" t="s">
        <v>21</v>
      </c>
      <c r="W91" s="6" t="s">
        <v>22</v>
      </c>
      <c r="X91" s="12" t="s">
        <v>23</v>
      </c>
      <c r="Y91" s="12" t="s">
        <v>24</v>
      </c>
      <c r="Z91" s="6" t="s">
        <v>25</v>
      </c>
      <c r="AA91" s="6" t="s">
        <v>26</v>
      </c>
      <c r="AB91" s="6" t="s">
        <v>27</v>
      </c>
      <c r="AC91" s="6" t="s">
        <v>28</v>
      </c>
    </row>
    <row r="92">
      <c r="A92" s="56" t="s">
        <v>29</v>
      </c>
      <c r="B92" s="57">
        <f>I98/E196</f>
        <v>0.0631280473</v>
      </c>
      <c r="C92" s="14">
        <f>I92/E196</f>
        <v>0.00846740201</v>
      </c>
      <c r="D92" s="42" t="s">
        <v>101</v>
      </c>
      <c r="E92" s="42" t="s">
        <v>102</v>
      </c>
      <c r="F92" s="44">
        <v>7.7</v>
      </c>
      <c r="G92" s="18">
        <v>350.0</v>
      </c>
      <c r="H92" s="19">
        <f t="shared" ref="H92:H97" si="36">G92*J92</f>
        <v>266350</v>
      </c>
      <c r="I92" s="20">
        <f t="shared" ref="I92:I97" si="37">H92+P92</f>
        <v>245906.5</v>
      </c>
      <c r="J92" s="21">
        <v>761.0</v>
      </c>
      <c r="K92" s="22">
        <f>IFERROR(__xludf.DUMMYFUNCTION("GOOGLEFINANCE(E92,""changepct"")"),-1.38)</f>
        <v>-1.38</v>
      </c>
      <c r="L92" s="23">
        <f>IFERROR(__xludf.DUMMYFUNCTION("googlefinance(E92,""price"")"),702.59)</f>
        <v>702.59</v>
      </c>
      <c r="M92" s="23"/>
      <c r="N92" s="24">
        <f t="shared" ref="N92:N97" si="38">L92-J92</f>
        <v>-58.41</v>
      </c>
      <c r="O92" s="25">
        <f t="shared" ref="O92:O97" si="39">L92/J92-1</f>
        <v>-0.0767542707</v>
      </c>
      <c r="P92" s="19">
        <f t="shared" ref="P92:P97" si="40">H92*O92</f>
        <v>-20443.5</v>
      </c>
      <c r="Q92" s="47"/>
      <c r="R92" s="20"/>
      <c r="S92" s="37"/>
      <c r="T92" s="27"/>
      <c r="U92" s="29"/>
      <c r="V92" s="15"/>
      <c r="W92" s="36"/>
      <c r="X92" s="37"/>
      <c r="Y92" s="27"/>
      <c r="Z92" s="15" t="s">
        <v>102</v>
      </c>
      <c r="AA92" s="36">
        <v>45614.0</v>
      </c>
      <c r="AB92" s="37">
        <v>761.0</v>
      </c>
      <c r="AC92" s="27">
        <v>266350.0</v>
      </c>
    </row>
    <row r="93">
      <c r="A93" s="38"/>
      <c r="B93" s="32"/>
      <c r="C93" s="14">
        <f>I93/E196</f>
        <v>0.01339287905</v>
      </c>
      <c r="D93" s="42" t="s">
        <v>103</v>
      </c>
      <c r="E93" s="42" t="s">
        <v>104</v>
      </c>
      <c r="F93" s="44">
        <v>7.8</v>
      </c>
      <c r="G93" s="18">
        <v>1500.0</v>
      </c>
      <c r="H93" s="19">
        <f t="shared" si="36"/>
        <v>394050</v>
      </c>
      <c r="I93" s="20">
        <f t="shared" si="37"/>
        <v>388950</v>
      </c>
      <c r="J93" s="21">
        <v>262.7</v>
      </c>
      <c r="K93" s="22">
        <f>IFERROR(__xludf.DUMMYFUNCTION("GOOGLEFINANCE(E93,""changepct"")"),-1.28)</f>
        <v>-1.28</v>
      </c>
      <c r="L93" s="23">
        <f>IFERROR(__xludf.DUMMYFUNCTION("googlefinance(E93,""price"")"),259.3)</f>
        <v>259.3</v>
      </c>
      <c r="M93" s="21"/>
      <c r="N93" s="24">
        <f t="shared" si="38"/>
        <v>-3.4</v>
      </c>
      <c r="O93" s="25">
        <f t="shared" si="39"/>
        <v>-0.01294251998</v>
      </c>
      <c r="P93" s="19">
        <f t="shared" si="40"/>
        <v>-5100</v>
      </c>
      <c r="Q93" s="47">
        <v>0.033</v>
      </c>
      <c r="R93" s="20"/>
      <c r="S93" s="37"/>
      <c r="T93" s="27"/>
      <c r="U93" s="29"/>
      <c r="V93" s="15"/>
      <c r="W93" s="36"/>
      <c r="X93" s="37"/>
      <c r="Y93" s="27"/>
      <c r="Z93" s="15" t="s">
        <v>104</v>
      </c>
      <c r="AA93" s="36">
        <v>45622.0</v>
      </c>
      <c r="AB93" s="37">
        <v>262.7</v>
      </c>
      <c r="AC93" s="27">
        <v>394050.0</v>
      </c>
    </row>
    <row r="94">
      <c r="A94" s="38"/>
      <c r="B94" s="32"/>
      <c r="C94" s="14">
        <f>I94/E196</f>
        <v>0.01091677175</v>
      </c>
      <c r="D94" s="42" t="s">
        <v>105</v>
      </c>
      <c r="E94" s="42" t="s">
        <v>106</v>
      </c>
      <c r="F94" s="44">
        <v>7.8</v>
      </c>
      <c r="G94" s="18">
        <v>12000.0</v>
      </c>
      <c r="H94" s="19">
        <f t="shared" si="36"/>
        <v>312600</v>
      </c>
      <c r="I94" s="20">
        <f t="shared" si="37"/>
        <v>317040</v>
      </c>
      <c r="J94" s="21">
        <v>26.05</v>
      </c>
      <c r="K94" s="22">
        <f>IFERROR(__xludf.DUMMYFUNCTION("GOOGLEFINANCE(E94,""changepct"")"),-0.75)</f>
        <v>-0.75</v>
      </c>
      <c r="L94" s="23">
        <f>IFERROR(__xludf.DUMMYFUNCTION("googlefinance(E94,""price"")"),26.42)</f>
        <v>26.42</v>
      </c>
      <c r="M94" s="21"/>
      <c r="N94" s="24">
        <f t="shared" si="38"/>
        <v>0.37</v>
      </c>
      <c r="O94" s="25">
        <f t="shared" si="39"/>
        <v>0.01420345489</v>
      </c>
      <c r="P94" s="19">
        <f t="shared" si="40"/>
        <v>4440</v>
      </c>
      <c r="Q94" s="47">
        <v>0.066</v>
      </c>
      <c r="R94" s="20"/>
      <c r="S94" s="37"/>
      <c r="T94" s="27"/>
      <c r="U94" s="29"/>
      <c r="V94" s="15"/>
      <c r="W94" s="36"/>
      <c r="X94" s="37"/>
      <c r="Y94" s="27"/>
      <c r="Z94" s="15" t="s">
        <v>106</v>
      </c>
      <c r="AA94" s="36">
        <v>45635.0</v>
      </c>
      <c r="AB94" s="37">
        <v>26.05</v>
      </c>
      <c r="AC94" s="27">
        <v>312600.0</v>
      </c>
    </row>
    <row r="95">
      <c r="A95" s="38"/>
      <c r="B95" s="32"/>
      <c r="C95" s="14">
        <f>I95/E196</f>
        <v>0.008742645559</v>
      </c>
      <c r="D95" s="42" t="s">
        <v>107</v>
      </c>
      <c r="E95" s="42" t="s">
        <v>108</v>
      </c>
      <c r="F95" s="44">
        <v>7.7</v>
      </c>
      <c r="G95" s="18">
        <v>500.0</v>
      </c>
      <c r="H95" s="19">
        <f t="shared" si="36"/>
        <v>269180</v>
      </c>
      <c r="I95" s="20">
        <f t="shared" si="37"/>
        <v>253900</v>
      </c>
      <c r="J95" s="21">
        <v>538.36</v>
      </c>
      <c r="K95" s="22">
        <f>IFERROR(__xludf.DUMMYFUNCTION("GOOGLEFINANCE(E95,""changepct"")"),-0.43)</f>
        <v>-0.43</v>
      </c>
      <c r="L95" s="23">
        <f>IFERROR(__xludf.DUMMYFUNCTION("googlefinance(E95,""price"")"),507.8)</f>
        <v>507.8</v>
      </c>
      <c r="M95" s="21"/>
      <c r="N95" s="24">
        <f t="shared" si="38"/>
        <v>-30.56</v>
      </c>
      <c r="O95" s="25">
        <f t="shared" si="39"/>
        <v>-0.05676498997</v>
      </c>
      <c r="P95" s="19">
        <f t="shared" si="40"/>
        <v>-15280</v>
      </c>
      <c r="Q95" s="47">
        <v>0.015</v>
      </c>
      <c r="R95" s="20"/>
      <c r="S95" s="37"/>
      <c r="T95" s="27"/>
      <c r="U95" s="29"/>
      <c r="V95" s="15"/>
      <c r="W95" s="36"/>
      <c r="X95" s="37"/>
      <c r="Y95" s="27"/>
      <c r="Z95" s="15" t="s">
        <v>108</v>
      </c>
      <c r="AA95" s="36">
        <v>45637.0</v>
      </c>
      <c r="AB95" s="37">
        <v>538.36</v>
      </c>
      <c r="AC95" s="27">
        <v>269180.0</v>
      </c>
    </row>
    <row r="96">
      <c r="A96" s="38"/>
      <c r="B96" s="32"/>
      <c r="C96" s="14">
        <f>I96/E196</f>
        <v>0.009474011419</v>
      </c>
      <c r="D96" s="42" t="s">
        <v>109</v>
      </c>
      <c r="E96" s="42" t="s">
        <v>110</v>
      </c>
      <c r="F96" s="44">
        <v>7.6</v>
      </c>
      <c r="G96" s="18">
        <v>1000.0</v>
      </c>
      <c r="H96" s="19">
        <f t="shared" si="36"/>
        <v>296220</v>
      </c>
      <c r="I96" s="20">
        <f t="shared" si="37"/>
        <v>275140</v>
      </c>
      <c r="J96" s="21">
        <v>296.22</v>
      </c>
      <c r="K96" s="22">
        <f>IFERROR(__xludf.DUMMYFUNCTION("GOOGLEFINANCE(E96,""changepct"")"),-1.28)</f>
        <v>-1.28</v>
      </c>
      <c r="L96" s="23">
        <f>IFERROR(__xludf.DUMMYFUNCTION("googlefinance(E96,""price"")"),275.14)</f>
        <v>275.14</v>
      </c>
      <c r="M96" s="21"/>
      <c r="N96" s="24">
        <f t="shared" si="38"/>
        <v>-21.08</v>
      </c>
      <c r="O96" s="25">
        <f t="shared" si="39"/>
        <v>-0.07116332456</v>
      </c>
      <c r="P96" s="19">
        <f t="shared" si="40"/>
        <v>-21080</v>
      </c>
      <c r="Q96" s="47">
        <v>0.018</v>
      </c>
      <c r="R96" s="20"/>
      <c r="S96" s="37"/>
      <c r="T96" s="27"/>
      <c r="U96" s="29"/>
      <c r="V96" s="15"/>
      <c r="W96" s="36"/>
      <c r="X96" s="37"/>
      <c r="Y96" s="27"/>
      <c r="Z96" s="15" t="s">
        <v>110</v>
      </c>
      <c r="AA96" s="36">
        <v>45637.0</v>
      </c>
      <c r="AB96" s="37">
        <v>296.22</v>
      </c>
      <c r="AC96" s="27">
        <v>296220.0</v>
      </c>
    </row>
    <row r="97">
      <c r="A97" s="38"/>
      <c r="B97" s="32"/>
      <c r="C97" s="14">
        <f>I97/E196</f>
        <v>0.01213433752</v>
      </c>
      <c r="D97" s="42" t="s">
        <v>111</v>
      </c>
      <c r="E97" s="42" t="s">
        <v>112</v>
      </c>
      <c r="F97" s="44">
        <v>7.8</v>
      </c>
      <c r="G97" s="18">
        <v>2000.0</v>
      </c>
      <c r="H97" s="19">
        <f t="shared" si="36"/>
        <v>352400</v>
      </c>
      <c r="I97" s="20">
        <f t="shared" si="37"/>
        <v>352400</v>
      </c>
      <c r="J97" s="21">
        <v>176.2</v>
      </c>
      <c r="K97" s="22">
        <f>IFERROR(__xludf.DUMMYFUNCTION("GOOGLEFINANCE(E97,""changepct"")"),-1.02)</f>
        <v>-1.02</v>
      </c>
      <c r="L97" s="23">
        <f>IFERROR(__xludf.DUMMYFUNCTION("googlefinance(E97,""price"")"),176.2)</f>
        <v>176.2</v>
      </c>
      <c r="M97" s="21"/>
      <c r="N97" s="24">
        <f t="shared" si="38"/>
        <v>0</v>
      </c>
      <c r="O97" s="25">
        <f t="shared" si="39"/>
        <v>0</v>
      </c>
      <c r="P97" s="19">
        <f t="shared" si="40"/>
        <v>0</v>
      </c>
      <c r="Q97" s="47">
        <v>0.038</v>
      </c>
      <c r="R97" s="20"/>
      <c r="S97" s="37"/>
      <c r="T97" s="27"/>
      <c r="U97" s="29"/>
      <c r="V97" s="15"/>
      <c r="W97" s="36"/>
      <c r="X97" s="37"/>
      <c r="Y97" s="27"/>
      <c r="Z97" s="15" t="s">
        <v>112</v>
      </c>
      <c r="AA97" s="36">
        <v>45635.0</v>
      </c>
      <c r="AB97" s="37">
        <v>176.2</v>
      </c>
      <c r="AC97" s="27">
        <v>352400.0</v>
      </c>
    </row>
    <row r="98">
      <c r="A98" s="55"/>
      <c r="B98" s="5"/>
      <c r="C98" s="5" t="s">
        <v>113</v>
      </c>
      <c r="D98" s="6"/>
      <c r="E98" s="6"/>
      <c r="F98" s="6"/>
      <c r="G98" s="6"/>
      <c r="H98" s="11">
        <f t="shared" ref="H98:I98" si="41">SUM(H92:H97)</f>
        <v>1890800</v>
      </c>
      <c r="I98" s="70">
        <f t="shared" si="41"/>
        <v>1833336.5</v>
      </c>
      <c r="J98" s="7"/>
      <c r="K98" s="8"/>
      <c r="L98" s="8"/>
      <c r="M98" s="9"/>
      <c r="N98" s="10"/>
      <c r="O98" s="71">
        <f>P98/I98</f>
        <v>-0.03134367313</v>
      </c>
      <c r="P98" s="70">
        <f>SUM(P92:P97)</f>
        <v>-57463.5</v>
      </c>
      <c r="Q98" s="6"/>
      <c r="R98" s="6"/>
      <c r="S98" s="9"/>
      <c r="T98" s="5"/>
      <c r="U98" s="5"/>
      <c r="V98" s="6"/>
      <c r="W98" s="6"/>
      <c r="X98" s="12"/>
      <c r="Y98" s="12">
        <f>SUM(Y92:Y97)</f>
        <v>0</v>
      </c>
      <c r="Z98" s="6"/>
      <c r="AA98" s="6"/>
      <c r="AB98" s="6"/>
      <c r="AC98" s="11">
        <f>SUM(AC92:AC97)</f>
        <v>1890800</v>
      </c>
    </row>
    <row r="99">
      <c r="A99" s="55"/>
      <c r="B99" s="5" t="s">
        <v>114</v>
      </c>
      <c r="C99" s="6" t="s">
        <v>2</v>
      </c>
      <c r="D99" s="6" t="s">
        <v>3</v>
      </c>
      <c r="E99" s="6" t="s">
        <v>4</v>
      </c>
      <c r="F99" s="6" t="s">
        <v>5</v>
      </c>
      <c r="G99" s="6" t="s">
        <v>6</v>
      </c>
      <c r="H99" s="6" t="s">
        <v>7</v>
      </c>
      <c r="I99" s="7" t="s">
        <v>8</v>
      </c>
      <c r="J99" s="7" t="s">
        <v>9</v>
      </c>
      <c r="K99" s="8" t="s">
        <v>10</v>
      </c>
      <c r="L99" s="8" t="s">
        <v>11</v>
      </c>
      <c r="M99" s="9" t="s">
        <v>12</v>
      </c>
      <c r="N99" s="10" t="s">
        <v>13</v>
      </c>
      <c r="O99" s="6" t="s">
        <v>14</v>
      </c>
      <c r="P99" s="10" t="s">
        <v>15</v>
      </c>
      <c r="Q99" s="6" t="s">
        <v>16</v>
      </c>
      <c r="R99" s="6" t="s">
        <v>17</v>
      </c>
      <c r="S99" s="9" t="s">
        <v>18</v>
      </c>
      <c r="T99" s="5" t="s">
        <v>19</v>
      </c>
      <c r="U99" s="5" t="s">
        <v>91</v>
      </c>
      <c r="V99" s="6" t="s">
        <v>21</v>
      </c>
      <c r="W99" s="6" t="s">
        <v>22</v>
      </c>
      <c r="X99" s="12" t="s">
        <v>23</v>
      </c>
      <c r="Y99" s="12" t="s">
        <v>24</v>
      </c>
      <c r="Z99" s="6" t="s">
        <v>25</v>
      </c>
      <c r="AA99" s="6" t="s">
        <v>26</v>
      </c>
      <c r="AB99" s="6" t="s">
        <v>27</v>
      </c>
      <c r="AC99" s="6" t="s">
        <v>28</v>
      </c>
    </row>
    <row r="100">
      <c r="A100" s="56" t="s">
        <v>29</v>
      </c>
      <c r="B100" s="57">
        <f>I105/E196</f>
        <v>0.04708164276</v>
      </c>
      <c r="C100" s="62">
        <f>I100/E196</f>
        <v>0.009069074389</v>
      </c>
      <c r="D100" s="42" t="s">
        <v>115</v>
      </c>
      <c r="E100" s="42" t="s">
        <v>116</v>
      </c>
      <c r="F100" s="42">
        <v>7.7</v>
      </c>
      <c r="G100" s="60">
        <v>1000.0</v>
      </c>
      <c r="H100" s="72">
        <f t="shared" ref="H100:H104" si="42">G100*J100</f>
        <v>269950</v>
      </c>
      <c r="I100" s="73">
        <f t="shared" ref="I100:I103" si="43">H100+P100</f>
        <v>263380</v>
      </c>
      <c r="J100" s="74">
        <v>269.95</v>
      </c>
      <c r="K100" s="22">
        <f>IFERROR(__xludf.DUMMYFUNCTION("GOOGLEFINANCE(E100,""changepct"")"),-1.04)</f>
        <v>-1.04</v>
      </c>
      <c r="L100" s="75">
        <f>IFERROR(__xludf.DUMMYFUNCTION("googlefinance(E100,""price"")"),263.38)</f>
        <v>263.38</v>
      </c>
      <c r="M100" s="61"/>
      <c r="N100" s="75">
        <f t="shared" ref="N100:N104" si="44">L100-J100</f>
        <v>-6.57</v>
      </c>
      <c r="O100" s="25">
        <f t="shared" ref="O100:O103" si="45">L100/J100-1</f>
        <v>-0.02433784034</v>
      </c>
      <c r="P100" s="73">
        <f t="shared" ref="P100:P104" si="46">H100*O100</f>
        <v>-6570</v>
      </c>
      <c r="Q100" s="45"/>
      <c r="R100" s="45"/>
      <c r="S100" s="76"/>
      <c r="T100" s="42"/>
      <c r="U100" s="42"/>
      <c r="V100" s="45"/>
      <c r="W100" s="45"/>
      <c r="X100" s="77"/>
      <c r="Y100" s="72"/>
      <c r="Z100" s="42" t="s">
        <v>116</v>
      </c>
      <c r="AA100" s="67">
        <v>45636.0</v>
      </c>
      <c r="AB100" s="74">
        <v>269.95</v>
      </c>
      <c r="AC100" s="66">
        <v>269950.0</v>
      </c>
    </row>
    <row r="101">
      <c r="A101" s="78"/>
      <c r="B101" s="42"/>
      <c r="C101" s="62">
        <f>I101/E196</f>
        <v>0.01331526612</v>
      </c>
      <c r="D101" s="42" t="s">
        <v>117</v>
      </c>
      <c r="E101" s="42" t="s">
        <v>118</v>
      </c>
      <c r="F101" s="42">
        <v>7.8</v>
      </c>
      <c r="G101" s="60">
        <v>800.0</v>
      </c>
      <c r="H101" s="72">
        <f t="shared" si="42"/>
        <v>409408</v>
      </c>
      <c r="I101" s="73">
        <f t="shared" si="43"/>
        <v>386696</v>
      </c>
      <c r="J101" s="74">
        <v>511.76</v>
      </c>
      <c r="K101" s="22">
        <f>IFERROR(__xludf.DUMMYFUNCTION("GOOGLEFINANCE(E101,""changepct"")"),-1.15)</f>
        <v>-1.15</v>
      </c>
      <c r="L101" s="75">
        <f>IFERROR(__xludf.DUMMYFUNCTION("googlefinance(E101,""price"")"),483.37)</f>
        <v>483.37</v>
      </c>
      <c r="M101" s="61"/>
      <c r="N101" s="75">
        <f t="shared" si="44"/>
        <v>-28.39</v>
      </c>
      <c r="O101" s="25">
        <f t="shared" si="45"/>
        <v>-0.05547522276</v>
      </c>
      <c r="P101" s="73">
        <f t="shared" si="46"/>
        <v>-22712</v>
      </c>
      <c r="Q101" s="45"/>
      <c r="R101" s="45"/>
      <c r="S101" s="76"/>
      <c r="T101" s="42"/>
      <c r="U101" s="42"/>
      <c r="V101" s="45"/>
      <c r="W101" s="45"/>
      <c r="X101" s="77"/>
      <c r="Y101" s="72"/>
      <c r="Z101" s="42" t="s">
        <v>118</v>
      </c>
      <c r="AA101" s="67">
        <v>45636.0</v>
      </c>
      <c r="AB101" s="74">
        <v>511.76</v>
      </c>
      <c r="AC101" s="66">
        <v>409408.0</v>
      </c>
    </row>
    <row r="102">
      <c r="A102" s="78"/>
      <c r="B102" s="42"/>
      <c r="C102" s="62">
        <f>I102/E196</f>
        <v>0.01606387951</v>
      </c>
      <c r="D102" s="42" t="s">
        <v>119</v>
      </c>
      <c r="E102" s="42" t="s">
        <v>120</v>
      </c>
      <c r="F102" s="42">
        <v>7.7</v>
      </c>
      <c r="G102" s="60">
        <v>1000.0</v>
      </c>
      <c r="H102" s="72">
        <f t="shared" si="42"/>
        <v>477000</v>
      </c>
      <c r="I102" s="73">
        <f t="shared" si="43"/>
        <v>466520</v>
      </c>
      <c r="J102" s="74">
        <v>477.0</v>
      </c>
      <c r="K102" s="22">
        <f>IFERROR(__xludf.DUMMYFUNCTION("GOOGLEFINANCE(E102,""changepct"")"),-1.02)</f>
        <v>-1.02</v>
      </c>
      <c r="L102" s="75">
        <f>IFERROR(__xludf.DUMMYFUNCTION("googlefinance(E102,""price"")"),466.52)</f>
        <v>466.52</v>
      </c>
      <c r="M102" s="61"/>
      <c r="N102" s="75">
        <f t="shared" si="44"/>
        <v>-10.48</v>
      </c>
      <c r="O102" s="25">
        <f t="shared" si="45"/>
        <v>-0.0219706499</v>
      </c>
      <c r="P102" s="73">
        <f t="shared" si="46"/>
        <v>-10480</v>
      </c>
      <c r="Q102" s="45"/>
      <c r="R102" s="45"/>
      <c r="S102" s="76"/>
      <c r="T102" s="42"/>
      <c r="U102" s="42"/>
      <c r="V102" s="45"/>
      <c r="W102" s="45"/>
      <c r="X102" s="77"/>
      <c r="Y102" s="72"/>
      <c r="Z102" s="42" t="s">
        <v>120</v>
      </c>
      <c r="AA102" s="67">
        <v>45636.0</v>
      </c>
      <c r="AB102" s="74">
        <v>477.0</v>
      </c>
      <c r="AC102" s="66">
        <v>477000.0</v>
      </c>
    </row>
    <row r="103">
      <c r="A103" s="78"/>
      <c r="B103" s="42"/>
      <c r="C103" s="62">
        <f>I103/E196</f>
        <v>0.008633422748</v>
      </c>
      <c r="D103" s="42" t="s">
        <v>121</v>
      </c>
      <c r="E103" s="42" t="s">
        <v>122</v>
      </c>
      <c r="F103" s="42">
        <v>7.8</v>
      </c>
      <c r="G103" s="60">
        <v>1200.0</v>
      </c>
      <c r="H103" s="72">
        <f t="shared" si="42"/>
        <v>276240</v>
      </c>
      <c r="I103" s="73">
        <f t="shared" si="43"/>
        <v>250728</v>
      </c>
      <c r="J103" s="74">
        <v>230.2</v>
      </c>
      <c r="K103" s="22">
        <f>IFERROR(__xludf.DUMMYFUNCTION("GOOGLEFINANCE(E103,""changepct"")"),-1.62)</f>
        <v>-1.62</v>
      </c>
      <c r="L103" s="75">
        <f>IFERROR(__xludf.DUMMYFUNCTION("googlefinance(E103,""price"")"),208.94)</f>
        <v>208.94</v>
      </c>
      <c r="M103" s="61"/>
      <c r="N103" s="75">
        <f t="shared" si="44"/>
        <v>-21.26</v>
      </c>
      <c r="O103" s="25">
        <f t="shared" si="45"/>
        <v>-0.09235447437</v>
      </c>
      <c r="P103" s="73">
        <f t="shared" si="46"/>
        <v>-25512</v>
      </c>
      <c r="Q103" s="45"/>
      <c r="R103" s="45"/>
      <c r="S103" s="76"/>
      <c r="T103" s="42"/>
      <c r="U103" s="42"/>
      <c r="V103" s="45"/>
      <c r="W103" s="45"/>
      <c r="X103" s="77"/>
      <c r="Y103" s="72"/>
      <c r="Z103" s="42" t="s">
        <v>122</v>
      </c>
      <c r="AA103" s="67">
        <v>45636.0</v>
      </c>
      <c r="AB103" s="74">
        <v>230.2</v>
      </c>
      <c r="AC103" s="66">
        <v>276240.0</v>
      </c>
    </row>
    <row r="104">
      <c r="A104" s="78"/>
      <c r="B104" s="42"/>
      <c r="C104" s="62">
        <f>I104/E196</f>
        <v>0</v>
      </c>
      <c r="D104" s="42" t="s">
        <v>123</v>
      </c>
      <c r="E104" s="42" t="s">
        <v>124</v>
      </c>
      <c r="F104" s="42">
        <v>7.2</v>
      </c>
      <c r="G104" s="60">
        <v>1000.0</v>
      </c>
      <c r="H104" s="72">
        <f t="shared" si="42"/>
        <v>438800</v>
      </c>
      <c r="I104" s="79">
        <v>0.0</v>
      </c>
      <c r="J104" s="74">
        <v>438.8</v>
      </c>
      <c r="K104" s="22">
        <f>IFERROR(__xludf.DUMMYFUNCTION("GOOGLEFINANCE(E104,""changepct"")"),-0.97)</f>
        <v>-0.97</v>
      </c>
      <c r="L104" s="75">
        <f>IFERROR(__xludf.DUMMYFUNCTION("googlefinance(E104,""price"")"),402.23)</f>
        <v>402.23</v>
      </c>
      <c r="M104" s="61">
        <v>413.5</v>
      </c>
      <c r="N104" s="75">
        <f t="shared" si="44"/>
        <v>-36.57</v>
      </c>
      <c r="O104" s="25">
        <f>M104/J104-1</f>
        <v>-0.05765724704</v>
      </c>
      <c r="P104" s="73">
        <f t="shared" si="46"/>
        <v>-25300</v>
      </c>
      <c r="Q104" s="45"/>
      <c r="R104" s="45"/>
      <c r="S104" s="76"/>
      <c r="T104" s="42"/>
      <c r="U104" s="42"/>
      <c r="V104" s="42" t="s">
        <v>124</v>
      </c>
      <c r="W104" s="67">
        <v>45643.0</v>
      </c>
      <c r="X104" s="80">
        <v>413.5</v>
      </c>
      <c r="Y104" s="66">
        <v>413500.0</v>
      </c>
      <c r="Z104" s="42" t="s">
        <v>124</v>
      </c>
      <c r="AA104" s="67">
        <v>45636.0</v>
      </c>
      <c r="AB104" s="74">
        <v>438.8</v>
      </c>
      <c r="AC104" s="66">
        <v>438800.0</v>
      </c>
    </row>
    <row r="105">
      <c r="A105" s="55"/>
      <c r="B105" s="5"/>
      <c r="C105" s="5" t="s">
        <v>89</v>
      </c>
      <c r="D105" s="6"/>
      <c r="E105" s="6"/>
      <c r="F105" s="6"/>
      <c r="G105" s="6"/>
      <c r="H105" s="11">
        <f t="shared" ref="H105:I105" si="47">SUM(H100:H104)</f>
        <v>1871398</v>
      </c>
      <c r="I105" s="70">
        <f t="shared" si="47"/>
        <v>1367324</v>
      </c>
      <c r="J105" s="7"/>
      <c r="K105" s="8"/>
      <c r="L105" s="8"/>
      <c r="M105" s="9"/>
      <c r="N105" s="10"/>
      <c r="O105" s="71">
        <f>P105/I105</f>
        <v>-0.06624179785</v>
      </c>
      <c r="P105" s="70">
        <f>SUM(P100:P104)</f>
        <v>-90574</v>
      </c>
      <c r="Q105" s="6"/>
      <c r="R105" s="6"/>
      <c r="S105" s="9"/>
      <c r="T105" s="5"/>
      <c r="U105" s="5"/>
      <c r="V105" s="6"/>
      <c r="W105" s="6"/>
      <c r="X105" s="81"/>
      <c r="Y105" s="11">
        <f>SUM(Y100:Y104)</f>
        <v>413500</v>
      </c>
      <c r="Z105" s="6"/>
      <c r="AA105" s="6"/>
      <c r="AB105" s="6"/>
      <c r="AC105" s="11">
        <f>SUM(AC100:AC104)</f>
        <v>1871398</v>
      </c>
    </row>
    <row r="106">
      <c r="A106" s="55"/>
      <c r="B106" s="5" t="s">
        <v>125</v>
      </c>
      <c r="C106" s="6" t="s">
        <v>2</v>
      </c>
      <c r="D106" s="6" t="s">
        <v>3</v>
      </c>
      <c r="E106" s="6" t="s">
        <v>4</v>
      </c>
      <c r="F106" s="6" t="s">
        <v>5</v>
      </c>
      <c r="G106" s="6" t="s">
        <v>6</v>
      </c>
      <c r="H106" s="6" t="s">
        <v>7</v>
      </c>
      <c r="I106" s="7" t="s">
        <v>8</v>
      </c>
      <c r="J106" s="7" t="s">
        <v>9</v>
      </c>
      <c r="K106" s="8" t="s">
        <v>10</v>
      </c>
      <c r="L106" s="8" t="s">
        <v>11</v>
      </c>
      <c r="M106" s="9" t="s">
        <v>12</v>
      </c>
      <c r="N106" s="10" t="s">
        <v>13</v>
      </c>
      <c r="O106" s="6" t="s">
        <v>14</v>
      </c>
      <c r="P106" s="10" t="s">
        <v>15</v>
      </c>
      <c r="Q106" s="6" t="s">
        <v>16</v>
      </c>
      <c r="R106" s="6" t="s">
        <v>17</v>
      </c>
      <c r="S106" s="9" t="s">
        <v>18</v>
      </c>
      <c r="T106" s="5" t="s">
        <v>19</v>
      </c>
      <c r="U106" s="5" t="s">
        <v>91</v>
      </c>
      <c r="V106" s="6" t="s">
        <v>21</v>
      </c>
      <c r="W106" s="6" t="s">
        <v>22</v>
      </c>
      <c r="X106" s="12" t="s">
        <v>23</v>
      </c>
      <c r="Y106" s="12" t="s">
        <v>24</v>
      </c>
      <c r="Z106" s="6" t="s">
        <v>25</v>
      </c>
      <c r="AA106" s="6" t="s">
        <v>26</v>
      </c>
      <c r="AB106" s="6" t="s">
        <v>27</v>
      </c>
      <c r="AC106" s="6" t="s">
        <v>28</v>
      </c>
    </row>
    <row r="107">
      <c r="A107" s="82" t="s">
        <v>29</v>
      </c>
      <c r="B107" s="83">
        <f>I129/E196</f>
        <v>0.07505435531</v>
      </c>
      <c r="C107" s="14">
        <f>I107/E196</f>
        <v>0</v>
      </c>
      <c r="D107" s="76" t="s">
        <v>126</v>
      </c>
      <c r="E107" s="15" t="s">
        <v>127</v>
      </c>
      <c r="F107" s="17" t="s">
        <v>128</v>
      </c>
      <c r="G107" s="18">
        <v>225000.0</v>
      </c>
      <c r="H107" s="19">
        <f t="shared" ref="H107:H128" si="48">G107*J107</f>
        <v>641250</v>
      </c>
      <c r="I107" s="20">
        <v>0.0</v>
      </c>
      <c r="J107" s="21">
        <v>2.85</v>
      </c>
      <c r="K107" s="22">
        <f>IFERROR(__xludf.DUMMYFUNCTION("GOOGLEFINANCE(E107,""changepct"")"),0.19)</f>
        <v>0.19</v>
      </c>
      <c r="L107" s="24">
        <f>IFERROR(__xludf.DUMMYFUNCTION("googlefinance(E107,""price"")"),5.14)</f>
        <v>5.14</v>
      </c>
      <c r="M107" s="21">
        <v>5.52</v>
      </c>
      <c r="N107" s="24">
        <f t="shared" ref="N107:N128" si="49">L107-J107</f>
        <v>2.29</v>
      </c>
      <c r="O107" s="25">
        <f t="shared" ref="O107:O108" si="50">M107/J107-1</f>
        <v>0.9368421053</v>
      </c>
      <c r="P107" s="84">
        <f t="shared" ref="P107:P128" si="51">H107*O107</f>
        <v>600750</v>
      </c>
      <c r="Q107" s="32"/>
      <c r="R107" s="29"/>
      <c r="S107" s="21"/>
      <c r="T107" s="27"/>
      <c r="U107" s="27"/>
      <c r="V107" s="15" t="s">
        <v>127</v>
      </c>
      <c r="W107" s="41">
        <v>45574.0</v>
      </c>
      <c r="X107" s="21">
        <v>5.52</v>
      </c>
      <c r="Y107" s="20">
        <v>1242000.0</v>
      </c>
      <c r="Z107" s="15"/>
      <c r="AA107" s="36"/>
      <c r="AB107" s="37"/>
      <c r="AC107" s="27"/>
    </row>
    <row r="108">
      <c r="A108" s="38"/>
      <c r="B108" s="32"/>
      <c r="C108" s="14">
        <f>I108/E196</f>
        <v>0</v>
      </c>
      <c r="D108" s="76" t="s">
        <v>129</v>
      </c>
      <c r="E108" s="15" t="s">
        <v>130</v>
      </c>
      <c r="F108" s="17">
        <v>7.7</v>
      </c>
      <c r="G108" s="18">
        <v>5000.0</v>
      </c>
      <c r="H108" s="19">
        <f t="shared" si="48"/>
        <v>326900</v>
      </c>
      <c r="I108" s="20">
        <v>0.0</v>
      </c>
      <c r="J108" s="21">
        <v>65.38</v>
      </c>
      <c r="K108" s="22">
        <f>IFERROR(__xludf.DUMMYFUNCTION("GOOGLEFINANCE(E108,""changepct"")"),-0.71)</f>
        <v>-0.71</v>
      </c>
      <c r="L108" s="24">
        <f>IFERROR(__xludf.DUMMYFUNCTION("googlefinance(E108,""price"")"),58.59)</f>
        <v>58.59</v>
      </c>
      <c r="M108" s="21">
        <v>65.12</v>
      </c>
      <c r="N108" s="24">
        <f t="shared" si="49"/>
        <v>-6.79</v>
      </c>
      <c r="O108" s="25">
        <f t="shared" si="50"/>
        <v>-0.0039767513</v>
      </c>
      <c r="P108" s="84">
        <f t="shared" si="51"/>
        <v>-1300</v>
      </c>
      <c r="Q108" s="47">
        <v>0.07</v>
      </c>
      <c r="R108" s="20"/>
      <c r="S108" s="37"/>
      <c r="T108" s="27"/>
      <c r="U108" s="29"/>
      <c r="V108" s="15" t="s">
        <v>130</v>
      </c>
      <c r="W108" s="36">
        <v>45600.0</v>
      </c>
      <c r="X108" s="37">
        <v>65.12</v>
      </c>
      <c r="Y108" s="27">
        <v>325600.0</v>
      </c>
      <c r="Z108" s="15" t="s">
        <v>130</v>
      </c>
      <c r="AA108" s="41">
        <v>45574.0</v>
      </c>
      <c r="AB108" s="21">
        <v>65.38</v>
      </c>
      <c r="AC108" s="20">
        <v>329850.0</v>
      </c>
    </row>
    <row r="109">
      <c r="A109" s="38"/>
      <c r="B109" s="32"/>
      <c r="C109" s="14">
        <f>I109/E196</f>
        <v>0.008264021009</v>
      </c>
      <c r="D109" s="76" t="s">
        <v>131</v>
      </c>
      <c r="E109" s="15" t="s">
        <v>132</v>
      </c>
      <c r="F109" s="17">
        <v>7.8</v>
      </c>
      <c r="G109" s="18">
        <v>10000.0</v>
      </c>
      <c r="H109" s="19">
        <f t="shared" si="48"/>
        <v>277800</v>
      </c>
      <c r="I109" s="19">
        <f t="shared" ref="I109:I113" si="52">H109+P109</f>
        <v>240000</v>
      </c>
      <c r="J109" s="21">
        <v>27.78</v>
      </c>
      <c r="K109" s="22">
        <f>IFERROR(__xludf.DUMMYFUNCTION("GOOGLEFINANCE(E109,""changepct"")"),0.54)</f>
        <v>0.54</v>
      </c>
      <c r="L109" s="24">
        <f>IFERROR(__xludf.DUMMYFUNCTION("googlefinance(E109,""price"")"),24.0)</f>
        <v>24</v>
      </c>
      <c r="M109" s="21"/>
      <c r="N109" s="24">
        <f t="shared" si="49"/>
        <v>-3.78</v>
      </c>
      <c r="O109" s="25">
        <f t="shared" ref="O109:O113" si="53">L109/J109-1</f>
        <v>-0.1360691145</v>
      </c>
      <c r="P109" s="84">
        <f t="shared" si="51"/>
        <v>-37800</v>
      </c>
      <c r="Q109" s="47"/>
      <c r="R109" s="20"/>
      <c r="S109" s="37"/>
      <c r="T109" s="27"/>
      <c r="U109" s="29"/>
      <c r="V109" s="15"/>
      <c r="W109" s="36"/>
      <c r="X109" s="37"/>
      <c r="Y109" s="27"/>
      <c r="Z109" s="15" t="s">
        <v>132</v>
      </c>
      <c r="AA109" s="41">
        <v>45604.0</v>
      </c>
      <c r="AB109" s="21">
        <v>27.78</v>
      </c>
      <c r="AC109" s="20">
        <v>277800.0</v>
      </c>
    </row>
    <row r="110">
      <c r="A110" s="38"/>
      <c r="B110" s="32"/>
      <c r="C110" s="14">
        <f>I110/E196</f>
        <v>0.005472331412</v>
      </c>
      <c r="D110" s="76" t="s">
        <v>133</v>
      </c>
      <c r="E110" s="15" t="s">
        <v>134</v>
      </c>
      <c r="F110" s="17">
        <v>7.6</v>
      </c>
      <c r="G110" s="18">
        <v>7500.0</v>
      </c>
      <c r="H110" s="19">
        <f t="shared" si="48"/>
        <v>209850</v>
      </c>
      <c r="I110" s="19">
        <f t="shared" si="52"/>
        <v>158925</v>
      </c>
      <c r="J110" s="21">
        <v>27.98</v>
      </c>
      <c r="K110" s="22">
        <f>IFERROR(__xludf.DUMMYFUNCTION("GOOGLEFINANCE(E110,""changepct"")"),-2.75)</f>
        <v>-2.75</v>
      </c>
      <c r="L110" s="24">
        <f>IFERROR(__xludf.DUMMYFUNCTION("googlefinance(E110,""price"")"),21.19)</f>
        <v>21.19</v>
      </c>
      <c r="M110" s="21"/>
      <c r="N110" s="24">
        <f t="shared" si="49"/>
        <v>-6.79</v>
      </c>
      <c r="O110" s="25">
        <f t="shared" si="53"/>
        <v>-0.2426733381</v>
      </c>
      <c r="P110" s="84">
        <f t="shared" si="51"/>
        <v>-50925</v>
      </c>
      <c r="Q110" s="47"/>
      <c r="R110" s="20"/>
      <c r="S110" s="37"/>
      <c r="T110" s="27"/>
      <c r="U110" s="29"/>
      <c r="V110" s="15"/>
      <c r="W110" s="36"/>
      <c r="X110" s="37"/>
      <c r="Y110" s="27"/>
      <c r="Z110" s="15" t="s">
        <v>134</v>
      </c>
      <c r="AA110" s="41">
        <v>45604.0</v>
      </c>
      <c r="AB110" s="21">
        <v>27.98</v>
      </c>
      <c r="AC110" s="20">
        <v>209850.0</v>
      </c>
    </row>
    <row r="111">
      <c r="A111" s="38"/>
      <c r="B111" s="32"/>
      <c r="C111" s="14">
        <f>I111/E196</f>
        <v>0.008837337467</v>
      </c>
      <c r="D111" s="76" t="s">
        <v>135</v>
      </c>
      <c r="E111" s="15" t="s">
        <v>136</v>
      </c>
      <c r="F111" s="17">
        <v>7.9</v>
      </c>
      <c r="G111" s="18">
        <v>5000.0</v>
      </c>
      <c r="H111" s="19">
        <f t="shared" si="48"/>
        <v>274750</v>
      </c>
      <c r="I111" s="19">
        <f t="shared" si="52"/>
        <v>256650</v>
      </c>
      <c r="J111" s="21">
        <v>54.95</v>
      </c>
      <c r="K111" s="22">
        <f>IFERROR(__xludf.DUMMYFUNCTION("GOOGLEFINANCE(E111,""changepct"")"),-2.21)</f>
        <v>-2.21</v>
      </c>
      <c r="L111" s="24">
        <f>IFERROR(__xludf.DUMMYFUNCTION("googlefinance(E111,""price"")"),51.33)</f>
        <v>51.33</v>
      </c>
      <c r="M111" s="21"/>
      <c r="N111" s="24">
        <f t="shared" si="49"/>
        <v>-3.62</v>
      </c>
      <c r="O111" s="25">
        <f t="shared" si="53"/>
        <v>-0.06587807097</v>
      </c>
      <c r="P111" s="84">
        <f t="shared" si="51"/>
        <v>-18100</v>
      </c>
      <c r="Q111" s="47"/>
      <c r="R111" s="20"/>
      <c r="S111" s="37"/>
      <c r="T111" s="27"/>
      <c r="U111" s="29"/>
      <c r="V111" s="15"/>
      <c r="W111" s="36"/>
      <c r="X111" s="37"/>
      <c r="Y111" s="27"/>
      <c r="Z111" s="15" t="s">
        <v>136</v>
      </c>
      <c r="AA111" s="41">
        <v>45594.0</v>
      </c>
      <c r="AB111" s="21">
        <v>54.95</v>
      </c>
      <c r="AC111" s="20">
        <v>276500.0</v>
      </c>
    </row>
    <row r="112">
      <c r="A112" s="38"/>
      <c r="B112" s="32"/>
      <c r="C112" s="14">
        <f>I112/E196</f>
        <v>0.00530240248</v>
      </c>
      <c r="D112" s="76" t="s">
        <v>135</v>
      </c>
      <c r="E112" s="15" t="s">
        <v>136</v>
      </c>
      <c r="F112" s="17">
        <v>7.9</v>
      </c>
      <c r="G112" s="18">
        <v>3000.0</v>
      </c>
      <c r="H112" s="19">
        <f t="shared" si="48"/>
        <v>158100</v>
      </c>
      <c r="I112" s="19">
        <f t="shared" si="52"/>
        <v>153990</v>
      </c>
      <c r="J112" s="21">
        <v>52.7</v>
      </c>
      <c r="K112" s="22">
        <f>IFERROR(__xludf.DUMMYFUNCTION("GOOGLEFINANCE(E112,""changepct"")"),-2.21)</f>
        <v>-2.21</v>
      </c>
      <c r="L112" s="24">
        <f>IFERROR(__xludf.DUMMYFUNCTION("googlefinance(E112,""price"")"),51.33)</f>
        <v>51.33</v>
      </c>
      <c r="M112" s="21"/>
      <c r="N112" s="24">
        <f t="shared" si="49"/>
        <v>-1.37</v>
      </c>
      <c r="O112" s="25">
        <f t="shared" si="53"/>
        <v>-0.02599620493</v>
      </c>
      <c r="P112" s="84">
        <f t="shared" si="51"/>
        <v>-4110</v>
      </c>
      <c r="Q112" s="47"/>
      <c r="R112" s="20"/>
      <c r="S112" s="37"/>
      <c r="T112" s="27"/>
      <c r="U112" s="29"/>
      <c r="V112" s="15"/>
      <c r="W112" s="36"/>
      <c r="X112" s="37"/>
      <c r="Y112" s="27"/>
      <c r="Z112" s="15" t="s">
        <v>136</v>
      </c>
      <c r="AA112" s="41">
        <v>45604.0</v>
      </c>
      <c r="AB112" s="21">
        <v>52.7</v>
      </c>
      <c r="AC112" s="20">
        <v>158100.0</v>
      </c>
    </row>
    <row r="113">
      <c r="A113" s="38"/>
      <c r="B113" s="32"/>
      <c r="C113" s="14">
        <f>I113/E196</f>
        <v>0.01237227245</v>
      </c>
      <c r="D113" s="76" t="s">
        <v>135</v>
      </c>
      <c r="E113" s="15" t="s">
        <v>136</v>
      </c>
      <c r="F113" s="17">
        <v>7.9</v>
      </c>
      <c r="G113" s="18">
        <v>7000.0</v>
      </c>
      <c r="H113" s="19">
        <f t="shared" si="48"/>
        <v>374500</v>
      </c>
      <c r="I113" s="19">
        <f t="shared" si="52"/>
        <v>359310</v>
      </c>
      <c r="J113" s="21">
        <v>53.5</v>
      </c>
      <c r="K113" s="22">
        <f>IFERROR(__xludf.DUMMYFUNCTION("GOOGLEFINANCE(E113,""changepct"")"),-2.21)</f>
        <v>-2.21</v>
      </c>
      <c r="L113" s="24">
        <f>IFERROR(__xludf.DUMMYFUNCTION("googlefinance(E113,""price"")"),51.33)</f>
        <v>51.33</v>
      </c>
      <c r="M113" s="21"/>
      <c r="N113" s="24">
        <f t="shared" si="49"/>
        <v>-2.17</v>
      </c>
      <c r="O113" s="25">
        <f t="shared" si="53"/>
        <v>-0.04056074766</v>
      </c>
      <c r="P113" s="84">
        <f t="shared" si="51"/>
        <v>-15190</v>
      </c>
      <c r="Q113" s="47"/>
      <c r="R113" s="20"/>
      <c r="S113" s="37"/>
      <c r="T113" s="27"/>
      <c r="U113" s="29"/>
      <c r="V113" s="15"/>
      <c r="W113" s="36"/>
      <c r="X113" s="37"/>
      <c r="Y113" s="27"/>
      <c r="Z113" s="15" t="s">
        <v>136</v>
      </c>
      <c r="AA113" s="41">
        <v>45643.0</v>
      </c>
      <c r="AB113" s="21">
        <v>53.5</v>
      </c>
      <c r="AC113" s="20">
        <v>374500.0</v>
      </c>
    </row>
    <row r="114">
      <c r="A114" s="38"/>
      <c r="B114" s="32"/>
      <c r="C114" s="14">
        <f>I114/E196</f>
        <v>0</v>
      </c>
      <c r="D114" s="76" t="s">
        <v>137</v>
      </c>
      <c r="E114" s="15" t="s">
        <v>138</v>
      </c>
      <c r="F114" s="17">
        <v>7.6</v>
      </c>
      <c r="G114" s="18">
        <v>5000.0</v>
      </c>
      <c r="H114" s="19">
        <f t="shared" si="48"/>
        <v>113850</v>
      </c>
      <c r="I114" s="20">
        <v>0.0</v>
      </c>
      <c r="J114" s="21">
        <v>22.77</v>
      </c>
      <c r="K114" s="22">
        <f>IFERROR(__xludf.DUMMYFUNCTION("GOOGLEFINANCE(E114,""changepct"")"),3.82)</f>
        <v>3.82</v>
      </c>
      <c r="L114" s="24">
        <f>IFERROR(__xludf.DUMMYFUNCTION("googlefinance(E114,""price"")"),23.65)</f>
        <v>23.65</v>
      </c>
      <c r="M114" s="21">
        <v>25.18</v>
      </c>
      <c r="N114" s="24">
        <f t="shared" si="49"/>
        <v>0.88</v>
      </c>
      <c r="O114" s="25">
        <f>M114/J114-1</f>
        <v>0.1058410189</v>
      </c>
      <c r="P114" s="84">
        <f t="shared" si="51"/>
        <v>12050</v>
      </c>
      <c r="Q114" s="47"/>
      <c r="R114" s="20"/>
      <c r="S114" s="37"/>
      <c r="T114" s="27"/>
      <c r="U114" s="29"/>
      <c r="V114" s="15" t="s">
        <v>138</v>
      </c>
      <c r="W114" s="36">
        <v>45617.0</v>
      </c>
      <c r="X114" s="37">
        <v>25.18</v>
      </c>
      <c r="Y114" s="27">
        <v>125900.0</v>
      </c>
      <c r="Z114" s="15" t="s">
        <v>138</v>
      </c>
      <c r="AA114" s="41">
        <v>45594.0</v>
      </c>
      <c r="AB114" s="21">
        <v>22.77</v>
      </c>
      <c r="AC114" s="20">
        <v>113850.0</v>
      </c>
    </row>
    <row r="115">
      <c r="A115" s="38"/>
      <c r="B115" s="32"/>
      <c r="C115" s="14">
        <f>I115/E196</f>
        <v>0.01221525605</v>
      </c>
      <c r="D115" s="76" t="s">
        <v>137</v>
      </c>
      <c r="E115" s="15" t="s">
        <v>138</v>
      </c>
      <c r="F115" s="17">
        <v>7.6</v>
      </c>
      <c r="G115" s="18">
        <v>15000.0</v>
      </c>
      <c r="H115" s="19">
        <f t="shared" si="48"/>
        <v>294600</v>
      </c>
      <c r="I115" s="19">
        <f t="shared" ref="I115:I116" si="54">H115+P115</f>
        <v>354750</v>
      </c>
      <c r="J115" s="21">
        <v>19.64</v>
      </c>
      <c r="K115" s="22">
        <f>IFERROR(__xludf.DUMMYFUNCTION("GOOGLEFINANCE(E115,""changepct"")"),3.82)</f>
        <v>3.82</v>
      </c>
      <c r="L115" s="24">
        <f>IFERROR(__xludf.DUMMYFUNCTION("googlefinance(E115,""price"")"),23.65)</f>
        <v>23.65</v>
      </c>
      <c r="M115" s="21"/>
      <c r="N115" s="24">
        <f t="shared" si="49"/>
        <v>4.01</v>
      </c>
      <c r="O115" s="25">
        <f t="shared" ref="O115:O116" si="55">L115/J115-1</f>
        <v>0.2041751527</v>
      </c>
      <c r="P115" s="84">
        <f t="shared" si="51"/>
        <v>60150</v>
      </c>
      <c r="Q115" s="47"/>
      <c r="R115" s="20"/>
      <c r="S115" s="37"/>
      <c r="T115" s="27"/>
      <c r="U115" s="29"/>
      <c r="V115" s="15"/>
      <c r="W115" s="36"/>
      <c r="X115" s="37"/>
      <c r="Y115" s="27"/>
      <c r="Z115" s="15" t="s">
        <v>138</v>
      </c>
      <c r="AA115" s="41">
        <v>45611.0</v>
      </c>
      <c r="AB115" s="21">
        <v>19.64</v>
      </c>
      <c r="AC115" s="20">
        <v>294600.0</v>
      </c>
    </row>
    <row r="116">
      <c r="A116" s="38"/>
      <c r="B116" s="32"/>
      <c r="C116" s="14">
        <f>I116/E196</f>
        <v>0.01221525605</v>
      </c>
      <c r="D116" s="76" t="s">
        <v>137</v>
      </c>
      <c r="E116" s="15" t="s">
        <v>138</v>
      </c>
      <c r="F116" s="17">
        <v>7.6</v>
      </c>
      <c r="G116" s="18">
        <v>15000.0</v>
      </c>
      <c r="H116" s="19">
        <f t="shared" si="48"/>
        <v>285000</v>
      </c>
      <c r="I116" s="19">
        <f t="shared" si="54"/>
        <v>354750</v>
      </c>
      <c r="J116" s="21">
        <v>19.0</v>
      </c>
      <c r="K116" s="22">
        <f>IFERROR(__xludf.DUMMYFUNCTION("GOOGLEFINANCE(E116,""changepct"")"),3.82)</f>
        <v>3.82</v>
      </c>
      <c r="L116" s="24">
        <f>IFERROR(__xludf.DUMMYFUNCTION("googlefinance(E116,""price"")"),23.65)</f>
        <v>23.65</v>
      </c>
      <c r="M116" s="21"/>
      <c r="N116" s="24">
        <f t="shared" si="49"/>
        <v>4.65</v>
      </c>
      <c r="O116" s="25">
        <f t="shared" si="55"/>
        <v>0.2447368421</v>
      </c>
      <c r="P116" s="84">
        <f t="shared" si="51"/>
        <v>69750</v>
      </c>
      <c r="Q116" s="47"/>
      <c r="R116" s="20"/>
      <c r="S116" s="37"/>
      <c r="T116" s="27"/>
      <c r="U116" s="29"/>
      <c r="V116" s="15"/>
      <c r="W116" s="36"/>
      <c r="X116" s="37"/>
      <c r="Y116" s="27"/>
      <c r="Z116" s="15" t="s">
        <v>138</v>
      </c>
      <c r="AA116" s="41">
        <v>45643.0</v>
      </c>
      <c r="AB116" s="21">
        <v>19.0</v>
      </c>
      <c r="AC116" s="20">
        <v>285000.0</v>
      </c>
    </row>
    <row r="117">
      <c r="A117" s="38"/>
      <c r="B117" s="32"/>
      <c r="C117" s="14">
        <f>I117/E196</f>
        <v>0</v>
      </c>
      <c r="D117" s="76" t="s">
        <v>137</v>
      </c>
      <c r="E117" s="15" t="s">
        <v>138</v>
      </c>
      <c r="F117" s="17">
        <v>7.6</v>
      </c>
      <c r="G117" s="18">
        <v>5000.0</v>
      </c>
      <c r="H117" s="19">
        <f t="shared" si="48"/>
        <v>96000</v>
      </c>
      <c r="I117" s="20">
        <v>0.0</v>
      </c>
      <c r="J117" s="21">
        <v>19.2</v>
      </c>
      <c r="K117" s="22">
        <f>IFERROR(__xludf.DUMMYFUNCTION("GOOGLEFINANCE(E117,""changepct"")"),3.82)</f>
        <v>3.82</v>
      </c>
      <c r="L117" s="24">
        <f>IFERROR(__xludf.DUMMYFUNCTION("googlefinance(E117,""price"")"),23.65)</f>
        <v>23.65</v>
      </c>
      <c r="M117" s="21">
        <v>27.22</v>
      </c>
      <c r="N117" s="24">
        <f t="shared" si="49"/>
        <v>4.45</v>
      </c>
      <c r="O117" s="25">
        <f t="shared" ref="O117:O119" si="56">M117/J117-1</f>
        <v>0.4177083333</v>
      </c>
      <c r="P117" s="84">
        <f t="shared" si="51"/>
        <v>40100</v>
      </c>
      <c r="Q117" s="47"/>
      <c r="R117" s="20"/>
      <c r="S117" s="37"/>
      <c r="T117" s="27"/>
      <c r="U117" s="29"/>
      <c r="V117" s="15" t="s">
        <v>138</v>
      </c>
      <c r="W117" s="36">
        <v>45604.0</v>
      </c>
      <c r="X117" s="37">
        <v>27.22</v>
      </c>
      <c r="Y117" s="27">
        <v>136100.0</v>
      </c>
      <c r="Z117" s="15" t="s">
        <v>138</v>
      </c>
      <c r="AA117" s="41">
        <v>45600.0</v>
      </c>
      <c r="AB117" s="21">
        <v>19.2</v>
      </c>
      <c r="AC117" s="20">
        <v>96000.0</v>
      </c>
    </row>
    <row r="118">
      <c r="A118" s="38"/>
      <c r="B118" s="32"/>
      <c r="C118" s="14">
        <f>I118/E196</f>
        <v>0</v>
      </c>
      <c r="D118" s="76" t="s">
        <v>139</v>
      </c>
      <c r="E118" s="15" t="s">
        <v>140</v>
      </c>
      <c r="F118" s="17">
        <v>7.2</v>
      </c>
      <c r="G118" s="18">
        <v>3000.0</v>
      </c>
      <c r="H118" s="19">
        <f t="shared" si="48"/>
        <v>231630</v>
      </c>
      <c r="I118" s="20">
        <v>0.0</v>
      </c>
      <c r="J118" s="21">
        <v>77.21</v>
      </c>
      <c r="K118" s="22">
        <f>IFERROR(__xludf.DUMMYFUNCTION("GOOGLEFINANCE(E118,""changepct"")"),-4.03)</f>
        <v>-4.03</v>
      </c>
      <c r="L118" s="24">
        <f>IFERROR(__xludf.DUMMYFUNCTION("googlefinance(E118,""price"")"),67.86)</f>
        <v>67.86</v>
      </c>
      <c r="M118" s="21">
        <v>66.12</v>
      </c>
      <c r="N118" s="24">
        <f t="shared" si="49"/>
        <v>-9.35</v>
      </c>
      <c r="O118" s="25">
        <f t="shared" si="56"/>
        <v>-0.1436342443</v>
      </c>
      <c r="P118" s="84">
        <f t="shared" si="51"/>
        <v>-33270</v>
      </c>
      <c r="Q118" s="47"/>
      <c r="R118" s="20"/>
      <c r="S118" s="37"/>
      <c r="T118" s="27"/>
      <c r="U118" s="29"/>
      <c r="V118" s="15" t="s">
        <v>140</v>
      </c>
      <c r="W118" s="36">
        <v>45615.0</v>
      </c>
      <c r="X118" s="37">
        <v>66.12</v>
      </c>
      <c r="Y118" s="27">
        <v>198360.0</v>
      </c>
      <c r="Z118" s="15" t="s">
        <v>140</v>
      </c>
      <c r="AA118" s="41">
        <v>45600.0</v>
      </c>
      <c r="AB118" s="21">
        <v>77.21</v>
      </c>
      <c r="AC118" s="20">
        <v>231630.0</v>
      </c>
    </row>
    <row r="119">
      <c r="A119" s="38"/>
      <c r="B119" s="32"/>
      <c r="C119" s="14">
        <f>I119/E196</f>
        <v>0</v>
      </c>
      <c r="D119" s="76" t="s">
        <v>139</v>
      </c>
      <c r="E119" s="15" t="s">
        <v>140</v>
      </c>
      <c r="F119" s="17">
        <v>7.2</v>
      </c>
      <c r="G119" s="18">
        <v>2000.0</v>
      </c>
      <c r="H119" s="19">
        <f t="shared" si="48"/>
        <v>178240</v>
      </c>
      <c r="I119" s="20">
        <v>0.0</v>
      </c>
      <c r="J119" s="21">
        <v>89.12</v>
      </c>
      <c r="K119" s="22">
        <f>IFERROR(__xludf.DUMMYFUNCTION("GOOGLEFINANCE(E119,""changepct"")"),-4.03)</f>
        <v>-4.03</v>
      </c>
      <c r="L119" s="24">
        <f>IFERROR(__xludf.DUMMYFUNCTION("googlefinance(E119,""price"")"),67.86)</f>
        <v>67.86</v>
      </c>
      <c r="M119" s="21">
        <v>67.85</v>
      </c>
      <c r="N119" s="24">
        <f t="shared" si="49"/>
        <v>-21.26</v>
      </c>
      <c r="O119" s="25">
        <f t="shared" si="56"/>
        <v>-0.2386669659</v>
      </c>
      <c r="P119" s="84">
        <f t="shared" si="51"/>
        <v>-42540</v>
      </c>
      <c r="Q119" s="47"/>
      <c r="R119" s="20"/>
      <c r="S119" s="37"/>
      <c r="T119" s="27"/>
      <c r="U119" s="29"/>
      <c r="V119" s="15" t="s">
        <v>140</v>
      </c>
      <c r="W119" s="36">
        <v>45615.0</v>
      </c>
      <c r="X119" s="37">
        <v>67.85</v>
      </c>
      <c r="Y119" s="27">
        <v>135700.0</v>
      </c>
      <c r="Z119" s="15" t="s">
        <v>140</v>
      </c>
      <c r="AA119" s="41">
        <v>45604.0</v>
      </c>
      <c r="AB119" s="21">
        <v>89.12</v>
      </c>
      <c r="AC119" s="20">
        <v>178240.0</v>
      </c>
    </row>
    <row r="120">
      <c r="A120" s="38"/>
      <c r="B120" s="32"/>
      <c r="C120" s="14">
        <f>I120/E196</f>
        <v>0.007792971812</v>
      </c>
      <c r="D120" s="76" t="s">
        <v>141</v>
      </c>
      <c r="E120" s="15" t="s">
        <v>142</v>
      </c>
      <c r="F120" s="17">
        <v>7.8</v>
      </c>
      <c r="G120" s="18">
        <v>1000.0</v>
      </c>
      <c r="H120" s="19">
        <f t="shared" si="48"/>
        <v>227530</v>
      </c>
      <c r="I120" s="19">
        <f>H120+P120</f>
        <v>226320</v>
      </c>
      <c r="J120" s="21">
        <v>227.53</v>
      </c>
      <c r="K120" s="22">
        <f>IFERROR(__xludf.DUMMYFUNCTION("GOOGLEFINANCE(E120,""changepct"")"),-0.1)</f>
        <v>-0.1</v>
      </c>
      <c r="L120" s="24">
        <f>IFERROR(__xludf.DUMMYFUNCTION("googlefinance(E120,""price"")"),226.32)</f>
        <v>226.32</v>
      </c>
      <c r="M120" s="21"/>
      <c r="N120" s="24">
        <f t="shared" si="49"/>
        <v>-1.21</v>
      </c>
      <c r="O120" s="25">
        <f>L120/J120-1</f>
        <v>-0.005317980047</v>
      </c>
      <c r="P120" s="84">
        <f t="shared" si="51"/>
        <v>-1210</v>
      </c>
      <c r="Q120" s="47"/>
      <c r="R120" s="20"/>
      <c r="S120" s="37"/>
      <c r="T120" s="27"/>
      <c r="U120" s="29"/>
      <c r="V120" s="15"/>
      <c r="W120" s="36"/>
      <c r="X120" s="37"/>
      <c r="Y120" s="27"/>
      <c r="Z120" s="15" t="s">
        <v>142</v>
      </c>
      <c r="AA120" s="41">
        <v>45601.0</v>
      </c>
      <c r="AB120" s="21">
        <v>227.53</v>
      </c>
      <c r="AC120" s="20">
        <v>227530.0</v>
      </c>
    </row>
    <row r="121">
      <c r="A121" s="38"/>
      <c r="B121" s="32"/>
      <c r="C121" s="14">
        <f>I121/E196</f>
        <v>0</v>
      </c>
      <c r="D121" s="76" t="s">
        <v>143</v>
      </c>
      <c r="E121" s="15" t="s">
        <v>144</v>
      </c>
      <c r="F121" s="17">
        <v>7.3</v>
      </c>
      <c r="G121" s="18">
        <v>50000.0</v>
      </c>
      <c r="H121" s="19">
        <f t="shared" si="48"/>
        <v>147000</v>
      </c>
      <c r="I121" s="20">
        <v>0.0</v>
      </c>
      <c r="J121" s="21">
        <v>2.94</v>
      </c>
      <c r="K121" s="22">
        <f>IFERROR(__xludf.DUMMYFUNCTION("GOOGLEFINANCE(E121,""changepct"")"),-2.91)</f>
        <v>-2.91</v>
      </c>
      <c r="L121" s="24">
        <f>IFERROR(__xludf.DUMMYFUNCTION("googlefinance(E121,""price"")"),3.0)</f>
        <v>3</v>
      </c>
      <c r="M121" s="21">
        <v>4.4</v>
      </c>
      <c r="N121" s="24">
        <f t="shared" si="49"/>
        <v>0.06</v>
      </c>
      <c r="O121" s="25">
        <f>M121/J121-1</f>
        <v>0.4965986395</v>
      </c>
      <c r="P121" s="84">
        <f t="shared" si="51"/>
        <v>73000</v>
      </c>
      <c r="Q121" s="47"/>
      <c r="R121" s="20"/>
      <c r="S121" s="37"/>
      <c r="T121" s="27"/>
      <c r="U121" s="29"/>
      <c r="V121" s="15" t="s">
        <v>144</v>
      </c>
      <c r="W121" s="36">
        <v>45593.0</v>
      </c>
      <c r="X121" s="37">
        <v>4.4</v>
      </c>
      <c r="Y121" s="27">
        <v>220000.0</v>
      </c>
      <c r="Z121" s="15" t="s">
        <v>144</v>
      </c>
      <c r="AA121" s="41">
        <v>45581.0</v>
      </c>
      <c r="AB121" s="21">
        <v>2.94</v>
      </c>
      <c r="AC121" s="20">
        <v>147000.0</v>
      </c>
    </row>
    <row r="122">
      <c r="A122" s="38"/>
      <c r="B122" s="32"/>
      <c r="C122" s="14">
        <f>I122/E196</f>
        <v>0.002582506565</v>
      </c>
      <c r="D122" s="76" t="s">
        <v>143</v>
      </c>
      <c r="E122" s="15" t="s">
        <v>144</v>
      </c>
      <c r="F122" s="17">
        <v>7.3</v>
      </c>
      <c r="G122" s="18">
        <v>25000.0</v>
      </c>
      <c r="H122" s="19">
        <f t="shared" si="48"/>
        <v>67750</v>
      </c>
      <c r="I122" s="19">
        <f>H122+P122</f>
        <v>75000</v>
      </c>
      <c r="J122" s="21">
        <v>2.71</v>
      </c>
      <c r="K122" s="22">
        <f>IFERROR(__xludf.DUMMYFUNCTION("GOOGLEFINANCE(E122,""changepct"")"),-2.91)</f>
        <v>-2.91</v>
      </c>
      <c r="L122" s="24">
        <f>IFERROR(__xludf.DUMMYFUNCTION("googlefinance(E122,""price"")"),3.0)</f>
        <v>3</v>
      </c>
      <c r="M122" s="21"/>
      <c r="N122" s="24">
        <f t="shared" si="49"/>
        <v>0.29</v>
      </c>
      <c r="O122" s="25">
        <f>L122/J122-1</f>
        <v>0.1070110701</v>
      </c>
      <c r="P122" s="84">
        <f t="shared" si="51"/>
        <v>7250</v>
      </c>
      <c r="Q122" s="47"/>
      <c r="R122" s="20"/>
      <c r="S122" s="37"/>
      <c r="T122" s="27"/>
      <c r="U122" s="29"/>
      <c r="V122" s="15"/>
      <c r="W122" s="36"/>
      <c r="X122" s="37"/>
      <c r="Y122" s="27"/>
      <c r="Z122" s="15" t="s">
        <v>144</v>
      </c>
      <c r="AA122" s="41">
        <v>45574.0</v>
      </c>
      <c r="AB122" s="21">
        <v>2.71</v>
      </c>
      <c r="AC122" s="20">
        <v>203250.0</v>
      </c>
    </row>
    <row r="123">
      <c r="A123" s="38"/>
      <c r="B123" s="32"/>
      <c r="C123" s="14">
        <f>I123/E196</f>
        <v>0</v>
      </c>
      <c r="D123" s="76" t="s">
        <v>143</v>
      </c>
      <c r="E123" s="15" t="s">
        <v>144</v>
      </c>
      <c r="F123" s="17">
        <v>7.3</v>
      </c>
      <c r="G123" s="18">
        <v>50000.0</v>
      </c>
      <c r="H123" s="19">
        <f t="shared" si="48"/>
        <v>135500</v>
      </c>
      <c r="I123" s="20">
        <v>0.0</v>
      </c>
      <c r="J123" s="21">
        <v>2.71</v>
      </c>
      <c r="K123" s="22">
        <f>IFERROR(__xludf.DUMMYFUNCTION("GOOGLEFINANCE(E123,""changepct"")"),-2.91)</f>
        <v>-2.91</v>
      </c>
      <c r="L123" s="24">
        <f>IFERROR(__xludf.DUMMYFUNCTION("googlefinance(E123,""price"")"),3.0)</f>
        <v>3</v>
      </c>
      <c r="M123" s="21">
        <v>4.98</v>
      </c>
      <c r="N123" s="24">
        <f t="shared" si="49"/>
        <v>0.29</v>
      </c>
      <c r="O123" s="25">
        <f t="shared" ref="O123:O128" si="57">M123/J123-1</f>
        <v>0.8376383764</v>
      </c>
      <c r="P123" s="84">
        <f t="shared" si="51"/>
        <v>113500</v>
      </c>
      <c r="Q123" s="47"/>
      <c r="R123" s="20"/>
      <c r="S123" s="37"/>
      <c r="T123" s="27"/>
      <c r="U123" s="29"/>
      <c r="V123" s="15" t="s">
        <v>144</v>
      </c>
      <c r="W123" s="36">
        <v>45594.0</v>
      </c>
      <c r="X123" s="37">
        <v>4.98</v>
      </c>
      <c r="Y123" s="27">
        <v>249000.0</v>
      </c>
      <c r="Z123" s="15"/>
      <c r="AA123" s="41"/>
      <c r="AB123" s="21"/>
      <c r="AC123" s="20"/>
    </row>
    <row r="124">
      <c r="A124" s="38"/>
      <c r="B124" s="32"/>
      <c r="C124" s="14">
        <f>I124/E196</f>
        <v>0</v>
      </c>
      <c r="D124" s="76" t="s">
        <v>143</v>
      </c>
      <c r="E124" s="15" t="s">
        <v>144</v>
      </c>
      <c r="F124" s="17">
        <v>7.3</v>
      </c>
      <c r="G124" s="18">
        <v>125000.0</v>
      </c>
      <c r="H124" s="19">
        <f t="shared" si="48"/>
        <v>337500</v>
      </c>
      <c r="I124" s="20">
        <v>0.0</v>
      </c>
      <c r="J124" s="21">
        <v>2.7</v>
      </c>
      <c r="K124" s="22">
        <f>IFERROR(__xludf.DUMMYFUNCTION("GOOGLEFINANCE(E124,""changepct"")"),-2.91)</f>
        <v>-2.91</v>
      </c>
      <c r="L124" s="24">
        <f>IFERROR(__xludf.DUMMYFUNCTION("googlefinance(E124,""price"")"),3.0)</f>
        <v>3</v>
      </c>
      <c r="M124" s="21">
        <v>3.69</v>
      </c>
      <c r="N124" s="24">
        <f t="shared" si="49"/>
        <v>0.3</v>
      </c>
      <c r="O124" s="25">
        <f t="shared" si="57"/>
        <v>0.3666666667</v>
      </c>
      <c r="P124" s="84">
        <f t="shared" si="51"/>
        <v>123750</v>
      </c>
      <c r="Q124" s="47"/>
      <c r="R124" s="20"/>
      <c r="S124" s="37"/>
      <c r="T124" s="27"/>
      <c r="U124" s="29"/>
      <c r="V124" s="15" t="s">
        <v>144</v>
      </c>
      <c r="W124" s="36">
        <v>45590.0</v>
      </c>
      <c r="X124" s="37">
        <v>3.69</v>
      </c>
      <c r="Y124" s="27">
        <v>461250.0</v>
      </c>
      <c r="Z124" s="15"/>
      <c r="AA124" s="41"/>
      <c r="AB124" s="21"/>
      <c r="AC124" s="20"/>
    </row>
    <row r="125">
      <c r="A125" s="38"/>
      <c r="B125" s="32"/>
      <c r="C125" s="14">
        <f>I125/E196</f>
        <v>0</v>
      </c>
      <c r="D125" s="76" t="s">
        <v>145</v>
      </c>
      <c r="E125" s="15" t="s">
        <v>146</v>
      </c>
      <c r="F125" s="17">
        <v>7.7</v>
      </c>
      <c r="G125" s="18">
        <v>5000.0</v>
      </c>
      <c r="H125" s="19">
        <f t="shared" si="48"/>
        <v>214700</v>
      </c>
      <c r="I125" s="20">
        <v>0.0</v>
      </c>
      <c r="J125" s="21">
        <v>42.94</v>
      </c>
      <c r="K125" s="22">
        <f>IFERROR(__xludf.DUMMYFUNCTION("GOOGLEFINANCE(E125,""changepct"")"),-2.33)</f>
        <v>-2.33</v>
      </c>
      <c r="L125" s="24">
        <f>IFERROR(__xludf.DUMMYFUNCTION("googlefinance(E125,""price"")"),36.47)</f>
        <v>36.47</v>
      </c>
      <c r="M125" s="21">
        <v>37.1</v>
      </c>
      <c r="N125" s="24">
        <f t="shared" si="49"/>
        <v>-6.47</v>
      </c>
      <c r="O125" s="25">
        <f t="shared" si="57"/>
        <v>-0.1360037261</v>
      </c>
      <c r="P125" s="84">
        <f t="shared" si="51"/>
        <v>-29200</v>
      </c>
      <c r="Q125" s="47"/>
      <c r="R125" s="20"/>
      <c r="S125" s="37"/>
      <c r="T125" s="27"/>
      <c r="U125" s="29"/>
      <c r="V125" s="15" t="s">
        <v>146</v>
      </c>
      <c r="W125" s="36">
        <v>45649.0</v>
      </c>
      <c r="X125" s="37">
        <v>37.1</v>
      </c>
      <c r="Y125" s="27">
        <v>185500.0</v>
      </c>
      <c r="Z125" s="15" t="s">
        <v>146</v>
      </c>
      <c r="AA125" s="41">
        <v>45574.0</v>
      </c>
      <c r="AB125" s="21">
        <v>42.94</v>
      </c>
      <c r="AC125" s="20">
        <v>214700.0</v>
      </c>
    </row>
    <row r="126">
      <c r="A126" s="38"/>
      <c r="B126" s="32"/>
      <c r="C126" s="14">
        <f>I126/E196</f>
        <v>0</v>
      </c>
      <c r="D126" s="76" t="s">
        <v>145</v>
      </c>
      <c r="E126" s="15" t="s">
        <v>146</v>
      </c>
      <c r="F126" s="17">
        <v>7.7</v>
      </c>
      <c r="G126" s="18">
        <v>10000.0</v>
      </c>
      <c r="H126" s="19">
        <f t="shared" si="48"/>
        <v>416800</v>
      </c>
      <c r="I126" s="20">
        <v>0.0</v>
      </c>
      <c r="J126" s="21">
        <v>41.68</v>
      </c>
      <c r="K126" s="22">
        <f>IFERROR(__xludf.DUMMYFUNCTION("GOOGLEFINANCE(E126,""changepct"")"),-2.33)</f>
        <v>-2.33</v>
      </c>
      <c r="L126" s="24">
        <f>IFERROR(__xludf.DUMMYFUNCTION("googlefinance(E126,""price"")"),36.47)</f>
        <v>36.47</v>
      </c>
      <c r="M126" s="21">
        <v>37.1</v>
      </c>
      <c r="N126" s="24">
        <f t="shared" si="49"/>
        <v>-5.21</v>
      </c>
      <c r="O126" s="25">
        <f t="shared" si="57"/>
        <v>-0.1098848369</v>
      </c>
      <c r="P126" s="84">
        <f t="shared" si="51"/>
        <v>-45800</v>
      </c>
      <c r="Q126" s="47"/>
      <c r="R126" s="20"/>
      <c r="S126" s="37"/>
      <c r="T126" s="27"/>
      <c r="U126" s="29"/>
      <c r="V126" s="15" t="s">
        <v>146</v>
      </c>
      <c r="W126" s="36">
        <v>45649.0</v>
      </c>
      <c r="X126" s="37">
        <v>37.1</v>
      </c>
      <c r="Y126" s="27">
        <v>371000.0</v>
      </c>
      <c r="Z126" s="15"/>
      <c r="AA126" s="41"/>
      <c r="AB126" s="21"/>
      <c r="AC126" s="20"/>
    </row>
    <row r="127">
      <c r="A127" s="38"/>
      <c r="B127" s="32"/>
      <c r="C127" s="14">
        <f>I127/E196</f>
        <v>0</v>
      </c>
      <c r="D127" s="76" t="s">
        <v>147</v>
      </c>
      <c r="E127" s="15" t="s">
        <v>148</v>
      </c>
      <c r="F127" s="17">
        <v>7.8</v>
      </c>
      <c r="G127" s="18">
        <v>2500.0</v>
      </c>
      <c r="H127" s="19">
        <f t="shared" si="48"/>
        <v>252150</v>
      </c>
      <c r="I127" s="20">
        <v>0.0</v>
      </c>
      <c r="J127" s="21">
        <v>100.86</v>
      </c>
      <c r="K127" s="22">
        <f>IFERROR(__xludf.DUMMYFUNCTION("GOOGLEFINANCE(E127,""changepct"")"),-2.44)</f>
        <v>-2.44</v>
      </c>
      <c r="L127" s="24">
        <f>IFERROR(__xludf.DUMMYFUNCTION("googlefinance(E127,""price"")"),86.14)</f>
        <v>86.14</v>
      </c>
      <c r="M127" s="21">
        <v>98.0</v>
      </c>
      <c r="N127" s="24">
        <f t="shared" si="49"/>
        <v>-14.72</v>
      </c>
      <c r="O127" s="25">
        <f t="shared" si="57"/>
        <v>-0.02835613722</v>
      </c>
      <c r="P127" s="84">
        <f t="shared" si="51"/>
        <v>-7150</v>
      </c>
      <c r="Q127" s="47"/>
      <c r="R127" s="20"/>
      <c r="S127" s="37"/>
      <c r="T127" s="27"/>
      <c r="U127" s="29"/>
      <c r="V127" s="15" t="s">
        <v>148</v>
      </c>
      <c r="W127" s="36">
        <v>45604.0</v>
      </c>
      <c r="X127" s="37">
        <v>98.0</v>
      </c>
      <c r="Y127" s="27">
        <v>245000.0</v>
      </c>
      <c r="Z127" s="15" t="s">
        <v>148</v>
      </c>
      <c r="AA127" s="41">
        <v>45574.0</v>
      </c>
      <c r="AB127" s="21">
        <v>100.86</v>
      </c>
      <c r="AC127" s="20">
        <v>252150.0</v>
      </c>
    </row>
    <row r="128">
      <c r="A128" s="38"/>
      <c r="B128" s="32"/>
      <c r="C128" s="14">
        <f>I128/E196</f>
        <v>0</v>
      </c>
      <c r="D128" s="76" t="s">
        <v>147</v>
      </c>
      <c r="E128" s="15" t="s">
        <v>148</v>
      </c>
      <c r="F128" s="17">
        <v>7.8</v>
      </c>
      <c r="G128" s="18">
        <v>5000.0</v>
      </c>
      <c r="H128" s="19">
        <f t="shared" si="48"/>
        <v>473550</v>
      </c>
      <c r="I128" s="20">
        <v>0.0</v>
      </c>
      <c r="J128" s="21">
        <v>94.71</v>
      </c>
      <c r="K128" s="22">
        <f>IFERROR(__xludf.DUMMYFUNCTION("GOOGLEFINANCE(E128,""changepct"")"),-2.44)</f>
        <v>-2.44</v>
      </c>
      <c r="L128" s="24">
        <f>IFERROR(__xludf.DUMMYFUNCTION("googlefinance(E128,""price"")"),86.14)</f>
        <v>86.14</v>
      </c>
      <c r="M128" s="21">
        <v>102.0</v>
      </c>
      <c r="N128" s="24">
        <f t="shared" si="49"/>
        <v>-8.57</v>
      </c>
      <c r="O128" s="25">
        <f t="shared" si="57"/>
        <v>0.07697180868</v>
      </c>
      <c r="P128" s="84">
        <f t="shared" si="51"/>
        <v>36450</v>
      </c>
      <c r="Q128" s="47">
        <v>0.015</v>
      </c>
      <c r="R128" s="20"/>
      <c r="S128" s="37"/>
      <c r="T128" s="27"/>
      <c r="U128" s="29"/>
      <c r="V128" s="15" t="s">
        <v>148</v>
      </c>
      <c r="W128" s="36">
        <v>45631.0</v>
      </c>
      <c r="X128" s="37">
        <v>102.0</v>
      </c>
      <c r="Y128" s="27">
        <v>510000.0</v>
      </c>
      <c r="Z128" s="15"/>
      <c r="AA128" s="41"/>
      <c r="AB128" s="21"/>
      <c r="AC128" s="20"/>
    </row>
    <row r="129">
      <c r="A129" s="48"/>
      <c r="B129" s="6"/>
      <c r="C129" s="6" t="s">
        <v>89</v>
      </c>
      <c r="D129" s="6"/>
      <c r="E129" s="6"/>
      <c r="F129" s="6"/>
      <c r="G129" s="69"/>
      <c r="H129" s="49">
        <f t="shared" ref="H129:I129" si="58">SUM(H107:H128)</f>
        <v>5734950</v>
      </c>
      <c r="I129" s="50">
        <f t="shared" si="58"/>
        <v>2179695</v>
      </c>
      <c r="J129" s="8"/>
      <c r="K129" s="8"/>
      <c r="L129" s="8"/>
      <c r="M129" s="10"/>
      <c r="N129" s="10"/>
      <c r="O129" s="51">
        <f>(P129+T129+U129+R129)/H129</f>
        <v>0.1482410483</v>
      </c>
      <c r="P129" s="50">
        <f>SUM(P107:P128)</f>
        <v>850155</v>
      </c>
      <c r="Q129" s="6"/>
      <c r="R129" s="49">
        <f>SUM(R107:R128)</f>
        <v>0</v>
      </c>
      <c r="S129" s="10"/>
      <c r="T129" s="11">
        <f t="shared" ref="T129:U129" si="59">SUM(T107:T128)</f>
        <v>0</v>
      </c>
      <c r="U129" s="11">
        <f t="shared" si="59"/>
        <v>0</v>
      </c>
      <c r="V129" s="6" t="s">
        <v>89</v>
      </c>
      <c r="W129" s="53"/>
      <c r="X129" s="54"/>
      <c r="Y129" s="49">
        <f>SUM(Y107:Y128)</f>
        <v>4405410</v>
      </c>
      <c r="Z129" s="6" t="s">
        <v>89</v>
      </c>
      <c r="AA129" s="53"/>
      <c r="AB129" s="54"/>
      <c r="AC129" s="49">
        <f>SUM(AC107:AC128)</f>
        <v>3870550</v>
      </c>
    </row>
    <row r="130">
      <c r="A130" s="55"/>
      <c r="B130" s="5" t="s">
        <v>149</v>
      </c>
      <c r="C130" s="6" t="s">
        <v>2</v>
      </c>
      <c r="D130" s="6" t="s">
        <v>150</v>
      </c>
      <c r="E130" s="6" t="s">
        <v>4</v>
      </c>
      <c r="F130" s="6" t="s">
        <v>5</v>
      </c>
      <c r="G130" s="6" t="s">
        <v>6</v>
      </c>
      <c r="H130" s="6" t="s">
        <v>7</v>
      </c>
      <c r="I130" s="7" t="s">
        <v>8</v>
      </c>
      <c r="J130" s="7" t="s">
        <v>9</v>
      </c>
      <c r="K130" s="8" t="s">
        <v>10</v>
      </c>
      <c r="L130" s="8" t="s">
        <v>11</v>
      </c>
      <c r="M130" s="9" t="s">
        <v>12</v>
      </c>
      <c r="N130" s="10" t="s">
        <v>13</v>
      </c>
      <c r="O130" s="6" t="s">
        <v>14</v>
      </c>
      <c r="P130" s="10" t="s">
        <v>15</v>
      </c>
      <c r="Q130" s="6" t="s">
        <v>16</v>
      </c>
      <c r="R130" s="6" t="s">
        <v>17</v>
      </c>
      <c r="S130" s="9" t="s">
        <v>18</v>
      </c>
      <c r="T130" s="5" t="s">
        <v>19</v>
      </c>
      <c r="U130" s="5" t="s">
        <v>91</v>
      </c>
      <c r="V130" s="6" t="s">
        <v>21</v>
      </c>
      <c r="W130" s="6" t="s">
        <v>22</v>
      </c>
      <c r="X130" s="12" t="s">
        <v>23</v>
      </c>
      <c r="Y130" s="12" t="s">
        <v>24</v>
      </c>
      <c r="Z130" s="6" t="s">
        <v>25</v>
      </c>
      <c r="AA130" s="6" t="s">
        <v>26</v>
      </c>
      <c r="AB130" s="6" t="s">
        <v>27</v>
      </c>
      <c r="AC130" s="6" t="s">
        <v>28</v>
      </c>
    </row>
    <row r="131">
      <c r="A131" s="56" t="s">
        <v>29</v>
      </c>
      <c r="B131" s="57">
        <f>I161/E196</f>
        <v>0.1954683724</v>
      </c>
      <c r="C131" s="14">
        <f>I131/E196</f>
        <v>0.0226055408</v>
      </c>
      <c r="D131" s="16" t="s">
        <v>151</v>
      </c>
      <c r="E131" s="16" t="s">
        <v>152</v>
      </c>
      <c r="F131" s="17">
        <v>8.5</v>
      </c>
      <c r="G131" s="85">
        <v>250.0</v>
      </c>
      <c r="H131" s="19">
        <f t="shared" ref="H131:H160" si="60">G131*J131</f>
        <v>660500</v>
      </c>
      <c r="I131" s="19">
        <f t="shared" ref="I131:I137" si="61">H131+P131</f>
        <v>656500</v>
      </c>
      <c r="J131" s="21">
        <v>2642.0</v>
      </c>
      <c r="K131" s="86"/>
      <c r="L131" s="87">
        <v>2626.0</v>
      </c>
      <c r="M131" s="88"/>
      <c r="N131" s="88">
        <f t="shared" ref="N131:N160" si="62">L131-J131</f>
        <v>-16</v>
      </c>
      <c r="O131" s="25">
        <f t="shared" ref="O131:O137" si="63">L131/J131-1</f>
        <v>-0.006056018168</v>
      </c>
      <c r="P131" s="84">
        <f t="shared" ref="P131:P160" si="64">H131*O131</f>
        <v>-4000</v>
      </c>
      <c r="Q131" s="34"/>
      <c r="R131" s="29"/>
      <c r="S131" s="37"/>
      <c r="T131" s="29"/>
      <c r="U131" s="16"/>
      <c r="V131" s="16"/>
      <c r="W131" s="32"/>
      <c r="X131" s="31"/>
      <c r="Y131" s="29"/>
      <c r="Z131" s="16"/>
      <c r="AA131" s="32"/>
      <c r="AB131" s="31"/>
      <c r="AC131" s="29"/>
    </row>
    <row r="132">
      <c r="A132" s="89" t="s">
        <v>153</v>
      </c>
      <c r="B132" s="90">
        <f>I131+I132</f>
        <v>952300</v>
      </c>
      <c r="C132" s="14">
        <f>I132/E196</f>
        <v>0.01018540589</v>
      </c>
      <c r="D132" s="16" t="s">
        <v>154</v>
      </c>
      <c r="E132" s="16" t="s">
        <v>155</v>
      </c>
      <c r="F132" s="17">
        <v>8.4</v>
      </c>
      <c r="G132" s="85">
        <v>10000.0</v>
      </c>
      <c r="H132" s="19">
        <f t="shared" si="60"/>
        <v>315400</v>
      </c>
      <c r="I132" s="19">
        <f t="shared" si="61"/>
        <v>295800</v>
      </c>
      <c r="J132" s="21">
        <v>31.54</v>
      </c>
      <c r="K132" s="86"/>
      <c r="L132" s="91">
        <v>29.58</v>
      </c>
      <c r="M132" s="24"/>
      <c r="N132" s="24">
        <f t="shared" si="62"/>
        <v>-1.96</v>
      </c>
      <c r="O132" s="25">
        <f t="shared" si="63"/>
        <v>-0.06214331008</v>
      </c>
      <c r="P132" s="19">
        <f t="shared" si="64"/>
        <v>-19600</v>
      </c>
      <c r="Q132" s="34"/>
      <c r="R132" s="29"/>
      <c r="S132" s="37"/>
      <c r="T132" s="29"/>
      <c r="U132" s="16"/>
      <c r="V132" s="16"/>
      <c r="W132" s="32"/>
      <c r="X132" s="31"/>
      <c r="Y132" s="29"/>
      <c r="Z132" s="16"/>
      <c r="AA132" s="32"/>
      <c r="AB132" s="31"/>
      <c r="AC132" s="29"/>
    </row>
    <row r="133">
      <c r="A133" s="89" t="s">
        <v>156</v>
      </c>
      <c r="B133" s="92">
        <f>B132/E196</f>
        <v>0.0327909467</v>
      </c>
      <c r="C133" s="14">
        <f>I133/E196</f>
        <v>0.008721124671</v>
      </c>
      <c r="D133" s="15" t="s">
        <v>157</v>
      </c>
      <c r="E133" s="16" t="s">
        <v>158</v>
      </c>
      <c r="F133" s="17">
        <v>7.9</v>
      </c>
      <c r="G133" s="18">
        <v>7500.0</v>
      </c>
      <c r="H133" s="19">
        <f t="shared" si="60"/>
        <v>298650</v>
      </c>
      <c r="I133" s="19">
        <f t="shared" si="61"/>
        <v>253275</v>
      </c>
      <c r="J133" s="21">
        <v>39.82</v>
      </c>
      <c r="K133" s="93">
        <f>IFERROR(__xludf.DUMMYFUNCTION("GOOGLEFINANCE(E133,""changepct"")"),-1.43)</f>
        <v>-1.43</v>
      </c>
      <c r="L133" s="23">
        <f>IFERROR(__xludf.DUMMYFUNCTION("googlefinance(E133,""price"")"),33.77)</f>
        <v>33.77</v>
      </c>
      <c r="M133" s="24"/>
      <c r="N133" s="24">
        <f t="shared" si="62"/>
        <v>-6.05</v>
      </c>
      <c r="O133" s="25">
        <f t="shared" si="63"/>
        <v>-0.1519337017</v>
      </c>
      <c r="P133" s="19">
        <f t="shared" si="64"/>
        <v>-45375</v>
      </c>
      <c r="Q133" s="47">
        <v>0.016</v>
      </c>
      <c r="R133" s="20"/>
      <c r="S133" s="31"/>
      <c r="T133" s="29"/>
      <c r="U133" s="16"/>
      <c r="V133" s="16"/>
      <c r="W133" s="30"/>
      <c r="X133" s="31"/>
      <c r="Y133" s="29"/>
      <c r="Z133" s="16"/>
      <c r="AA133" s="32"/>
      <c r="AB133" s="31"/>
      <c r="AC133" s="29"/>
    </row>
    <row r="134">
      <c r="A134" s="89" t="s">
        <v>159</v>
      </c>
      <c r="B134" s="90">
        <f>I134+I133+I160+I143+I139+I135+I151+I158+I154+I148+I149+I138+I140+I141+I145+I136+I137+I146+I152+I155+I145+I150+I156+I144+I142+I157+I159</f>
        <v>4724405</v>
      </c>
      <c r="C134" s="14">
        <f>I134/E196</f>
        <v>0.005828889485</v>
      </c>
      <c r="D134" s="16" t="s">
        <v>160</v>
      </c>
      <c r="E134" s="16" t="s">
        <v>161</v>
      </c>
      <c r="F134" s="17">
        <v>7.8</v>
      </c>
      <c r="G134" s="18">
        <v>4000.0</v>
      </c>
      <c r="H134" s="19">
        <f t="shared" si="60"/>
        <v>195240</v>
      </c>
      <c r="I134" s="19">
        <f t="shared" si="61"/>
        <v>169280</v>
      </c>
      <c r="J134" s="21">
        <v>48.81</v>
      </c>
      <c r="K134" s="93">
        <f>IFERROR(__xludf.DUMMYFUNCTION("GOOGLEFINANCE(E134,""changepct"")"),-1.7)</f>
        <v>-1.7</v>
      </c>
      <c r="L134" s="23">
        <f>IFERROR(__xludf.DUMMYFUNCTION("googlefinance(E134,""price"")"),42.32)</f>
        <v>42.32</v>
      </c>
      <c r="M134" s="24"/>
      <c r="N134" s="24">
        <f t="shared" si="62"/>
        <v>-6.49</v>
      </c>
      <c r="O134" s="25">
        <f t="shared" si="63"/>
        <v>-0.1329645564</v>
      </c>
      <c r="P134" s="19">
        <f t="shared" si="64"/>
        <v>-25960</v>
      </c>
      <c r="Q134" s="47"/>
      <c r="R134" s="20"/>
      <c r="S134" s="31"/>
      <c r="T134" s="29"/>
      <c r="U134" s="16"/>
      <c r="V134" s="16"/>
      <c r="W134" s="30"/>
      <c r="X134" s="31"/>
      <c r="Y134" s="29"/>
      <c r="Z134" s="16"/>
      <c r="AA134" s="32"/>
      <c r="AB134" s="31"/>
      <c r="AC134" s="29"/>
    </row>
    <row r="135">
      <c r="A135" s="89" t="s">
        <v>162</v>
      </c>
      <c r="B135" s="92">
        <f>B134/E196</f>
        <v>0.1626774257</v>
      </c>
      <c r="C135" s="14">
        <f>I135/E196</f>
        <v>0.01340320907</v>
      </c>
      <c r="D135" s="15" t="s">
        <v>163</v>
      </c>
      <c r="E135" s="16" t="s">
        <v>164</v>
      </c>
      <c r="F135" s="17">
        <v>8.1</v>
      </c>
      <c r="G135" s="18">
        <v>5000.0</v>
      </c>
      <c r="H135" s="19">
        <f t="shared" si="60"/>
        <v>402800</v>
      </c>
      <c r="I135" s="19">
        <f t="shared" si="61"/>
        <v>389250</v>
      </c>
      <c r="J135" s="21">
        <v>80.56</v>
      </c>
      <c r="K135" s="93">
        <f>IFERROR(__xludf.DUMMYFUNCTION("GOOGLEFINANCE(E135,""changepct"")"),-1.02)</f>
        <v>-1.02</v>
      </c>
      <c r="L135" s="23">
        <f>IFERROR(__xludf.DUMMYFUNCTION("googlefinance(E135,""price"")"),77.85)</f>
        <v>77.85</v>
      </c>
      <c r="M135" s="24"/>
      <c r="N135" s="24">
        <f t="shared" si="62"/>
        <v>-2.71</v>
      </c>
      <c r="O135" s="25">
        <f t="shared" si="63"/>
        <v>-0.03363952334</v>
      </c>
      <c r="P135" s="19">
        <f t="shared" si="64"/>
        <v>-13550</v>
      </c>
      <c r="Q135" s="47">
        <v>0.032</v>
      </c>
      <c r="R135" s="20"/>
      <c r="S135" s="31"/>
      <c r="T135" s="29"/>
      <c r="U135" s="16"/>
      <c r="V135" s="16"/>
      <c r="W135" s="32"/>
      <c r="X135" s="31"/>
      <c r="Y135" s="29"/>
      <c r="Z135" s="15"/>
      <c r="AA135" s="36"/>
      <c r="AB135" s="37"/>
      <c r="AC135" s="27"/>
    </row>
    <row r="136">
      <c r="A136" s="38"/>
      <c r="B136" s="32"/>
      <c r="C136" s="14">
        <f>I136/E196</f>
        <v>0.006701604537</v>
      </c>
      <c r="D136" s="15" t="s">
        <v>165</v>
      </c>
      <c r="E136" s="16" t="s">
        <v>164</v>
      </c>
      <c r="F136" s="17">
        <v>8.1</v>
      </c>
      <c r="G136" s="18">
        <v>2500.0</v>
      </c>
      <c r="H136" s="19">
        <f t="shared" si="60"/>
        <v>208500</v>
      </c>
      <c r="I136" s="19">
        <f t="shared" si="61"/>
        <v>194625</v>
      </c>
      <c r="J136" s="21">
        <v>83.4</v>
      </c>
      <c r="K136" s="93">
        <f>IFERROR(__xludf.DUMMYFUNCTION("GOOGLEFINANCE(E136,""changepct"")"),-1.02)</f>
        <v>-1.02</v>
      </c>
      <c r="L136" s="23">
        <f>IFERROR(__xludf.DUMMYFUNCTION("googlefinance(E136,""price"")"),77.85)</f>
        <v>77.85</v>
      </c>
      <c r="M136" s="21"/>
      <c r="N136" s="24">
        <f t="shared" si="62"/>
        <v>-5.55</v>
      </c>
      <c r="O136" s="25">
        <f t="shared" si="63"/>
        <v>-0.06654676259</v>
      </c>
      <c r="P136" s="19">
        <f t="shared" si="64"/>
        <v>-13875</v>
      </c>
      <c r="Q136" s="47"/>
      <c r="R136" s="20"/>
      <c r="S136" s="31"/>
      <c r="T136" s="29"/>
      <c r="U136" s="16"/>
      <c r="V136" s="15"/>
      <c r="W136" s="36"/>
      <c r="X136" s="37"/>
      <c r="Y136" s="27"/>
      <c r="Z136" s="15" t="s">
        <v>164</v>
      </c>
      <c r="AA136" s="36">
        <v>45602.0</v>
      </c>
      <c r="AB136" s="37">
        <v>83.4</v>
      </c>
      <c r="AC136" s="27">
        <v>208500.0</v>
      </c>
    </row>
    <row r="137">
      <c r="A137" s="38"/>
      <c r="B137" s="32"/>
      <c r="C137" s="14">
        <f>I137/E196</f>
        <v>0.006701604537</v>
      </c>
      <c r="D137" s="15" t="s">
        <v>165</v>
      </c>
      <c r="E137" s="16" t="s">
        <v>164</v>
      </c>
      <c r="F137" s="17">
        <v>8.1</v>
      </c>
      <c r="G137" s="18">
        <v>2500.0</v>
      </c>
      <c r="H137" s="19">
        <f t="shared" si="60"/>
        <v>195500</v>
      </c>
      <c r="I137" s="19">
        <f t="shared" si="61"/>
        <v>194625</v>
      </c>
      <c r="J137" s="21">
        <v>78.2</v>
      </c>
      <c r="K137" s="93">
        <f>IFERROR(__xludf.DUMMYFUNCTION("GOOGLEFINANCE(E137,""changepct"")"),-1.02)</f>
        <v>-1.02</v>
      </c>
      <c r="L137" s="23">
        <f>IFERROR(__xludf.DUMMYFUNCTION("googlefinance(E137,""price"")"),77.85)</f>
        <v>77.85</v>
      </c>
      <c r="M137" s="21"/>
      <c r="N137" s="24">
        <f t="shared" si="62"/>
        <v>-0.35</v>
      </c>
      <c r="O137" s="25">
        <f t="shared" si="63"/>
        <v>-0.004475703325</v>
      </c>
      <c r="P137" s="19">
        <f t="shared" si="64"/>
        <v>-875</v>
      </c>
      <c r="Q137" s="47"/>
      <c r="R137" s="20"/>
      <c r="S137" s="31"/>
      <c r="T137" s="29"/>
      <c r="U137" s="16"/>
      <c r="V137" s="15"/>
      <c r="W137" s="36"/>
      <c r="X137" s="37"/>
      <c r="Y137" s="27"/>
      <c r="Z137" s="15" t="s">
        <v>164</v>
      </c>
      <c r="AA137" s="36">
        <v>45607.0</v>
      </c>
      <c r="AB137" s="37">
        <v>78.2</v>
      </c>
      <c r="AC137" s="27">
        <v>195500.0</v>
      </c>
    </row>
    <row r="138">
      <c r="A138" s="38"/>
      <c r="B138" s="32"/>
      <c r="C138" s="14">
        <f>I138/E196</f>
        <v>0</v>
      </c>
      <c r="D138" s="15" t="s">
        <v>165</v>
      </c>
      <c r="E138" s="16" t="s">
        <v>164</v>
      </c>
      <c r="F138" s="17">
        <v>8.1</v>
      </c>
      <c r="G138" s="18">
        <v>5000.0</v>
      </c>
      <c r="H138" s="19">
        <f t="shared" si="60"/>
        <v>391750</v>
      </c>
      <c r="I138" s="20">
        <v>0.0</v>
      </c>
      <c r="J138" s="21">
        <v>78.35</v>
      </c>
      <c r="K138" s="93">
        <f>IFERROR(__xludf.DUMMYFUNCTION("GOOGLEFINANCE(E138,""changepct"")"),-1.02)</f>
        <v>-1.02</v>
      </c>
      <c r="L138" s="23">
        <f>IFERROR(__xludf.DUMMYFUNCTION("googlefinance(E138,""price"")"),77.85)</f>
        <v>77.85</v>
      </c>
      <c r="M138" s="21">
        <v>86.85</v>
      </c>
      <c r="N138" s="24">
        <f t="shared" si="62"/>
        <v>-0.5</v>
      </c>
      <c r="O138" s="25">
        <f>M138/J138-1</f>
        <v>0.1084875558</v>
      </c>
      <c r="P138" s="19">
        <f t="shared" si="64"/>
        <v>42500</v>
      </c>
      <c r="Q138" s="47">
        <v>0.032</v>
      </c>
      <c r="R138" s="20"/>
      <c r="S138" s="31"/>
      <c r="T138" s="29"/>
      <c r="U138" s="16"/>
      <c r="V138" s="15" t="s">
        <v>164</v>
      </c>
      <c r="W138" s="36">
        <v>45586.0</v>
      </c>
      <c r="X138" s="37">
        <v>86.85</v>
      </c>
      <c r="Y138" s="27">
        <v>434250.0</v>
      </c>
      <c r="Z138" s="15" t="s">
        <v>164</v>
      </c>
      <c r="AA138" s="36">
        <v>45575.0</v>
      </c>
      <c r="AB138" s="37">
        <v>78.35</v>
      </c>
      <c r="AC138" s="27">
        <v>391750.0</v>
      </c>
    </row>
    <row r="139">
      <c r="A139" s="38"/>
      <c r="B139" s="32"/>
      <c r="C139" s="14">
        <f>I139/E196</f>
        <v>0.007893861735</v>
      </c>
      <c r="D139" s="16" t="s">
        <v>166</v>
      </c>
      <c r="E139" s="16" t="s">
        <v>167</v>
      </c>
      <c r="F139" s="17">
        <v>8.0</v>
      </c>
      <c r="G139" s="18">
        <v>25000.0</v>
      </c>
      <c r="H139" s="19">
        <f t="shared" si="60"/>
        <v>234000</v>
      </c>
      <c r="I139" s="19">
        <f t="shared" ref="I139:I144" si="65">H139+P139</f>
        <v>229250</v>
      </c>
      <c r="J139" s="21">
        <v>9.36</v>
      </c>
      <c r="K139" s="93">
        <f>IFERROR(__xludf.DUMMYFUNCTION("GOOGLEFINANCE(E139,""changepct"")"),-1.5)</f>
        <v>-1.5</v>
      </c>
      <c r="L139" s="23">
        <f>IFERROR(__xludf.DUMMYFUNCTION("googlefinance(E139,""price"")"),9.17)</f>
        <v>9.17</v>
      </c>
      <c r="M139" s="24"/>
      <c r="N139" s="24">
        <f t="shared" si="62"/>
        <v>-0.19</v>
      </c>
      <c r="O139" s="25">
        <f t="shared" ref="O139:O144" si="66">L139/J139-1</f>
        <v>-0.0202991453</v>
      </c>
      <c r="P139" s="19">
        <f t="shared" si="64"/>
        <v>-4750</v>
      </c>
      <c r="Q139" s="47">
        <v>0.028</v>
      </c>
      <c r="R139" s="20"/>
      <c r="S139" s="37"/>
      <c r="T139" s="27">
        <v>2250.0</v>
      </c>
      <c r="U139" s="16"/>
      <c r="V139" s="16"/>
      <c r="W139" s="32"/>
      <c r="X139" s="31"/>
      <c r="Y139" s="29"/>
      <c r="Z139" s="15"/>
      <c r="AA139" s="36"/>
      <c r="AB139" s="37"/>
      <c r="AC139" s="27"/>
    </row>
    <row r="140">
      <c r="A140" s="38"/>
      <c r="B140" s="32"/>
      <c r="C140" s="14">
        <f>I140/E196</f>
        <v>0.01274036572</v>
      </c>
      <c r="D140" s="15" t="s">
        <v>168</v>
      </c>
      <c r="E140" s="15" t="s">
        <v>169</v>
      </c>
      <c r="F140" s="17">
        <v>8.1</v>
      </c>
      <c r="G140" s="18">
        <v>10000.0</v>
      </c>
      <c r="H140" s="19">
        <f t="shared" si="60"/>
        <v>484200</v>
      </c>
      <c r="I140" s="19">
        <f t="shared" si="65"/>
        <v>370000</v>
      </c>
      <c r="J140" s="21">
        <v>48.42</v>
      </c>
      <c r="K140" s="93">
        <f>IFERROR(__xludf.DUMMYFUNCTION("GOOGLEFINANCE(E140,""changepct"")"),-2.22)</f>
        <v>-2.22</v>
      </c>
      <c r="L140" s="23">
        <f>IFERROR(__xludf.DUMMYFUNCTION("googlefinance(E140,""price"")"),37.0)</f>
        <v>37</v>
      </c>
      <c r="M140" s="24"/>
      <c r="N140" s="24">
        <f t="shared" si="62"/>
        <v>-11.42</v>
      </c>
      <c r="O140" s="25">
        <f t="shared" si="66"/>
        <v>-0.2358529533</v>
      </c>
      <c r="P140" s="19">
        <f t="shared" si="64"/>
        <v>-114200</v>
      </c>
      <c r="Q140" s="47">
        <v>0.021</v>
      </c>
      <c r="R140" s="20"/>
      <c r="S140" s="31"/>
      <c r="T140" s="29"/>
      <c r="U140" s="16"/>
      <c r="V140" s="16"/>
      <c r="W140" s="30"/>
      <c r="X140" s="31"/>
      <c r="Y140" s="29"/>
      <c r="Z140" s="15" t="s">
        <v>169</v>
      </c>
      <c r="AA140" s="41">
        <v>45593.0</v>
      </c>
      <c r="AB140" s="21">
        <v>48.42</v>
      </c>
      <c r="AC140" s="20">
        <v>484200.0</v>
      </c>
    </row>
    <row r="141">
      <c r="A141" s="38"/>
      <c r="B141" s="32"/>
      <c r="C141" s="14">
        <f>I141/E196</f>
        <v>0.01274036572</v>
      </c>
      <c r="D141" s="15" t="s">
        <v>170</v>
      </c>
      <c r="E141" s="15" t="s">
        <v>169</v>
      </c>
      <c r="F141" s="17">
        <v>8.1</v>
      </c>
      <c r="G141" s="18">
        <v>10000.0</v>
      </c>
      <c r="H141" s="19">
        <f t="shared" si="60"/>
        <v>445200</v>
      </c>
      <c r="I141" s="19">
        <f t="shared" si="65"/>
        <v>370000</v>
      </c>
      <c r="J141" s="21">
        <v>44.52</v>
      </c>
      <c r="K141" s="93">
        <f>IFERROR(__xludf.DUMMYFUNCTION("GOOGLEFINANCE(E141,""changepct"")"),-2.22)</f>
        <v>-2.22</v>
      </c>
      <c r="L141" s="23">
        <f>IFERROR(__xludf.DUMMYFUNCTION("googlefinance(E141,""price"")"),37.0)</f>
        <v>37</v>
      </c>
      <c r="M141" s="24"/>
      <c r="N141" s="24">
        <f t="shared" si="62"/>
        <v>-7.52</v>
      </c>
      <c r="O141" s="25">
        <f t="shared" si="66"/>
        <v>-0.1689128482</v>
      </c>
      <c r="P141" s="19">
        <f t="shared" si="64"/>
        <v>-75200</v>
      </c>
      <c r="Q141" s="47"/>
      <c r="R141" s="20"/>
      <c r="S141" s="31"/>
      <c r="T141" s="29"/>
      <c r="U141" s="16"/>
      <c r="V141" s="16"/>
      <c r="W141" s="30"/>
      <c r="X141" s="31"/>
      <c r="Y141" s="29"/>
      <c r="Z141" s="15" t="s">
        <v>169</v>
      </c>
      <c r="AA141" s="41">
        <v>45602.0</v>
      </c>
      <c r="AB141" s="21">
        <v>44.52</v>
      </c>
      <c r="AC141" s="20">
        <v>445200.0</v>
      </c>
    </row>
    <row r="142">
      <c r="A142" s="38"/>
      <c r="B142" s="32"/>
      <c r="C142" s="14">
        <f>I142/E196</f>
        <v>0.01274036572</v>
      </c>
      <c r="D142" s="15" t="s">
        <v>170</v>
      </c>
      <c r="E142" s="15" t="s">
        <v>169</v>
      </c>
      <c r="F142" s="17">
        <v>8.1</v>
      </c>
      <c r="G142" s="18">
        <v>10000.0</v>
      </c>
      <c r="H142" s="19">
        <f t="shared" si="60"/>
        <v>372000</v>
      </c>
      <c r="I142" s="19">
        <f t="shared" si="65"/>
        <v>370000</v>
      </c>
      <c r="J142" s="21">
        <v>37.2</v>
      </c>
      <c r="K142" s="93">
        <f>IFERROR(__xludf.DUMMYFUNCTION("GOOGLEFINANCE(E142,""changepct"")"),-2.22)</f>
        <v>-2.22</v>
      </c>
      <c r="L142" s="23">
        <f>IFERROR(__xludf.DUMMYFUNCTION("googlefinance(E142,""price"")"),37.0)</f>
        <v>37</v>
      </c>
      <c r="M142" s="24"/>
      <c r="N142" s="24">
        <f t="shared" si="62"/>
        <v>-0.2</v>
      </c>
      <c r="O142" s="25">
        <f t="shared" si="66"/>
        <v>-0.005376344086</v>
      </c>
      <c r="P142" s="19">
        <f t="shared" si="64"/>
        <v>-2000</v>
      </c>
      <c r="Q142" s="47"/>
      <c r="R142" s="20"/>
      <c r="S142" s="31"/>
      <c r="T142" s="29"/>
      <c r="U142" s="16"/>
      <c r="V142" s="16"/>
      <c r="W142" s="30"/>
      <c r="X142" s="31"/>
      <c r="Y142" s="29"/>
      <c r="Z142" s="15" t="s">
        <v>169</v>
      </c>
      <c r="AA142" s="41">
        <v>45646.0</v>
      </c>
      <c r="AB142" s="21">
        <v>37.2</v>
      </c>
      <c r="AC142" s="20">
        <v>372000.0</v>
      </c>
    </row>
    <row r="143">
      <c r="A143" s="38"/>
      <c r="B143" s="32"/>
      <c r="C143" s="14">
        <f>I143/E196</f>
        <v>0.01064681373</v>
      </c>
      <c r="D143" s="15" t="s">
        <v>171</v>
      </c>
      <c r="E143" s="16" t="s">
        <v>172</v>
      </c>
      <c r="F143" s="17">
        <v>7.8</v>
      </c>
      <c r="G143" s="18">
        <v>20000.0</v>
      </c>
      <c r="H143" s="19">
        <f t="shared" si="60"/>
        <v>397800</v>
      </c>
      <c r="I143" s="19">
        <f t="shared" si="65"/>
        <v>309200</v>
      </c>
      <c r="J143" s="21">
        <v>19.89</v>
      </c>
      <c r="K143" s="93">
        <f>IFERROR(__xludf.DUMMYFUNCTION("GOOGLEFINANCE(E143,""changepct"")"),-1.4)</f>
        <v>-1.4</v>
      </c>
      <c r="L143" s="23">
        <f>IFERROR(__xludf.DUMMYFUNCTION("googlefinance(E143,""price"")"),15.46)</f>
        <v>15.46</v>
      </c>
      <c r="M143" s="24"/>
      <c r="N143" s="24">
        <f t="shared" si="62"/>
        <v>-4.43</v>
      </c>
      <c r="O143" s="25">
        <f t="shared" si="66"/>
        <v>-0.2227249874</v>
      </c>
      <c r="P143" s="19">
        <f t="shared" si="64"/>
        <v>-88600</v>
      </c>
      <c r="Q143" s="47">
        <v>0.03</v>
      </c>
      <c r="R143" s="20"/>
      <c r="S143" s="31"/>
      <c r="T143" s="29"/>
      <c r="U143" s="16"/>
      <c r="V143" s="16"/>
      <c r="W143" s="30"/>
      <c r="X143" s="31"/>
      <c r="Y143" s="29"/>
      <c r="Z143" s="15"/>
      <c r="AA143" s="41"/>
      <c r="AB143" s="21"/>
      <c r="AC143" s="20"/>
    </row>
    <row r="144">
      <c r="A144" s="38"/>
      <c r="B144" s="32"/>
      <c r="C144" s="14">
        <f>I144/E196</f>
        <v>0.01064681373</v>
      </c>
      <c r="D144" s="15" t="s">
        <v>171</v>
      </c>
      <c r="E144" s="16" t="s">
        <v>172</v>
      </c>
      <c r="F144" s="17">
        <v>7.8</v>
      </c>
      <c r="G144" s="18">
        <v>20000.0</v>
      </c>
      <c r="H144" s="19">
        <f t="shared" si="60"/>
        <v>304000</v>
      </c>
      <c r="I144" s="19">
        <f t="shared" si="65"/>
        <v>309200</v>
      </c>
      <c r="J144" s="21">
        <v>15.2</v>
      </c>
      <c r="K144" s="93">
        <f>IFERROR(__xludf.DUMMYFUNCTION("GOOGLEFINANCE(E144,""changepct"")"),-1.4)</f>
        <v>-1.4</v>
      </c>
      <c r="L144" s="23">
        <f>IFERROR(__xludf.DUMMYFUNCTION("googlefinance(E144,""price"")"),15.46)</f>
        <v>15.46</v>
      </c>
      <c r="M144" s="21"/>
      <c r="N144" s="24">
        <f t="shared" si="62"/>
        <v>0.26</v>
      </c>
      <c r="O144" s="25">
        <f t="shared" si="66"/>
        <v>0.01710526316</v>
      </c>
      <c r="P144" s="19">
        <f t="shared" si="64"/>
        <v>5200</v>
      </c>
      <c r="Q144" s="47"/>
      <c r="R144" s="20"/>
      <c r="S144" s="31"/>
      <c r="T144" s="29"/>
      <c r="U144" s="16"/>
      <c r="V144" s="15"/>
      <c r="W144" s="36"/>
      <c r="X144" s="37"/>
      <c r="Y144" s="27"/>
      <c r="Z144" s="15" t="s">
        <v>172</v>
      </c>
      <c r="AA144" s="41">
        <v>45646.0</v>
      </c>
      <c r="AB144" s="21">
        <v>15.2</v>
      </c>
      <c r="AC144" s="20">
        <v>304000.0</v>
      </c>
    </row>
    <row r="145">
      <c r="A145" s="38"/>
      <c r="B145" s="32"/>
      <c r="C145" s="14">
        <f>I145/E196</f>
        <v>0</v>
      </c>
      <c r="D145" s="15" t="s">
        <v>171</v>
      </c>
      <c r="E145" s="16" t="s">
        <v>172</v>
      </c>
      <c r="F145" s="17">
        <v>7.8</v>
      </c>
      <c r="G145" s="18">
        <v>10000.0</v>
      </c>
      <c r="H145" s="19">
        <f t="shared" si="60"/>
        <v>184000</v>
      </c>
      <c r="I145" s="20">
        <v>0.0</v>
      </c>
      <c r="J145" s="21">
        <v>18.4</v>
      </c>
      <c r="K145" s="93">
        <f>IFERROR(__xludf.DUMMYFUNCTION("GOOGLEFINANCE(E145,""changepct"")"),-1.4)</f>
        <v>-1.4</v>
      </c>
      <c r="L145" s="23">
        <f>IFERROR(__xludf.DUMMYFUNCTION("googlefinance(E145,""price"")"),15.46)</f>
        <v>15.46</v>
      </c>
      <c r="M145" s="21">
        <v>16.86</v>
      </c>
      <c r="N145" s="24">
        <f t="shared" si="62"/>
        <v>-2.94</v>
      </c>
      <c r="O145" s="25">
        <f t="shared" ref="O145:O148" si="67">M145/J145-1</f>
        <v>-0.08369565217</v>
      </c>
      <c r="P145" s="19">
        <f t="shared" si="64"/>
        <v>-15400</v>
      </c>
      <c r="Q145" s="47"/>
      <c r="R145" s="20"/>
      <c r="S145" s="31"/>
      <c r="T145" s="29"/>
      <c r="U145" s="16"/>
      <c r="V145" s="15" t="s">
        <v>172</v>
      </c>
      <c r="W145" s="36">
        <v>45631.0</v>
      </c>
      <c r="X145" s="37">
        <v>16.86</v>
      </c>
      <c r="Y145" s="27">
        <v>168600.0</v>
      </c>
      <c r="Z145" s="15" t="s">
        <v>172</v>
      </c>
      <c r="AA145" s="41">
        <v>45602.0</v>
      </c>
      <c r="AB145" s="21">
        <v>18.4</v>
      </c>
      <c r="AC145" s="20">
        <v>184000.0</v>
      </c>
    </row>
    <row r="146">
      <c r="A146" s="38"/>
      <c r="B146" s="32"/>
      <c r="C146" s="14">
        <f>I146/E196</f>
        <v>0</v>
      </c>
      <c r="D146" s="15" t="s">
        <v>171</v>
      </c>
      <c r="E146" s="16" t="s">
        <v>172</v>
      </c>
      <c r="F146" s="17">
        <v>7.8</v>
      </c>
      <c r="G146" s="18">
        <v>10000.0</v>
      </c>
      <c r="H146" s="19">
        <f t="shared" si="60"/>
        <v>174000</v>
      </c>
      <c r="I146" s="20">
        <v>0.0</v>
      </c>
      <c r="J146" s="21">
        <v>17.4</v>
      </c>
      <c r="K146" s="93">
        <f>IFERROR(__xludf.DUMMYFUNCTION("GOOGLEFINANCE(E146,""changepct"")"),-1.4)</f>
        <v>-1.4</v>
      </c>
      <c r="L146" s="23">
        <f>IFERROR(__xludf.DUMMYFUNCTION("googlefinance(E146,""price"")"),15.46)</f>
        <v>15.46</v>
      </c>
      <c r="M146" s="21">
        <v>16.86</v>
      </c>
      <c r="N146" s="24">
        <f t="shared" si="62"/>
        <v>-1.94</v>
      </c>
      <c r="O146" s="25">
        <f t="shared" si="67"/>
        <v>-0.03103448276</v>
      </c>
      <c r="P146" s="19">
        <f t="shared" si="64"/>
        <v>-5400</v>
      </c>
      <c r="Q146" s="47"/>
      <c r="R146" s="20"/>
      <c r="S146" s="31"/>
      <c r="T146" s="29"/>
      <c r="U146" s="16"/>
      <c r="V146" s="15" t="s">
        <v>172</v>
      </c>
      <c r="W146" s="36">
        <v>45631.0</v>
      </c>
      <c r="X146" s="37">
        <v>16.86</v>
      </c>
      <c r="Y146" s="27">
        <v>168600.0</v>
      </c>
      <c r="Z146" s="15" t="s">
        <v>172</v>
      </c>
      <c r="AA146" s="41">
        <v>45607.0</v>
      </c>
      <c r="AB146" s="21">
        <v>17.4</v>
      </c>
      <c r="AC146" s="20">
        <v>174000.0</v>
      </c>
    </row>
    <row r="147">
      <c r="A147" s="38"/>
      <c r="B147" s="32"/>
      <c r="C147" s="14">
        <f>I147/E196</f>
        <v>0</v>
      </c>
      <c r="D147" s="15" t="s">
        <v>171</v>
      </c>
      <c r="E147" s="16" t="s">
        <v>172</v>
      </c>
      <c r="F147" s="17">
        <v>7.8</v>
      </c>
      <c r="G147" s="18">
        <v>10000.0</v>
      </c>
      <c r="H147" s="19">
        <f t="shared" si="60"/>
        <v>167800</v>
      </c>
      <c r="I147" s="20">
        <v>0.0</v>
      </c>
      <c r="J147" s="21">
        <v>16.78</v>
      </c>
      <c r="K147" s="93">
        <f>IFERROR(__xludf.DUMMYFUNCTION("GOOGLEFINANCE(E147,""changepct"")"),-1.4)</f>
        <v>-1.4</v>
      </c>
      <c r="L147" s="23">
        <f>IFERROR(__xludf.DUMMYFUNCTION("googlefinance(E147,""price"")"),15.46)</f>
        <v>15.46</v>
      </c>
      <c r="M147" s="21">
        <v>16.86</v>
      </c>
      <c r="N147" s="24">
        <f t="shared" si="62"/>
        <v>-1.32</v>
      </c>
      <c r="O147" s="25">
        <f t="shared" si="67"/>
        <v>0.004767580453</v>
      </c>
      <c r="P147" s="19">
        <f t="shared" si="64"/>
        <v>800</v>
      </c>
      <c r="Q147" s="47"/>
      <c r="R147" s="20"/>
      <c r="S147" s="31"/>
      <c r="T147" s="29"/>
      <c r="U147" s="16"/>
      <c r="V147" s="15" t="s">
        <v>172</v>
      </c>
      <c r="W147" s="36">
        <v>45631.0</v>
      </c>
      <c r="X147" s="37">
        <v>16.86</v>
      </c>
      <c r="Y147" s="27">
        <v>168600.0</v>
      </c>
      <c r="Z147" s="15" t="s">
        <v>172</v>
      </c>
      <c r="AA147" s="41">
        <v>45610.0</v>
      </c>
      <c r="AB147" s="21">
        <v>16.78</v>
      </c>
      <c r="AC147" s="20">
        <v>167800.0</v>
      </c>
    </row>
    <row r="148">
      <c r="A148" s="38"/>
      <c r="B148" s="32"/>
      <c r="C148" s="14">
        <f>I148/E196</f>
        <v>0</v>
      </c>
      <c r="D148" s="15" t="s">
        <v>171</v>
      </c>
      <c r="E148" s="16" t="s">
        <v>172</v>
      </c>
      <c r="F148" s="17">
        <v>7.8</v>
      </c>
      <c r="G148" s="18">
        <v>10000.0</v>
      </c>
      <c r="H148" s="19">
        <f t="shared" si="60"/>
        <v>196200</v>
      </c>
      <c r="I148" s="20">
        <v>0.0</v>
      </c>
      <c r="J148" s="21">
        <v>19.62</v>
      </c>
      <c r="K148" s="93">
        <f>IFERROR(__xludf.DUMMYFUNCTION("GOOGLEFINANCE(E148,""changepct"")"),-1.4)</f>
        <v>-1.4</v>
      </c>
      <c r="L148" s="23">
        <f>IFERROR(__xludf.DUMMYFUNCTION("googlefinance(E148,""price"")"),15.46)</f>
        <v>15.46</v>
      </c>
      <c r="M148" s="21">
        <v>21.0</v>
      </c>
      <c r="N148" s="24">
        <f t="shared" si="62"/>
        <v>-4.16</v>
      </c>
      <c r="O148" s="25">
        <f t="shared" si="67"/>
        <v>0.07033639144</v>
      </c>
      <c r="P148" s="19">
        <f t="shared" si="64"/>
        <v>13800</v>
      </c>
      <c r="Q148" s="47">
        <v>0.03</v>
      </c>
      <c r="R148" s="20"/>
      <c r="S148" s="31"/>
      <c r="T148" s="29"/>
      <c r="U148" s="16"/>
      <c r="V148" s="15" t="s">
        <v>172</v>
      </c>
      <c r="W148" s="36">
        <v>45586.0</v>
      </c>
      <c r="X148" s="37">
        <v>21.0</v>
      </c>
      <c r="Y148" s="27">
        <v>210000.0</v>
      </c>
      <c r="Z148" s="15" t="s">
        <v>172</v>
      </c>
      <c r="AA148" s="41">
        <v>45575.0</v>
      </c>
      <c r="AB148" s="21">
        <v>19.62</v>
      </c>
      <c r="AC148" s="20">
        <v>196200.0</v>
      </c>
    </row>
    <row r="149">
      <c r="A149" s="38"/>
      <c r="B149" s="32"/>
      <c r="C149" s="14">
        <f>I149/E196</f>
        <v>0.006866024122</v>
      </c>
      <c r="D149" s="15" t="s">
        <v>173</v>
      </c>
      <c r="E149" s="16" t="s">
        <v>174</v>
      </c>
      <c r="F149" s="17">
        <v>8.0</v>
      </c>
      <c r="G149" s="18">
        <v>10000.0</v>
      </c>
      <c r="H149" s="19">
        <f t="shared" si="60"/>
        <v>222000</v>
      </c>
      <c r="I149" s="19">
        <f t="shared" ref="I149:I150" si="68">H149+P149</f>
        <v>199400</v>
      </c>
      <c r="J149" s="21">
        <v>22.2</v>
      </c>
      <c r="K149" s="93">
        <f>IFERROR(__xludf.DUMMYFUNCTION("GOOGLEFINANCE(E149,""changepct"")"),-3.11)</f>
        <v>-3.11</v>
      </c>
      <c r="L149" s="23">
        <f>IFERROR(__xludf.DUMMYFUNCTION("googlefinance(E149,""price"")"),19.94)</f>
        <v>19.94</v>
      </c>
      <c r="M149" s="24"/>
      <c r="N149" s="24">
        <f t="shared" si="62"/>
        <v>-2.26</v>
      </c>
      <c r="O149" s="25">
        <f t="shared" ref="O149:O150" si="69">L149/J149-1</f>
        <v>-0.1018018018</v>
      </c>
      <c r="P149" s="19">
        <f t="shared" si="64"/>
        <v>-22600</v>
      </c>
      <c r="Q149" s="47">
        <v>0.03</v>
      </c>
      <c r="R149" s="20"/>
      <c r="S149" s="37"/>
      <c r="T149" s="27">
        <v>7500.0</v>
      </c>
      <c r="U149" s="16"/>
      <c r="V149" s="16"/>
      <c r="W149" s="30"/>
      <c r="X149" s="31"/>
      <c r="Y149" s="29"/>
      <c r="Z149" s="15" t="s">
        <v>174</v>
      </c>
      <c r="AA149" s="41">
        <v>45581.0</v>
      </c>
      <c r="AB149" s="21">
        <v>20.87</v>
      </c>
      <c r="AC149" s="20">
        <v>208700.0</v>
      </c>
    </row>
    <row r="150">
      <c r="A150" s="38"/>
      <c r="B150" s="32"/>
      <c r="C150" s="14">
        <f>I150/E196</f>
        <v>0.006866024122</v>
      </c>
      <c r="D150" s="15" t="s">
        <v>173</v>
      </c>
      <c r="E150" s="16" t="s">
        <v>174</v>
      </c>
      <c r="F150" s="17">
        <v>8.0</v>
      </c>
      <c r="G150" s="18">
        <v>10000.0</v>
      </c>
      <c r="H150" s="19">
        <f t="shared" si="60"/>
        <v>215800</v>
      </c>
      <c r="I150" s="19">
        <f t="shared" si="68"/>
        <v>199400</v>
      </c>
      <c r="J150" s="21">
        <v>21.58</v>
      </c>
      <c r="K150" s="93">
        <f>IFERROR(__xludf.DUMMYFUNCTION("GOOGLEFINANCE(E150,""changepct"")"),-3.11)</f>
        <v>-3.11</v>
      </c>
      <c r="L150" s="23">
        <f>IFERROR(__xludf.DUMMYFUNCTION("googlefinance(E150,""price"")"),19.94)</f>
        <v>19.94</v>
      </c>
      <c r="M150" s="24"/>
      <c r="N150" s="24">
        <f t="shared" si="62"/>
        <v>-1.64</v>
      </c>
      <c r="O150" s="25">
        <f t="shared" si="69"/>
        <v>-0.07599629286</v>
      </c>
      <c r="P150" s="19">
        <f t="shared" si="64"/>
        <v>-16400</v>
      </c>
      <c r="Q150" s="47"/>
      <c r="R150" s="20"/>
      <c r="S150" s="31"/>
      <c r="T150" s="29"/>
      <c r="U150" s="16"/>
      <c r="V150" s="16"/>
      <c r="W150" s="30"/>
      <c r="X150" s="31"/>
      <c r="Y150" s="29"/>
      <c r="Z150" s="15" t="s">
        <v>174</v>
      </c>
      <c r="AA150" s="41">
        <v>45610.0</v>
      </c>
      <c r="AB150" s="21">
        <v>21.58</v>
      </c>
      <c r="AC150" s="20">
        <v>215800.0</v>
      </c>
    </row>
    <row r="151">
      <c r="A151" s="38"/>
      <c r="B151" s="32"/>
      <c r="C151" s="14">
        <f>I151/E196</f>
        <v>0</v>
      </c>
      <c r="D151" s="15" t="s">
        <v>173</v>
      </c>
      <c r="E151" s="16" t="s">
        <v>174</v>
      </c>
      <c r="F151" s="17">
        <v>8.0</v>
      </c>
      <c r="G151" s="18">
        <v>5000.0</v>
      </c>
      <c r="H151" s="19">
        <f t="shared" si="60"/>
        <v>104350</v>
      </c>
      <c r="I151" s="20">
        <v>0.0</v>
      </c>
      <c r="J151" s="21">
        <v>20.87</v>
      </c>
      <c r="K151" s="93">
        <f>IFERROR(__xludf.DUMMYFUNCTION("GOOGLEFINANCE(E151,""changepct"")"),-3.11)</f>
        <v>-3.11</v>
      </c>
      <c r="L151" s="23">
        <f>IFERROR(__xludf.DUMMYFUNCTION("googlefinance(E151,""price"")"),19.94)</f>
        <v>19.94</v>
      </c>
      <c r="M151" s="21">
        <v>22.8</v>
      </c>
      <c r="N151" s="24">
        <f t="shared" si="62"/>
        <v>-0.93</v>
      </c>
      <c r="O151" s="25">
        <f t="shared" ref="O151:O153" si="70">M151/J151-1</f>
        <v>0.09247724006</v>
      </c>
      <c r="P151" s="19">
        <f t="shared" si="64"/>
        <v>9650</v>
      </c>
      <c r="Q151" s="47">
        <v>0.03</v>
      </c>
      <c r="R151" s="20"/>
      <c r="S151" s="31"/>
      <c r="T151" s="29"/>
      <c r="U151" s="16"/>
      <c r="V151" s="15" t="s">
        <v>174</v>
      </c>
      <c r="W151" s="36">
        <v>45631.0</v>
      </c>
      <c r="X151" s="37">
        <v>22.8</v>
      </c>
      <c r="Y151" s="27">
        <v>114000.0</v>
      </c>
      <c r="Z151" s="16"/>
      <c r="AA151" s="94"/>
      <c r="AB151" s="24"/>
      <c r="AC151" s="19"/>
    </row>
    <row r="152">
      <c r="A152" s="38"/>
      <c r="B152" s="32"/>
      <c r="C152" s="14">
        <f>I152/E196</f>
        <v>0</v>
      </c>
      <c r="D152" s="15" t="s">
        <v>173</v>
      </c>
      <c r="E152" s="16" t="s">
        <v>174</v>
      </c>
      <c r="F152" s="17">
        <v>8.0</v>
      </c>
      <c r="G152" s="18">
        <v>5000.0</v>
      </c>
      <c r="H152" s="19">
        <f t="shared" si="60"/>
        <v>106950</v>
      </c>
      <c r="I152" s="20">
        <v>0.0</v>
      </c>
      <c r="J152" s="21">
        <v>21.39</v>
      </c>
      <c r="K152" s="93">
        <f>IFERROR(__xludf.DUMMYFUNCTION("GOOGLEFINANCE(E152,""changepct"")"),-3.11)</f>
        <v>-3.11</v>
      </c>
      <c r="L152" s="23">
        <f>IFERROR(__xludf.DUMMYFUNCTION("googlefinance(E152,""price"")"),19.94)</f>
        <v>19.94</v>
      </c>
      <c r="M152" s="21">
        <v>22.8</v>
      </c>
      <c r="N152" s="24">
        <f t="shared" si="62"/>
        <v>-1.45</v>
      </c>
      <c r="O152" s="25">
        <f t="shared" si="70"/>
        <v>0.06591865358</v>
      </c>
      <c r="P152" s="19">
        <f t="shared" si="64"/>
        <v>7050</v>
      </c>
      <c r="Q152" s="47"/>
      <c r="R152" s="20"/>
      <c r="S152" s="31"/>
      <c r="T152" s="29"/>
      <c r="U152" s="16"/>
      <c r="V152" s="15" t="s">
        <v>174</v>
      </c>
      <c r="W152" s="36">
        <v>45631.0</v>
      </c>
      <c r="X152" s="37">
        <v>22.8</v>
      </c>
      <c r="Y152" s="27">
        <v>114000.0</v>
      </c>
      <c r="Z152" s="15" t="s">
        <v>174</v>
      </c>
      <c r="AA152" s="41">
        <v>45607.0</v>
      </c>
      <c r="AB152" s="21">
        <v>21.39</v>
      </c>
      <c r="AC152" s="20">
        <v>106950.0</v>
      </c>
    </row>
    <row r="153">
      <c r="A153" s="38"/>
      <c r="B153" s="32"/>
      <c r="C153" s="14">
        <f>I153/E196</f>
        <v>0</v>
      </c>
      <c r="D153" s="15" t="s">
        <v>173</v>
      </c>
      <c r="E153" s="16" t="s">
        <v>174</v>
      </c>
      <c r="F153" s="17">
        <v>8.0</v>
      </c>
      <c r="G153" s="18">
        <v>5000.0</v>
      </c>
      <c r="H153" s="19">
        <f t="shared" si="60"/>
        <v>104350</v>
      </c>
      <c r="I153" s="20">
        <v>0.0</v>
      </c>
      <c r="J153" s="21">
        <v>20.87</v>
      </c>
      <c r="K153" s="93">
        <f>IFERROR(__xludf.DUMMYFUNCTION("GOOGLEFINANCE(E153,""changepct"")"),-3.11)</f>
        <v>-3.11</v>
      </c>
      <c r="L153" s="23">
        <f>IFERROR(__xludf.DUMMYFUNCTION("googlefinance(E153,""price"")"),19.94)</f>
        <v>19.94</v>
      </c>
      <c r="M153" s="21">
        <v>25.47</v>
      </c>
      <c r="N153" s="24">
        <f t="shared" si="62"/>
        <v>-0.93</v>
      </c>
      <c r="O153" s="25">
        <f t="shared" si="70"/>
        <v>0.2204120747</v>
      </c>
      <c r="P153" s="19">
        <f t="shared" si="64"/>
        <v>23000</v>
      </c>
      <c r="Q153" s="47">
        <v>0.03</v>
      </c>
      <c r="R153" s="20"/>
      <c r="S153" s="31"/>
      <c r="T153" s="29"/>
      <c r="U153" s="16"/>
      <c r="V153" s="15" t="s">
        <v>174</v>
      </c>
      <c r="W153" s="36">
        <v>45587.0</v>
      </c>
      <c r="X153" s="37">
        <v>25.47</v>
      </c>
      <c r="Y153" s="27">
        <v>127350.0</v>
      </c>
      <c r="Z153" s="15"/>
      <c r="AA153" s="41"/>
      <c r="AB153" s="21"/>
      <c r="AC153" s="20"/>
    </row>
    <row r="154">
      <c r="A154" s="38"/>
      <c r="B154" s="32"/>
      <c r="C154" s="14">
        <f>I154/E196</f>
        <v>0.00585712489</v>
      </c>
      <c r="D154" s="76" t="s">
        <v>175</v>
      </c>
      <c r="E154" s="15" t="s">
        <v>176</v>
      </c>
      <c r="F154" s="17">
        <v>7.9</v>
      </c>
      <c r="G154" s="18">
        <v>35000.0</v>
      </c>
      <c r="H154" s="19">
        <f t="shared" si="60"/>
        <v>222600</v>
      </c>
      <c r="I154" s="19">
        <f t="shared" ref="I154:I157" si="71">H154+P154</f>
        <v>170100</v>
      </c>
      <c r="J154" s="21">
        <v>6.36</v>
      </c>
      <c r="K154" s="93">
        <f>IFERROR(__xludf.DUMMYFUNCTION("GOOGLEFINANCE(E154,""changepct"")"),-2.99)</f>
        <v>-2.99</v>
      </c>
      <c r="L154" s="23">
        <f>IFERROR(__xludf.DUMMYFUNCTION("googlefinance(E154,""price"")"),4.86)</f>
        <v>4.86</v>
      </c>
      <c r="M154" s="24"/>
      <c r="N154" s="24">
        <f t="shared" si="62"/>
        <v>-1.5</v>
      </c>
      <c r="O154" s="25">
        <f t="shared" ref="O154:O157" si="72">L154/J154-1</f>
        <v>-0.2358490566</v>
      </c>
      <c r="P154" s="19">
        <f t="shared" si="64"/>
        <v>-52500</v>
      </c>
      <c r="Q154" s="47">
        <v>0.0045</v>
      </c>
      <c r="R154" s="20"/>
      <c r="S154" s="31"/>
      <c r="T154" s="29"/>
      <c r="U154" s="16"/>
      <c r="V154" s="16"/>
      <c r="W154" s="30"/>
      <c r="X154" s="31"/>
      <c r="Y154" s="29"/>
      <c r="Z154" s="15" t="s">
        <v>176</v>
      </c>
      <c r="AA154" s="41">
        <v>45574.0</v>
      </c>
      <c r="AB154" s="21">
        <v>6.36</v>
      </c>
      <c r="AC154" s="20">
        <v>222600.0</v>
      </c>
    </row>
    <row r="155">
      <c r="A155" s="38"/>
      <c r="B155" s="32"/>
      <c r="C155" s="14">
        <f>I155/E196</f>
        <v>0.00585712489</v>
      </c>
      <c r="D155" s="76" t="s">
        <v>175</v>
      </c>
      <c r="E155" s="15" t="s">
        <v>176</v>
      </c>
      <c r="F155" s="17">
        <v>7.9</v>
      </c>
      <c r="G155" s="18">
        <v>35000.0</v>
      </c>
      <c r="H155" s="19">
        <f t="shared" si="60"/>
        <v>190400</v>
      </c>
      <c r="I155" s="19">
        <f t="shared" si="71"/>
        <v>170100</v>
      </c>
      <c r="J155" s="21">
        <v>5.44</v>
      </c>
      <c r="K155" s="93">
        <f>IFERROR(__xludf.DUMMYFUNCTION("GOOGLEFINANCE(E155,""changepct"")"),-2.99)</f>
        <v>-2.99</v>
      </c>
      <c r="L155" s="23">
        <f>IFERROR(__xludf.DUMMYFUNCTION("googlefinance(E155,""price"")"),4.86)</f>
        <v>4.86</v>
      </c>
      <c r="M155" s="21"/>
      <c r="N155" s="24">
        <f t="shared" si="62"/>
        <v>-0.58</v>
      </c>
      <c r="O155" s="25">
        <f t="shared" si="72"/>
        <v>-0.1066176471</v>
      </c>
      <c r="P155" s="19">
        <f t="shared" si="64"/>
        <v>-20300</v>
      </c>
      <c r="Q155" s="47"/>
      <c r="R155" s="20"/>
      <c r="S155" s="31"/>
      <c r="T155" s="29"/>
      <c r="U155" s="16"/>
      <c r="V155" s="15"/>
      <c r="W155" s="36"/>
      <c r="X155" s="37"/>
      <c r="Y155" s="27"/>
      <c r="Z155" s="15" t="s">
        <v>176</v>
      </c>
      <c r="AA155" s="41">
        <v>45607.0</v>
      </c>
      <c r="AB155" s="21">
        <v>5.44</v>
      </c>
      <c r="AC155" s="20">
        <v>190400.0</v>
      </c>
    </row>
    <row r="156">
      <c r="A156" s="38"/>
      <c r="B156" s="32"/>
      <c r="C156" s="14">
        <f>I156/E196</f>
        <v>0.00585712489</v>
      </c>
      <c r="D156" s="76" t="s">
        <v>175</v>
      </c>
      <c r="E156" s="15" t="s">
        <v>176</v>
      </c>
      <c r="F156" s="17">
        <v>7.9</v>
      </c>
      <c r="G156" s="18">
        <v>35000.0</v>
      </c>
      <c r="H156" s="19">
        <f t="shared" si="60"/>
        <v>192500</v>
      </c>
      <c r="I156" s="19">
        <f t="shared" si="71"/>
        <v>170100</v>
      </c>
      <c r="J156" s="21">
        <v>5.5</v>
      </c>
      <c r="K156" s="93">
        <f>IFERROR(__xludf.DUMMYFUNCTION("GOOGLEFINANCE(E156,""changepct"")"),-2.99)</f>
        <v>-2.99</v>
      </c>
      <c r="L156" s="23">
        <f>IFERROR(__xludf.DUMMYFUNCTION("googlefinance(E156,""price"")"),4.86)</f>
        <v>4.86</v>
      </c>
      <c r="M156" s="21"/>
      <c r="N156" s="24">
        <f t="shared" si="62"/>
        <v>-0.64</v>
      </c>
      <c r="O156" s="25">
        <f t="shared" si="72"/>
        <v>-0.1163636364</v>
      </c>
      <c r="P156" s="19">
        <f t="shared" si="64"/>
        <v>-22400</v>
      </c>
      <c r="Q156" s="47"/>
      <c r="R156" s="20"/>
      <c r="S156" s="31"/>
      <c r="T156" s="29"/>
      <c r="U156" s="16"/>
      <c r="V156" s="15"/>
      <c r="W156" s="36"/>
      <c r="X156" s="37"/>
      <c r="Y156" s="27"/>
      <c r="Z156" s="15" t="s">
        <v>176</v>
      </c>
      <c r="AA156" s="41">
        <v>45610.0</v>
      </c>
      <c r="AB156" s="21">
        <v>5.5</v>
      </c>
      <c r="AC156" s="20">
        <v>192500.0</v>
      </c>
    </row>
    <row r="157">
      <c r="A157" s="38"/>
      <c r="B157" s="32"/>
      <c r="C157" s="14">
        <f>I157/E196</f>
        <v>0.008367321272</v>
      </c>
      <c r="D157" s="76" t="s">
        <v>175</v>
      </c>
      <c r="E157" s="15" t="s">
        <v>176</v>
      </c>
      <c r="F157" s="17">
        <v>7.9</v>
      </c>
      <c r="G157" s="18">
        <v>50000.0</v>
      </c>
      <c r="H157" s="19">
        <f t="shared" si="60"/>
        <v>248000</v>
      </c>
      <c r="I157" s="19">
        <f t="shared" si="71"/>
        <v>243000</v>
      </c>
      <c r="J157" s="21">
        <v>4.96</v>
      </c>
      <c r="K157" s="93">
        <f>IFERROR(__xludf.DUMMYFUNCTION("GOOGLEFINANCE(E157,""changepct"")"),-2.99)</f>
        <v>-2.99</v>
      </c>
      <c r="L157" s="23">
        <f>IFERROR(__xludf.DUMMYFUNCTION("googlefinance(E157,""price"")"),4.86)</f>
        <v>4.86</v>
      </c>
      <c r="M157" s="21"/>
      <c r="N157" s="24">
        <f t="shared" si="62"/>
        <v>-0.1</v>
      </c>
      <c r="O157" s="25">
        <f t="shared" si="72"/>
        <v>-0.02016129032</v>
      </c>
      <c r="P157" s="19">
        <f t="shared" si="64"/>
        <v>-5000</v>
      </c>
      <c r="Q157" s="47"/>
      <c r="R157" s="20"/>
      <c r="S157" s="31"/>
      <c r="T157" s="29"/>
      <c r="U157" s="16"/>
      <c r="V157" s="15"/>
      <c r="W157" s="36"/>
      <c r="X157" s="37"/>
      <c r="Y157" s="27"/>
      <c r="Z157" s="15" t="s">
        <v>176</v>
      </c>
      <c r="AA157" s="41">
        <v>45646.0</v>
      </c>
      <c r="AB157" s="21">
        <v>4.96</v>
      </c>
      <c r="AC157" s="20">
        <v>248000.0</v>
      </c>
    </row>
    <row r="158">
      <c r="A158" s="38"/>
      <c r="B158" s="32"/>
      <c r="C158" s="14">
        <f>I158/E196</f>
        <v>0</v>
      </c>
      <c r="D158" s="76" t="s">
        <v>175</v>
      </c>
      <c r="E158" s="15" t="s">
        <v>176</v>
      </c>
      <c r="F158" s="17">
        <v>7.9</v>
      </c>
      <c r="G158" s="18">
        <v>35000.0</v>
      </c>
      <c r="H158" s="19">
        <f t="shared" si="60"/>
        <v>217700</v>
      </c>
      <c r="I158" s="20">
        <v>0.0</v>
      </c>
      <c r="J158" s="21">
        <v>6.22</v>
      </c>
      <c r="K158" s="93">
        <f>IFERROR(__xludf.DUMMYFUNCTION("GOOGLEFINANCE(E158,""changepct"")"),-2.99)</f>
        <v>-2.99</v>
      </c>
      <c r="L158" s="23">
        <f>IFERROR(__xludf.DUMMYFUNCTION("googlefinance(E158,""price"")"),4.86)</f>
        <v>4.86</v>
      </c>
      <c r="M158" s="21">
        <v>7.48</v>
      </c>
      <c r="N158" s="24">
        <f t="shared" si="62"/>
        <v>-1.36</v>
      </c>
      <c r="O158" s="25">
        <f>M158/J158-1</f>
        <v>0.2025723473</v>
      </c>
      <c r="P158" s="19">
        <f t="shared" si="64"/>
        <v>44100</v>
      </c>
      <c r="Q158" s="47">
        <v>0.0045</v>
      </c>
      <c r="R158" s="20"/>
      <c r="S158" s="31"/>
      <c r="T158" s="29"/>
      <c r="U158" s="16"/>
      <c r="V158" s="15" t="s">
        <v>176</v>
      </c>
      <c r="W158" s="36">
        <v>45586.0</v>
      </c>
      <c r="X158" s="37">
        <v>7.48</v>
      </c>
      <c r="Y158" s="27">
        <v>261800.0</v>
      </c>
      <c r="Z158" s="15"/>
      <c r="AA158" s="41"/>
      <c r="AB158" s="21"/>
      <c r="AC158" s="20"/>
    </row>
    <row r="159">
      <c r="A159" s="38"/>
      <c r="B159" s="32"/>
      <c r="C159" s="14">
        <f>I159/E196</f>
        <v>0.008332887851</v>
      </c>
      <c r="D159" s="76" t="s">
        <v>177</v>
      </c>
      <c r="E159" s="15" t="s">
        <v>178</v>
      </c>
      <c r="F159" s="17">
        <v>7.7</v>
      </c>
      <c r="G159" s="18">
        <v>100000.0</v>
      </c>
      <c r="H159" s="19">
        <f t="shared" si="60"/>
        <v>251000</v>
      </c>
      <c r="I159" s="19">
        <f t="shared" ref="I159:I160" si="73">H159+P159</f>
        <v>242000</v>
      </c>
      <c r="J159" s="21">
        <v>2.51</v>
      </c>
      <c r="K159" s="93">
        <f>IFERROR(__xludf.DUMMYFUNCTION("GOOGLEFINANCE(E159,""changepct"")"),-2.02)</f>
        <v>-2.02</v>
      </c>
      <c r="L159" s="23">
        <f>IFERROR(__xludf.DUMMYFUNCTION("googlefinance(E159,""price"")"),2.42)</f>
        <v>2.42</v>
      </c>
      <c r="M159" s="24"/>
      <c r="N159" s="24">
        <f t="shared" si="62"/>
        <v>-0.09</v>
      </c>
      <c r="O159" s="25">
        <f t="shared" ref="O159:O160" si="74">L159/J159-1</f>
        <v>-0.03585657371</v>
      </c>
      <c r="P159" s="19">
        <f t="shared" si="64"/>
        <v>-9000</v>
      </c>
      <c r="Q159" s="47">
        <v>0.06</v>
      </c>
      <c r="R159" s="20"/>
      <c r="S159" s="31"/>
      <c r="T159" s="29"/>
      <c r="U159" s="16"/>
      <c r="V159" s="16"/>
      <c r="W159" s="30"/>
      <c r="X159" s="31"/>
      <c r="Y159" s="29"/>
      <c r="Z159" s="15" t="s">
        <v>178</v>
      </c>
      <c r="AA159" s="41">
        <v>45649.0</v>
      </c>
      <c r="AB159" s="21">
        <v>2.51</v>
      </c>
      <c r="AC159" s="20">
        <v>251000.0</v>
      </c>
    </row>
    <row r="160">
      <c r="A160" s="38"/>
      <c r="B160" s="32"/>
      <c r="C160" s="14">
        <f>I160/E196</f>
        <v>0.005908775022</v>
      </c>
      <c r="D160" s="95" t="s">
        <v>179</v>
      </c>
      <c r="E160" s="16" t="s">
        <v>180</v>
      </c>
      <c r="F160" s="17">
        <v>7.9</v>
      </c>
      <c r="G160" s="18">
        <v>15000.0</v>
      </c>
      <c r="H160" s="19">
        <f t="shared" si="60"/>
        <v>198900</v>
      </c>
      <c r="I160" s="19">
        <f t="shared" si="73"/>
        <v>171600</v>
      </c>
      <c r="J160" s="21">
        <v>13.26</v>
      </c>
      <c r="K160" s="93">
        <f>IFERROR(__xludf.DUMMYFUNCTION("GOOGLEFINANCE(E160,""changepct"")"),-2.8)</f>
        <v>-2.8</v>
      </c>
      <c r="L160" s="23">
        <f>IFERROR(__xludf.DUMMYFUNCTION("googlefinance(E160,""price"")"),11.44)</f>
        <v>11.44</v>
      </c>
      <c r="M160" s="24"/>
      <c r="N160" s="24">
        <f t="shared" si="62"/>
        <v>-1.82</v>
      </c>
      <c r="O160" s="25">
        <f t="shared" si="74"/>
        <v>-0.137254902</v>
      </c>
      <c r="P160" s="19">
        <f t="shared" si="64"/>
        <v>-27300</v>
      </c>
      <c r="Q160" s="47"/>
      <c r="R160" s="20"/>
      <c r="S160" s="31"/>
      <c r="T160" s="29"/>
      <c r="U160" s="16"/>
      <c r="V160" s="16"/>
      <c r="W160" s="30"/>
      <c r="X160" s="31"/>
      <c r="Y160" s="29"/>
      <c r="Z160" s="16"/>
      <c r="AA160" s="94"/>
      <c r="AB160" s="24"/>
      <c r="AC160" s="19"/>
    </row>
    <row r="161">
      <c r="A161" s="55"/>
      <c r="B161" s="53"/>
      <c r="C161" s="6" t="s">
        <v>89</v>
      </c>
      <c r="D161" s="6"/>
      <c r="E161" s="6"/>
      <c r="F161" s="6"/>
      <c r="G161" s="11"/>
      <c r="H161" s="49">
        <f t="shared" ref="H161:I161" si="75">SUM(H131:H160)</f>
        <v>7902090</v>
      </c>
      <c r="I161" s="50">
        <f t="shared" si="75"/>
        <v>5676705</v>
      </c>
      <c r="J161" s="8"/>
      <c r="K161" s="8"/>
      <c r="L161" s="10"/>
      <c r="M161" s="10"/>
      <c r="N161" s="10"/>
      <c r="O161" s="51">
        <f>P161/(I161+R161+T161)</f>
        <v>-0.08057480451</v>
      </c>
      <c r="P161" s="50">
        <f>SUM(P131:P160)</f>
        <v>-458185</v>
      </c>
      <c r="Q161" s="6"/>
      <c r="R161" s="49">
        <f>SUM(R131:R160)</f>
        <v>0</v>
      </c>
      <c r="S161" s="10"/>
      <c r="T161" s="11">
        <f>SUM(T131:T160)</f>
        <v>9750</v>
      </c>
      <c r="U161" s="5"/>
      <c r="V161" s="6" t="s">
        <v>89</v>
      </c>
      <c r="W161" s="53"/>
      <c r="X161" s="54"/>
      <c r="Y161" s="49">
        <f>SUM(Y131:Y160)</f>
        <v>1767200</v>
      </c>
      <c r="Z161" s="6" t="s">
        <v>89</v>
      </c>
      <c r="AA161" s="53"/>
      <c r="AB161" s="53"/>
      <c r="AC161" s="49">
        <f>SUM(AC131:AC160)</f>
        <v>4759100</v>
      </c>
    </row>
    <row r="162">
      <c r="A162" s="55"/>
      <c r="B162" s="6" t="s">
        <v>181</v>
      </c>
      <c r="C162" s="6" t="s">
        <v>2</v>
      </c>
      <c r="D162" s="6" t="s">
        <v>182</v>
      </c>
      <c r="E162" s="6" t="s">
        <v>4</v>
      </c>
      <c r="F162" s="6" t="s">
        <v>5</v>
      </c>
      <c r="G162" s="5" t="s">
        <v>183</v>
      </c>
      <c r="H162" s="6" t="s">
        <v>7</v>
      </c>
      <c r="I162" s="7" t="s">
        <v>8</v>
      </c>
      <c r="J162" s="7" t="s">
        <v>9</v>
      </c>
      <c r="K162" s="8" t="s">
        <v>10</v>
      </c>
      <c r="L162" s="8" t="s">
        <v>11</v>
      </c>
      <c r="M162" s="9" t="s">
        <v>12</v>
      </c>
      <c r="N162" s="10" t="s">
        <v>13</v>
      </c>
      <c r="O162" s="6" t="s">
        <v>14</v>
      </c>
      <c r="P162" s="10" t="s">
        <v>15</v>
      </c>
      <c r="Q162" s="5" t="s">
        <v>128</v>
      </c>
      <c r="R162" s="6" t="s">
        <v>17</v>
      </c>
      <c r="S162" s="9" t="s">
        <v>18</v>
      </c>
      <c r="T162" s="5" t="s">
        <v>19</v>
      </c>
      <c r="U162" s="5" t="s">
        <v>19</v>
      </c>
      <c r="V162" s="6" t="s">
        <v>21</v>
      </c>
      <c r="W162" s="6" t="s">
        <v>22</v>
      </c>
      <c r="X162" s="12" t="s">
        <v>23</v>
      </c>
      <c r="Y162" s="12" t="s">
        <v>24</v>
      </c>
      <c r="Z162" s="6" t="s">
        <v>25</v>
      </c>
      <c r="AA162" s="6" t="s">
        <v>26</v>
      </c>
      <c r="AB162" s="6" t="s">
        <v>27</v>
      </c>
      <c r="AC162" s="6" t="s">
        <v>28</v>
      </c>
    </row>
    <row r="163">
      <c r="A163" s="56" t="s">
        <v>29</v>
      </c>
      <c r="B163" s="57">
        <f>I189/E196</f>
        <v>0.01535730571</v>
      </c>
      <c r="C163" s="14">
        <f>I163/E196</f>
        <v>0.009503624161</v>
      </c>
      <c r="D163" s="96" t="s">
        <v>184</v>
      </c>
      <c r="E163" s="16" t="s">
        <v>185</v>
      </c>
      <c r="F163" s="17">
        <v>7.9</v>
      </c>
      <c r="G163" s="97">
        <v>3.0</v>
      </c>
      <c r="H163" s="19">
        <f t="shared" ref="H163:H188" si="76">G163*J163</f>
        <v>191241</v>
      </c>
      <c r="I163" s="20">
        <f>H163+P163</f>
        <v>276000</v>
      </c>
      <c r="J163" s="20">
        <v>63747.0</v>
      </c>
      <c r="K163" s="98"/>
      <c r="L163" s="99">
        <v>92000.0</v>
      </c>
      <c r="M163" s="100"/>
      <c r="N163" s="100">
        <f t="shared" ref="N163:N188" si="77">L163-J163</f>
        <v>28253</v>
      </c>
      <c r="O163" s="101">
        <f>L163/J163-1</f>
        <v>0.4432051704</v>
      </c>
      <c r="P163" s="102">
        <f t="shared" ref="P163:P188" si="78">H163*O163</f>
        <v>84759</v>
      </c>
      <c r="Q163" s="32"/>
      <c r="R163" s="32"/>
      <c r="S163" s="103"/>
      <c r="T163" s="15"/>
      <c r="U163" s="15"/>
      <c r="V163" s="15"/>
      <c r="W163" s="41"/>
      <c r="X163" s="20"/>
      <c r="Y163" s="20"/>
      <c r="Z163" s="104"/>
      <c r="AA163" s="105"/>
      <c r="AB163" s="106"/>
      <c r="AC163" s="106"/>
    </row>
    <row r="164">
      <c r="A164" s="38"/>
      <c r="B164" s="32"/>
      <c r="C164" s="14">
        <f>I164/E196</f>
        <v>0</v>
      </c>
      <c r="D164" s="96" t="s">
        <v>184</v>
      </c>
      <c r="E164" s="16" t="s">
        <v>185</v>
      </c>
      <c r="F164" s="17">
        <v>7.9</v>
      </c>
      <c r="G164" s="107">
        <v>1.5</v>
      </c>
      <c r="H164" s="19">
        <f t="shared" si="76"/>
        <v>137400</v>
      </c>
      <c r="I164" s="20">
        <v>0.0</v>
      </c>
      <c r="J164" s="27">
        <v>91600.0</v>
      </c>
      <c r="K164" s="98"/>
      <c r="L164" s="99">
        <v>92000.0</v>
      </c>
      <c r="M164" s="103">
        <v>100065.0</v>
      </c>
      <c r="N164" s="100">
        <f t="shared" si="77"/>
        <v>400</v>
      </c>
      <c r="O164" s="101">
        <f t="shared" ref="O164:O165" si="79">M164/J164-1</f>
        <v>0.09241266376</v>
      </c>
      <c r="P164" s="102">
        <f t="shared" si="78"/>
        <v>12697.5</v>
      </c>
      <c r="Q164" s="32"/>
      <c r="R164" s="32"/>
      <c r="S164" s="27"/>
      <c r="T164" s="15"/>
      <c r="U164" s="15"/>
      <c r="V164" s="15" t="s">
        <v>186</v>
      </c>
      <c r="W164" s="36">
        <v>45631.0</v>
      </c>
      <c r="X164" s="27">
        <v>100065.0</v>
      </c>
      <c r="Y164" s="27">
        <v>150098.0</v>
      </c>
      <c r="Z164" s="104" t="s">
        <v>186</v>
      </c>
      <c r="AA164" s="108">
        <v>45614.0</v>
      </c>
      <c r="AB164" s="106">
        <v>91600.0</v>
      </c>
      <c r="AC164" s="20">
        <v>137400.0</v>
      </c>
    </row>
    <row r="165">
      <c r="A165" s="38"/>
      <c r="B165" s="32"/>
      <c r="C165" s="14">
        <f>I165/E196</f>
        <v>0</v>
      </c>
      <c r="D165" s="96" t="s">
        <v>184</v>
      </c>
      <c r="E165" s="16" t="s">
        <v>185</v>
      </c>
      <c r="F165" s="17">
        <v>7.9</v>
      </c>
      <c r="G165" s="97">
        <v>2.0</v>
      </c>
      <c r="H165" s="19">
        <f t="shared" si="76"/>
        <v>127494</v>
      </c>
      <c r="I165" s="20">
        <v>0.0</v>
      </c>
      <c r="J165" s="27">
        <v>63747.0</v>
      </c>
      <c r="K165" s="98"/>
      <c r="L165" s="99">
        <v>92000.0</v>
      </c>
      <c r="M165" s="103">
        <v>87563.0</v>
      </c>
      <c r="N165" s="100">
        <f t="shared" si="77"/>
        <v>28253</v>
      </c>
      <c r="O165" s="101">
        <f t="shared" si="79"/>
        <v>0.373601895</v>
      </c>
      <c r="P165" s="102">
        <f t="shared" si="78"/>
        <v>47632</v>
      </c>
      <c r="Q165" s="32"/>
      <c r="R165" s="32"/>
      <c r="S165" s="27"/>
      <c r="T165" s="15"/>
      <c r="U165" s="15"/>
      <c r="V165" s="15" t="s">
        <v>186</v>
      </c>
      <c r="W165" s="36">
        <v>45608.0</v>
      </c>
      <c r="X165" s="27">
        <v>87563.0</v>
      </c>
      <c r="Y165" s="27">
        <v>175126.0</v>
      </c>
      <c r="Z165" s="104"/>
      <c r="AA165" s="108"/>
      <c r="AB165" s="109"/>
      <c r="AC165" s="20"/>
    </row>
    <row r="166">
      <c r="A166" s="38"/>
      <c r="B166" s="32"/>
      <c r="C166" s="14">
        <f>I166/E196</f>
        <v>0.005853681548</v>
      </c>
      <c r="D166" s="15" t="s">
        <v>187</v>
      </c>
      <c r="E166" s="45" t="s">
        <v>188</v>
      </c>
      <c r="F166" s="17">
        <v>7.8</v>
      </c>
      <c r="G166" s="97">
        <v>50.0</v>
      </c>
      <c r="H166" s="19">
        <f t="shared" si="76"/>
        <v>132000</v>
      </c>
      <c r="I166" s="20">
        <f>H166+P166</f>
        <v>170000</v>
      </c>
      <c r="J166" s="27">
        <v>2640.0</v>
      </c>
      <c r="K166" s="98"/>
      <c r="L166" s="99">
        <v>3400.0</v>
      </c>
      <c r="M166" s="100"/>
      <c r="N166" s="100">
        <f t="shared" si="77"/>
        <v>760</v>
      </c>
      <c r="O166" s="101">
        <f>L166/J166-1</f>
        <v>0.2878787879</v>
      </c>
      <c r="P166" s="102">
        <f t="shared" si="78"/>
        <v>38000</v>
      </c>
      <c r="Q166" s="32"/>
      <c r="R166" s="32"/>
      <c r="S166" s="27"/>
      <c r="T166" s="15"/>
      <c r="U166" s="15"/>
      <c r="V166" s="15"/>
      <c r="W166" s="36"/>
      <c r="X166" s="27"/>
      <c r="Y166" s="27"/>
      <c r="Z166" s="104"/>
      <c r="AA166" s="108"/>
      <c r="AB166" s="109"/>
      <c r="AC166" s="20"/>
    </row>
    <row r="167">
      <c r="A167" s="38"/>
      <c r="B167" s="32"/>
      <c r="C167" s="14">
        <f>I167/E196</f>
        <v>0</v>
      </c>
      <c r="D167" s="15" t="s">
        <v>187</v>
      </c>
      <c r="E167" s="45" t="s">
        <v>188</v>
      </c>
      <c r="F167" s="17">
        <v>7.8</v>
      </c>
      <c r="G167" s="97">
        <v>35.0</v>
      </c>
      <c r="H167" s="19">
        <f t="shared" si="76"/>
        <v>110635</v>
      </c>
      <c r="I167" s="20">
        <v>0.0</v>
      </c>
      <c r="J167" s="20">
        <v>3161.0</v>
      </c>
      <c r="K167" s="98"/>
      <c r="L167" s="99">
        <v>3400.0</v>
      </c>
      <c r="M167" s="103">
        <v>3856.0</v>
      </c>
      <c r="N167" s="100">
        <f t="shared" si="77"/>
        <v>239</v>
      </c>
      <c r="O167" s="101">
        <f t="shared" ref="O167:O188" si="80">M167/J167-1</f>
        <v>0.2198671307</v>
      </c>
      <c r="P167" s="102">
        <f t="shared" si="78"/>
        <v>24325</v>
      </c>
      <c r="Q167" s="32"/>
      <c r="R167" s="32"/>
      <c r="S167" s="21"/>
      <c r="T167" s="15"/>
      <c r="U167" s="15"/>
      <c r="V167" s="15" t="s">
        <v>189</v>
      </c>
      <c r="W167" s="41">
        <v>45631.0</v>
      </c>
      <c r="X167" s="20">
        <v>3856.0</v>
      </c>
      <c r="Y167" s="20">
        <v>134960.0</v>
      </c>
      <c r="Z167" s="104" t="s">
        <v>189</v>
      </c>
      <c r="AA167" s="105">
        <v>45614.0</v>
      </c>
      <c r="AB167" s="106">
        <v>3161.0</v>
      </c>
      <c r="AC167" s="20">
        <v>110635.0</v>
      </c>
    </row>
    <row r="168">
      <c r="A168" s="38"/>
      <c r="B168" s="32"/>
      <c r="C168" s="14">
        <f>I168/E196</f>
        <v>0</v>
      </c>
      <c r="D168" s="15" t="s">
        <v>187</v>
      </c>
      <c r="E168" s="45" t="s">
        <v>188</v>
      </c>
      <c r="F168" s="17">
        <v>7.8</v>
      </c>
      <c r="G168" s="97">
        <v>50.0</v>
      </c>
      <c r="H168" s="19">
        <f t="shared" si="76"/>
        <v>132000</v>
      </c>
      <c r="I168" s="20">
        <v>0.0</v>
      </c>
      <c r="J168" s="20">
        <v>2640.0</v>
      </c>
      <c r="K168" s="98"/>
      <c r="L168" s="99">
        <v>3400.0</v>
      </c>
      <c r="M168" s="103">
        <v>3198.0</v>
      </c>
      <c r="N168" s="100">
        <f t="shared" si="77"/>
        <v>760</v>
      </c>
      <c r="O168" s="101">
        <f t="shared" si="80"/>
        <v>0.2113636364</v>
      </c>
      <c r="P168" s="102">
        <f t="shared" si="78"/>
        <v>27900</v>
      </c>
      <c r="Q168" s="32"/>
      <c r="R168" s="32"/>
      <c r="S168" s="21"/>
      <c r="T168" s="15"/>
      <c r="U168" s="15"/>
      <c r="V168" s="15" t="s">
        <v>189</v>
      </c>
      <c r="W168" s="41">
        <v>45610.0</v>
      </c>
      <c r="X168" s="20">
        <v>3198.0</v>
      </c>
      <c r="Y168" s="20">
        <v>159900.0</v>
      </c>
      <c r="Z168" s="104"/>
      <c r="AA168" s="105"/>
      <c r="AB168" s="110"/>
      <c r="AC168" s="20"/>
    </row>
    <row r="169">
      <c r="A169" s="38"/>
      <c r="B169" s="32"/>
      <c r="C169" s="14">
        <f>I169/E196</f>
        <v>0</v>
      </c>
      <c r="D169" s="15" t="s">
        <v>190</v>
      </c>
      <c r="E169" s="15" t="s">
        <v>191</v>
      </c>
      <c r="F169" s="17">
        <v>7.7</v>
      </c>
      <c r="G169" s="97">
        <v>500000.0</v>
      </c>
      <c r="H169" s="19">
        <f t="shared" si="76"/>
        <v>103800</v>
      </c>
      <c r="I169" s="20">
        <v>0.0</v>
      </c>
      <c r="J169" s="111">
        <v>0.2076</v>
      </c>
      <c r="K169" s="98"/>
      <c r="L169" s="112">
        <v>0.32</v>
      </c>
      <c r="M169" s="113">
        <v>0.2859</v>
      </c>
      <c r="N169" s="100">
        <f t="shared" si="77"/>
        <v>0.1124</v>
      </c>
      <c r="O169" s="101">
        <f t="shared" si="80"/>
        <v>0.3771676301</v>
      </c>
      <c r="P169" s="102">
        <f t="shared" si="78"/>
        <v>39150</v>
      </c>
      <c r="Q169" s="32"/>
      <c r="R169" s="32"/>
      <c r="S169" s="21"/>
      <c r="T169" s="15"/>
      <c r="U169" s="15"/>
      <c r="V169" s="15" t="s">
        <v>192</v>
      </c>
      <c r="W169" s="41">
        <v>45607.0</v>
      </c>
      <c r="X169" s="111">
        <v>0.2859</v>
      </c>
      <c r="Y169" s="20">
        <v>142950.0</v>
      </c>
      <c r="Z169" s="104" t="s">
        <v>192</v>
      </c>
      <c r="AA169" s="105">
        <v>45605.0</v>
      </c>
      <c r="AB169" s="110">
        <v>0.2076</v>
      </c>
      <c r="AC169" s="20">
        <v>103800.0</v>
      </c>
    </row>
    <row r="170">
      <c r="A170" s="38"/>
      <c r="B170" s="32"/>
      <c r="C170" s="14">
        <f>I170/E196</f>
        <v>0</v>
      </c>
      <c r="D170" s="15" t="s">
        <v>190</v>
      </c>
      <c r="E170" s="15" t="s">
        <v>191</v>
      </c>
      <c r="F170" s="17" t="s">
        <v>193</v>
      </c>
      <c r="G170" s="97">
        <v>1000000.0</v>
      </c>
      <c r="H170" s="19">
        <f t="shared" si="76"/>
        <v>118000</v>
      </c>
      <c r="I170" s="20">
        <v>0.0</v>
      </c>
      <c r="J170" s="111">
        <v>0.118</v>
      </c>
      <c r="K170" s="98"/>
      <c r="L170" s="112">
        <v>0.32</v>
      </c>
      <c r="M170" s="113">
        <v>0.167</v>
      </c>
      <c r="N170" s="100">
        <f t="shared" si="77"/>
        <v>0.202</v>
      </c>
      <c r="O170" s="101">
        <f t="shared" si="80"/>
        <v>0.4152542373</v>
      </c>
      <c r="P170" s="102">
        <f t="shared" si="78"/>
        <v>49000</v>
      </c>
      <c r="Q170" s="32"/>
      <c r="R170" s="32"/>
      <c r="S170" s="21"/>
      <c r="T170" s="15"/>
      <c r="U170" s="15"/>
      <c r="V170" s="15" t="s">
        <v>192</v>
      </c>
      <c r="W170" s="41">
        <v>45596.0</v>
      </c>
      <c r="X170" s="111">
        <v>0.167</v>
      </c>
      <c r="Y170" s="20">
        <v>167000.0</v>
      </c>
      <c r="Z170" s="104"/>
      <c r="AA170" s="105"/>
      <c r="AB170" s="110"/>
      <c r="AC170" s="20"/>
    </row>
    <row r="171">
      <c r="A171" s="114"/>
      <c r="B171" s="115"/>
      <c r="C171" s="116">
        <f>I171/E196</f>
        <v>0</v>
      </c>
      <c r="D171" s="117" t="s">
        <v>194</v>
      </c>
      <c r="E171" s="117" t="s">
        <v>195</v>
      </c>
      <c r="F171" s="118">
        <v>7.6</v>
      </c>
      <c r="G171" s="119">
        <v>25000.0</v>
      </c>
      <c r="H171" s="19">
        <f t="shared" si="76"/>
        <v>109500</v>
      </c>
      <c r="I171" s="20">
        <v>0.0</v>
      </c>
      <c r="J171" s="120">
        <v>4.38</v>
      </c>
      <c r="K171" s="121"/>
      <c r="L171" s="122">
        <v>7.17</v>
      </c>
      <c r="M171" s="123">
        <v>5.4</v>
      </c>
      <c r="N171" s="100">
        <f t="shared" si="77"/>
        <v>2.79</v>
      </c>
      <c r="O171" s="101">
        <f t="shared" si="80"/>
        <v>0.2328767123</v>
      </c>
      <c r="P171" s="102">
        <f t="shared" si="78"/>
        <v>25500</v>
      </c>
      <c r="Q171" s="124"/>
      <c r="R171" s="125"/>
      <c r="S171" s="126"/>
      <c r="T171" s="125"/>
      <c r="U171" s="125"/>
      <c r="V171" s="127" t="s">
        <v>196</v>
      </c>
      <c r="W171" s="128">
        <v>45608.0</v>
      </c>
      <c r="X171" s="123">
        <v>5.4</v>
      </c>
      <c r="Y171" s="129">
        <v>135000.0</v>
      </c>
      <c r="Z171" s="130" t="s">
        <v>196</v>
      </c>
      <c r="AA171" s="131">
        <v>45605.0</v>
      </c>
      <c r="AB171" s="132">
        <v>4.38</v>
      </c>
      <c r="AC171" s="133">
        <v>109500.0</v>
      </c>
    </row>
    <row r="172">
      <c r="A172" s="114"/>
      <c r="B172" s="115"/>
      <c r="C172" s="116">
        <f>I172/E196</f>
        <v>0</v>
      </c>
      <c r="D172" s="117" t="s">
        <v>194</v>
      </c>
      <c r="E172" s="117" t="s">
        <v>195</v>
      </c>
      <c r="F172" s="118">
        <v>7.6</v>
      </c>
      <c r="G172" s="119">
        <v>10000.0</v>
      </c>
      <c r="H172" s="19">
        <f t="shared" si="76"/>
        <v>45200</v>
      </c>
      <c r="I172" s="20">
        <v>0.0</v>
      </c>
      <c r="J172" s="120">
        <v>4.52</v>
      </c>
      <c r="K172" s="121"/>
      <c r="L172" s="122">
        <v>7.17</v>
      </c>
      <c r="M172" s="123">
        <v>4.3</v>
      </c>
      <c r="N172" s="100">
        <f t="shared" si="77"/>
        <v>2.65</v>
      </c>
      <c r="O172" s="101">
        <f t="shared" si="80"/>
        <v>-0.04867256637</v>
      </c>
      <c r="P172" s="102">
        <f t="shared" si="78"/>
        <v>-2200</v>
      </c>
      <c r="Q172" s="124"/>
      <c r="R172" s="125"/>
      <c r="S172" s="126"/>
      <c r="T172" s="125"/>
      <c r="U172" s="125"/>
      <c r="V172" s="127" t="s">
        <v>196</v>
      </c>
      <c r="W172" s="128">
        <v>45604.0</v>
      </c>
      <c r="X172" s="123">
        <v>4.3</v>
      </c>
      <c r="Y172" s="129">
        <v>43000.0</v>
      </c>
      <c r="Z172" s="130"/>
      <c r="AA172" s="131"/>
      <c r="AB172" s="132"/>
      <c r="AC172" s="133"/>
    </row>
    <row r="173">
      <c r="A173" s="114"/>
      <c r="B173" s="115"/>
      <c r="C173" s="116">
        <f>I173/E196</f>
        <v>0</v>
      </c>
      <c r="D173" s="117" t="s">
        <v>197</v>
      </c>
      <c r="E173" s="117" t="s">
        <v>198</v>
      </c>
      <c r="F173" s="118">
        <v>7.4</v>
      </c>
      <c r="G173" s="119">
        <v>3000000.0</v>
      </c>
      <c r="H173" s="19">
        <f t="shared" si="76"/>
        <v>46800</v>
      </c>
      <c r="I173" s="20">
        <v>0.0</v>
      </c>
      <c r="J173" s="134">
        <v>0.0156</v>
      </c>
      <c r="K173" s="121"/>
      <c r="L173" s="112">
        <v>0.021</v>
      </c>
      <c r="M173" s="135">
        <v>0.01452</v>
      </c>
      <c r="N173" s="100">
        <f t="shared" si="77"/>
        <v>0.0054</v>
      </c>
      <c r="O173" s="101">
        <f t="shared" si="80"/>
        <v>-0.06923076923</v>
      </c>
      <c r="P173" s="102">
        <f t="shared" si="78"/>
        <v>-3240</v>
      </c>
      <c r="Q173" s="124"/>
      <c r="R173" s="125"/>
      <c r="S173" s="126"/>
      <c r="T173" s="125"/>
      <c r="U173" s="125"/>
      <c r="V173" s="127" t="s">
        <v>199</v>
      </c>
      <c r="W173" s="128">
        <v>45604.0</v>
      </c>
      <c r="X173" s="135">
        <v>0.01452</v>
      </c>
      <c r="Y173" s="129">
        <v>43560.0</v>
      </c>
      <c r="Z173" s="130"/>
      <c r="AA173" s="131"/>
      <c r="AB173" s="136"/>
      <c r="AC173" s="133"/>
    </row>
    <row r="174">
      <c r="A174" s="114"/>
      <c r="B174" s="115"/>
      <c r="C174" s="116">
        <f>I174/E196</f>
        <v>0</v>
      </c>
      <c r="D174" s="15" t="s">
        <v>200</v>
      </c>
      <c r="E174" s="42" t="s">
        <v>201</v>
      </c>
      <c r="F174" s="17">
        <v>7.7</v>
      </c>
      <c r="G174" s="119">
        <v>200000.0</v>
      </c>
      <c r="H174" s="19">
        <f t="shared" si="76"/>
        <v>124000</v>
      </c>
      <c r="I174" s="20">
        <v>0.0</v>
      </c>
      <c r="J174" s="120">
        <v>0.62</v>
      </c>
      <c r="K174" s="121"/>
      <c r="L174" s="137">
        <v>2.19</v>
      </c>
      <c r="M174" s="138">
        <v>0.5507</v>
      </c>
      <c r="N174" s="100">
        <f t="shared" si="77"/>
        <v>1.57</v>
      </c>
      <c r="O174" s="139">
        <f t="shared" si="80"/>
        <v>-0.1117741935</v>
      </c>
      <c r="P174" s="102">
        <f t="shared" si="78"/>
        <v>-13860</v>
      </c>
      <c r="Q174" s="124"/>
      <c r="R174" s="125"/>
      <c r="S174" s="126"/>
      <c r="T174" s="125"/>
      <c r="U174" s="125"/>
      <c r="V174" s="127" t="s">
        <v>202</v>
      </c>
      <c r="W174" s="128">
        <v>45604.0</v>
      </c>
      <c r="X174" s="140">
        <v>0.5507</v>
      </c>
      <c r="Y174" s="129">
        <v>110140.0</v>
      </c>
      <c r="Z174" s="130"/>
      <c r="AA174" s="131"/>
      <c r="AB174" s="136"/>
      <c r="AC174" s="133"/>
    </row>
    <row r="175">
      <c r="A175" s="114"/>
      <c r="B175" s="115"/>
      <c r="C175" s="116">
        <f>I175/E196</f>
        <v>0</v>
      </c>
      <c r="D175" s="15" t="s">
        <v>203</v>
      </c>
      <c r="E175" s="42" t="s">
        <v>204</v>
      </c>
      <c r="F175" s="17">
        <v>7.8</v>
      </c>
      <c r="G175" s="119">
        <v>1000.0</v>
      </c>
      <c r="H175" s="19">
        <f t="shared" si="76"/>
        <v>68000</v>
      </c>
      <c r="I175" s="20">
        <v>0.0</v>
      </c>
      <c r="J175" s="141">
        <v>68.0</v>
      </c>
      <c r="K175" s="121"/>
      <c r="L175" s="142">
        <v>105.0</v>
      </c>
      <c r="M175" s="123">
        <v>129.5</v>
      </c>
      <c r="N175" s="100">
        <f t="shared" si="77"/>
        <v>37</v>
      </c>
      <c r="O175" s="143">
        <f t="shared" si="80"/>
        <v>0.9044117647</v>
      </c>
      <c r="P175" s="102">
        <f t="shared" si="78"/>
        <v>61500</v>
      </c>
      <c r="Q175" s="124"/>
      <c r="R175" s="125"/>
      <c r="S175" s="126"/>
      <c r="T175" s="125"/>
      <c r="U175" s="125"/>
      <c r="V175" s="127" t="s">
        <v>205</v>
      </c>
      <c r="W175" s="128">
        <v>45629.0</v>
      </c>
      <c r="X175" s="123">
        <v>129.5</v>
      </c>
      <c r="Y175" s="129">
        <v>129500.0</v>
      </c>
      <c r="Z175" s="130"/>
      <c r="AA175" s="131"/>
      <c r="AB175" s="144"/>
      <c r="AC175" s="133"/>
    </row>
    <row r="176">
      <c r="A176" s="114"/>
      <c r="B176" s="115"/>
      <c r="C176" s="116">
        <f>I176/E196</f>
        <v>0</v>
      </c>
      <c r="D176" s="15" t="s">
        <v>203</v>
      </c>
      <c r="E176" s="42" t="s">
        <v>204</v>
      </c>
      <c r="F176" s="17">
        <v>7.8</v>
      </c>
      <c r="G176" s="119">
        <v>1000.0</v>
      </c>
      <c r="H176" s="19">
        <f t="shared" si="76"/>
        <v>71750</v>
      </c>
      <c r="I176" s="20">
        <v>0.0</v>
      </c>
      <c r="J176" s="141">
        <v>71.75</v>
      </c>
      <c r="K176" s="121"/>
      <c r="L176" s="142">
        <v>105.0</v>
      </c>
      <c r="M176" s="123">
        <v>81.64</v>
      </c>
      <c r="N176" s="100">
        <f t="shared" si="77"/>
        <v>33.25</v>
      </c>
      <c r="O176" s="143">
        <f t="shared" si="80"/>
        <v>0.1378397213</v>
      </c>
      <c r="P176" s="102">
        <f t="shared" si="78"/>
        <v>9890</v>
      </c>
      <c r="Q176" s="124"/>
      <c r="R176" s="125"/>
      <c r="S176" s="126"/>
      <c r="T176" s="125"/>
      <c r="U176" s="125"/>
      <c r="V176" s="127" t="s">
        <v>205</v>
      </c>
      <c r="W176" s="128">
        <v>45610.0</v>
      </c>
      <c r="X176" s="123">
        <v>81.64</v>
      </c>
      <c r="Y176" s="129">
        <v>81640.0</v>
      </c>
      <c r="Z176" s="130" t="s">
        <v>205</v>
      </c>
      <c r="AA176" s="131">
        <v>45586.0</v>
      </c>
      <c r="AB176" s="144">
        <v>71.75</v>
      </c>
      <c r="AC176" s="133">
        <v>71750.0</v>
      </c>
    </row>
    <row r="177">
      <c r="A177" s="114"/>
      <c r="B177" s="115"/>
      <c r="C177" s="116">
        <f>I177/E196</f>
        <v>0</v>
      </c>
      <c r="D177" s="117" t="s">
        <v>206</v>
      </c>
      <c r="E177" s="117" t="s">
        <v>207</v>
      </c>
      <c r="F177" s="118">
        <v>7.8</v>
      </c>
      <c r="G177" s="119">
        <v>300.0</v>
      </c>
      <c r="H177" s="19">
        <f t="shared" si="76"/>
        <v>103200</v>
      </c>
      <c r="I177" s="20">
        <v>0.0</v>
      </c>
      <c r="J177" s="141">
        <v>344.0</v>
      </c>
      <c r="K177" s="121"/>
      <c r="L177" s="142">
        <v>456.0</v>
      </c>
      <c r="M177" s="123">
        <v>444.3</v>
      </c>
      <c r="N177" s="100">
        <f t="shared" si="77"/>
        <v>112</v>
      </c>
      <c r="O177" s="143">
        <f t="shared" si="80"/>
        <v>0.2915697674</v>
      </c>
      <c r="P177" s="102">
        <f t="shared" si="78"/>
        <v>30090</v>
      </c>
      <c r="Q177" s="124"/>
      <c r="R177" s="125"/>
      <c r="S177" s="126"/>
      <c r="T177" s="125"/>
      <c r="U177" s="125"/>
      <c r="V177" s="127" t="s">
        <v>208</v>
      </c>
      <c r="W177" s="128">
        <v>45608.0</v>
      </c>
      <c r="X177" s="123">
        <v>444.3</v>
      </c>
      <c r="Y177" s="129">
        <v>133290.0</v>
      </c>
      <c r="Z177" s="130"/>
      <c r="AA177" s="131"/>
      <c r="AB177" s="144"/>
      <c r="AC177" s="133"/>
    </row>
    <row r="178">
      <c r="A178" s="114"/>
      <c r="B178" s="115"/>
      <c r="C178" s="116">
        <f>I178/E196</f>
        <v>0</v>
      </c>
      <c r="D178" s="117" t="s">
        <v>206</v>
      </c>
      <c r="E178" s="117" t="s">
        <v>207</v>
      </c>
      <c r="F178" s="118">
        <v>7.8</v>
      </c>
      <c r="G178" s="119">
        <v>350.0</v>
      </c>
      <c r="H178" s="19">
        <f t="shared" si="76"/>
        <v>156800</v>
      </c>
      <c r="I178" s="20">
        <v>0.0</v>
      </c>
      <c r="J178" s="141">
        <v>448.0</v>
      </c>
      <c r="K178" s="121"/>
      <c r="L178" s="142">
        <v>456.0</v>
      </c>
      <c r="M178" s="123">
        <v>485.0</v>
      </c>
      <c r="N178" s="100">
        <f t="shared" si="77"/>
        <v>8</v>
      </c>
      <c r="O178" s="143">
        <f t="shared" si="80"/>
        <v>0.08258928571</v>
      </c>
      <c r="P178" s="102">
        <f t="shared" si="78"/>
        <v>12950</v>
      </c>
      <c r="Q178" s="124"/>
      <c r="R178" s="125"/>
      <c r="S178" s="126"/>
      <c r="T178" s="125"/>
      <c r="U178" s="125"/>
      <c r="V178" s="127" t="s">
        <v>208</v>
      </c>
      <c r="W178" s="128">
        <v>45617.0</v>
      </c>
      <c r="X178" s="123">
        <v>485.0</v>
      </c>
      <c r="Y178" s="129">
        <v>169750.0</v>
      </c>
      <c r="Z178" s="130" t="s">
        <v>208</v>
      </c>
      <c r="AA178" s="131">
        <v>45615.0</v>
      </c>
      <c r="AB178" s="144">
        <v>448.0</v>
      </c>
      <c r="AC178" s="133">
        <v>156800.0</v>
      </c>
    </row>
    <row r="179">
      <c r="A179" s="114"/>
      <c r="B179" s="115"/>
      <c r="C179" s="116">
        <f>I179/E196</f>
        <v>0</v>
      </c>
      <c r="D179" s="117" t="s">
        <v>209</v>
      </c>
      <c r="E179" s="117" t="s">
        <v>210</v>
      </c>
      <c r="F179" s="118">
        <v>7.7</v>
      </c>
      <c r="G179" s="119">
        <v>10000.0</v>
      </c>
      <c r="H179" s="19">
        <f t="shared" si="76"/>
        <v>112800</v>
      </c>
      <c r="I179" s="20">
        <v>0.0</v>
      </c>
      <c r="J179" s="141">
        <v>11.28</v>
      </c>
      <c r="K179" s="121"/>
      <c r="L179" s="142">
        <v>23.3</v>
      </c>
      <c r="M179" s="123">
        <v>19.0</v>
      </c>
      <c r="N179" s="100">
        <f t="shared" si="77"/>
        <v>12.02</v>
      </c>
      <c r="O179" s="143">
        <f t="shared" si="80"/>
        <v>0.6843971631</v>
      </c>
      <c r="P179" s="102">
        <f t="shared" si="78"/>
        <v>77200</v>
      </c>
      <c r="Q179" s="124"/>
      <c r="R179" s="125"/>
      <c r="S179" s="126"/>
      <c r="T179" s="125"/>
      <c r="U179" s="125"/>
      <c r="V179" s="127" t="s">
        <v>211</v>
      </c>
      <c r="W179" s="128">
        <v>45621.0</v>
      </c>
      <c r="X179" s="123">
        <v>19.0</v>
      </c>
      <c r="Y179" s="129">
        <v>190000.0</v>
      </c>
      <c r="Z179" s="130" t="s">
        <v>211</v>
      </c>
      <c r="AA179" s="131">
        <v>45579.0</v>
      </c>
      <c r="AB179" s="144">
        <v>11.28</v>
      </c>
      <c r="AC179" s="133">
        <v>112800.0</v>
      </c>
    </row>
    <row r="180">
      <c r="A180" s="114"/>
      <c r="B180" s="115"/>
      <c r="C180" s="116">
        <f>I180/E196</f>
        <v>0</v>
      </c>
      <c r="D180" s="117" t="s">
        <v>212</v>
      </c>
      <c r="E180" s="117" t="s">
        <v>213</v>
      </c>
      <c r="F180" s="118">
        <v>7.7</v>
      </c>
      <c r="G180" s="119">
        <v>275000.0</v>
      </c>
      <c r="H180" s="19">
        <f t="shared" si="76"/>
        <v>99687.5</v>
      </c>
      <c r="I180" s="20">
        <v>0.0</v>
      </c>
      <c r="J180" s="134">
        <v>0.3625</v>
      </c>
      <c r="K180" s="121"/>
      <c r="L180" s="145">
        <v>0.89</v>
      </c>
      <c r="M180" s="146">
        <v>0.598</v>
      </c>
      <c r="N180" s="100">
        <f t="shared" si="77"/>
        <v>0.5275</v>
      </c>
      <c r="O180" s="143">
        <f t="shared" si="80"/>
        <v>0.6496551724</v>
      </c>
      <c r="P180" s="102">
        <f t="shared" si="78"/>
        <v>64762.5</v>
      </c>
      <c r="Q180" s="124"/>
      <c r="R180" s="125"/>
      <c r="S180" s="126"/>
      <c r="T180" s="125"/>
      <c r="U180" s="125"/>
      <c r="V180" s="127" t="s">
        <v>214</v>
      </c>
      <c r="W180" s="128">
        <v>45607.0</v>
      </c>
      <c r="X180" s="146">
        <v>0.598</v>
      </c>
      <c r="Y180" s="129">
        <v>164450.0</v>
      </c>
      <c r="Z180" s="130" t="s">
        <v>214</v>
      </c>
      <c r="AA180" s="131">
        <v>45579.0</v>
      </c>
      <c r="AB180" s="136">
        <v>0.3625</v>
      </c>
      <c r="AC180" s="133">
        <v>99688.0</v>
      </c>
    </row>
    <row r="181">
      <c r="A181" s="114"/>
      <c r="B181" s="115"/>
      <c r="C181" s="116">
        <f>I181/E196</f>
        <v>0</v>
      </c>
      <c r="D181" s="117" t="s">
        <v>215</v>
      </c>
      <c r="E181" s="117" t="s">
        <v>216</v>
      </c>
      <c r="F181" s="118">
        <v>7.6</v>
      </c>
      <c r="G181" s="119">
        <v>5.0E9</v>
      </c>
      <c r="H181" s="19">
        <f t="shared" si="76"/>
        <v>96150</v>
      </c>
      <c r="I181" s="20">
        <v>0.0</v>
      </c>
      <c r="J181" s="147">
        <v>1.923E-5</v>
      </c>
      <c r="K181" s="121"/>
      <c r="L181" s="148">
        <v>2.2E-5</v>
      </c>
      <c r="M181" s="149">
        <v>2.55E-5</v>
      </c>
      <c r="N181" s="100">
        <f t="shared" si="77"/>
        <v>0.00000277</v>
      </c>
      <c r="O181" s="143">
        <f t="shared" si="80"/>
        <v>0.3260530421</v>
      </c>
      <c r="P181" s="102">
        <f t="shared" si="78"/>
        <v>31350</v>
      </c>
      <c r="Q181" s="124"/>
      <c r="R181" s="125"/>
      <c r="S181" s="126"/>
      <c r="T181" s="125"/>
      <c r="U181" s="125"/>
      <c r="V181" s="127" t="s">
        <v>217</v>
      </c>
      <c r="W181" s="128">
        <v>45607.0</v>
      </c>
      <c r="X181" s="150">
        <v>2.55E-5</v>
      </c>
      <c r="Y181" s="129">
        <v>127500.0</v>
      </c>
      <c r="Z181" s="130" t="s">
        <v>217</v>
      </c>
      <c r="AA181" s="131">
        <v>45605.0</v>
      </c>
      <c r="AB181" s="151">
        <v>1.923E-5</v>
      </c>
      <c r="AC181" s="133">
        <v>96150.0</v>
      </c>
    </row>
    <row r="182">
      <c r="A182" s="114"/>
      <c r="B182" s="115"/>
      <c r="C182" s="116">
        <f>I182/E196</f>
        <v>0</v>
      </c>
      <c r="D182" s="117" t="s">
        <v>218</v>
      </c>
      <c r="E182" s="117" t="s">
        <v>219</v>
      </c>
      <c r="F182" s="118">
        <v>7.7</v>
      </c>
      <c r="G182" s="119">
        <v>7500.0</v>
      </c>
      <c r="H182" s="19">
        <f t="shared" si="76"/>
        <v>154800</v>
      </c>
      <c r="I182" s="20">
        <v>0.0</v>
      </c>
      <c r="J182" s="141">
        <v>20.64</v>
      </c>
      <c r="K182" s="121"/>
      <c r="L182" s="142">
        <v>26.8</v>
      </c>
      <c r="M182" s="123">
        <v>22.91</v>
      </c>
      <c r="N182" s="100">
        <f t="shared" si="77"/>
        <v>6.16</v>
      </c>
      <c r="O182" s="143">
        <f t="shared" si="80"/>
        <v>0.1099806202</v>
      </c>
      <c r="P182" s="102">
        <f t="shared" si="78"/>
        <v>17025</v>
      </c>
      <c r="Q182" s="124"/>
      <c r="R182" s="125"/>
      <c r="S182" s="126"/>
      <c r="T182" s="125"/>
      <c r="U182" s="125"/>
      <c r="V182" s="127" t="s">
        <v>220</v>
      </c>
      <c r="W182" s="128">
        <v>45608.0</v>
      </c>
      <c r="X182" s="123">
        <v>22.91</v>
      </c>
      <c r="Y182" s="129">
        <v>171825.0</v>
      </c>
      <c r="Z182" s="130" t="s">
        <v>220</v>
      </c>
      <c r="AA182" s="131">
        <v>45605.0</v>
      </c>
      <c r="AB182" s="144">
        <v>20.64</v>
      </c>
      <c r="AC182" s="133">
        <v>154800.0</v>
      </c>
    </row>
    <row r="183">
      <c r="A183" s="114"/>
      <c r="B183" s="115"/>
      <c r="C183" s="116">
        <f>I183/E196</f>
        <v>0</v>
      </c>
      <c r="D183" s="117" t="s">
        <v>218</v>
      </c>
      <c r="E183" s="117" t="s">
        <v>219</v>
      </c>
      <c r="F183" s="118">
        <v>7.7</v>
      </c>
      <c r="G183" s="119">
        <v>5000.0</v>
      </c>
      <c r="H183" s="19">
        <f t="shared" si="76"/>
        <v>130750</v>
      </c>
      <c r="I183" s="20">
        <v>0.0</v>
      </c>
      <c r="J183" s="141">
        <v>26.15</v>
      </c>
      <c r="K183" s="121"/>
      <c r="L183" s="142">
        <v>26.8</v>
      </c>
      <c r="M183" s="123">
        <v>30.96</v>
      </c>
      <c r="N183" s="100">
        <f t="shared" si="77"/>
        <v>0.65</v>
      </c>
      <c r="O183" s="143">
        <f t="shared" si="80"/>
        <v>0.1839388145</v>
      </c>
      <c r="P183" s="102">
        <f t="shared" si="78"/>
        <v>24050</v>
      </c>
      <c r="Q183" s="124"/>
      <c r="R183" s="125"/>
      <c r="S183" s="126"/>
      <c r="T183" s="125"/>
      <c r="U183" s="125"/>
      <c r="V183" s="127" t="s">
        <v>220</v>
      </c>
      <c r="W183" s="128">
        <v>45621.0</v>
      </c>
      <c r="X183" s="123">
        <v>30.96</v>
      </c>
      <c r="Y183" s="129">
        <v>154800.0</v>
      </c>
      <c r="Z183" s="130" t="s">
        <v>220</v>
      </c>
      <c r="AA183" s="131">
        <v>45615.0</v>
      </c>
      <c r="AB183" s="144">
        <v>26.15</v>
      </c>
      <c r="AC183" s="133">
        <v>130750.0</v>
      </c>
    </row>
    <row r="184">
      <c r="A184" s="114"/>
      <c r="B184" s="115"/>
      <c r="C184" s="116">
        <f>I184/E196</f>
        <v>0</v>
      </c>
      <c r="D184" s="117" t="s">
        <v>221</v>
      </c>
      <c r="E184" s="117" t="s">
        <v>222</v>
      </c>
      <c r="F184" s="118">
        <v>7.8</v>
      </c>
      <c r="G184" s="119">
        <v>2000.0</v>
      </c>
      <c r="H184" s="19">
        <f t="shared" si="76"/>
        <v>94200</v>
      </c>
      <c r="I184" s="20">
        <v>0.0</v>
      </c>
      <c r="J184" s="141">
        <v>47.1</v>
      </c>
      <c r="K184" s="152">
        <f>IFERROR(__xludf.DUMMYFUNCTION("GOOGLEFINANCE(E184,""changepct"")"),-3.44)</f>
        <v>-3.44</v>
      </c>
      <c r="L184" s="153">
        <f>IFERROR(__xludf.DUMMYFUNCTION("googlefinance(E184,""price"")"),52.29)</f>
        <v>52.29</v>
      </c>
      <c r="M184" s="123">
        <v>62.49</v>
      </c>
      <c r="N184" s="100">
        <f t="shared" si="77"/>
        <v>5.19</v>
      </c>
      <c r="O184" s="143">
        <f t="shared" si="80"/>
        <v>0.3267515924</v>
      </c>
      <c r="P184" s="102">
        <f t="shared" si="78"/>
        <v>30780</v>
      </c>
      <c r="Q184" s="124"/>
      <c r="R184" s="125"/>
      <c r="S184" s="126"/>
      <c r="T184" s="125"/>
      <c r="U184" s="125"/>
      <c r="V184" s="127" t="s">
        <v>222</v>
      </c>
      <c r="W184" s="128">
        <v>45604.0</v>
      </c>
      <c r="X184" s="123">
        <v>62.49</v>
      </c>
      <c r="Y184" s="129">
        <v>124980.0</v>
      </c>
      <c r="Z184" s="130"/>
      <c r="AA184" s="131"/>
      <c r="AB184" s="144"/>
      <c r="AC184" s="133"/>
    </row>
    <row r="185">
      <c r="A185" s="114"/>
      <c r="B185" s="115"/>
      <c r="C185" s="116">
        <f>I185/E196</f>
        <v>0</v>
      </c>
      <c r="D185" s="117" t="s">
        <v>221</v>
      </c>
      <c r="E185" s="117" t="s">
        <v>222</v>
      </c>
      <c r="F185" s="118">
        <v>7.8</v>
      </c>
      <c r="G185" s="119">
        <v>2000.0</v>
      </c>
      <c r="H185" s="19">
        <f t="shared" si="76"/>
        <v>103700</v>
      </c>
      <c r="I185" s="20">
        <v>0.0</v>
      </c>
      <c r="J185" s="141">
        <v>51.85</v>
      </c>
      <c r="K185" s="152">
        <f>IFERROR(__xludf.DUMMYFUNCTION("GOOGLEFINANCE(E185,""changepct"")"),-3.44)</f>
        <v>-3.44</v>
      </c>
      <c r="L185" s="153">
        <f>IFERROR(__xludf.DUMMYFUNCTION("googlefinance(E185,""price"")"),52.29)</f>
        <v>52.29</v>
      </c>
      <c r="M185" s="123">
        <v>73.55</v>
      </c>
      <c r="N185" s="100">
        <f t="shared" si="77"/>
        <v>0.44</v>
      </c>
      <c r="O185" s="143">
        <f t="shared" si="80"/>
        <v>0.418514947</v>
      </c>
      <c r="P185" s="102">
        <f t="shared" si="78"/>
        <v>43400</v>
      </c>
      <c r="Q185" s="124"/>
      <c r="R185" s="125"/>
      <c r="S185" s="126"/>
      <c r="T185" s="125"/>
      <c r="U185" s="125"/>
      <c r="V185" s="127" t="s">
        <v>222</v>
      </c>
      <c r="W185" s="128">
        <v>45631.0</v>
      </c>
      <c r="X185" s="123">
        <v>73.55</v>
      </c>
      <c r="Y185" s="129">
        <v>147100.0</v>
      </c>
      <c r="Z185" s="130" t="s">
        <v>222</v>
      </c>
      <c r="AA185" s="131">
        <v>45586.0</v>
      </c>
      <c r="AB185" s="144">
        <v>51.85</v>
      </c>
      <c r="AC185" s="133">
        <v>103700.0</v>
      </c>
    </row>
    <row r="186">
      <c r="A186" s="114"/>
      <c r="B186" s="115"/>
      <c r="C186" s="116">
        <f>I186/E196</f>
        <v>0</v>
      </c>
      <c r="D186" s="117" t="s">
        <v>223</v>
      </c>
      <c r="E186" s="117" t="s">
        <v>224</v>
      </c>
      <c r="F186" s="118">
        <v>7.8</v>
      </c>
      <c r="G186" s="119">
        <v>10000.0</v>
      </c>
      <c r="H186" s="19">
        <f t="shared" si="76"/>
        <v>218900</v>
      </c>
      <c r="I186" s="154">
        <v>0.0</v>
      </c>
      <c r="J186" s="141">
        <v>21.89</v>
      </c>
      <c r="K186" s="152">
        <f>IFERROR(__xludf.DUMMYFUNCTION("GOOGLEFINANCE(E186,""changepct"")"),1.75)</f>
        <v>1.75</v>
      </c>
      <c r="L186" s="153">
        <f>IFERROR(__xludf.DUMMYFUNCTION("googlefinance(E186,""price"")"),28.45)</f>
        <v>28.45</v>
      </c>
      <c r="M186" s="123">
        <v>28.07</v>
      </c>
      <c r="N186" s="100">
        <f t="shared" si="77"/>
        <v>6.56</v>
      </c>
      <c r="O186" s="143">
        <f t="shared" si="80"/>
        <v>0.2823206944</v>
      </c>
      <c r="P186" s="155">
        <f t="shared" si="78"/>
        <v>61800</v>
      </c>
      <c r="Q186" s="124"/>
      <c r="R186" s="125"/>
      <c r="S186" s="126"/>
      <c r="T186" s="125"/>
      <c r="U186" s="125"/>
      <c r="V186" s="127" t="s">
        <v>224</v>
      </c>
      <c r="W186" s="128">
        <v>45607.0</v>
      </c>
      <c r="X186" s="123">
        <v>28.07</v>
      </c>
      <c r="Y186" s="129">
        <v>280700.0</v>
      </c>
      <c r="Z186" s="130"/>
      <c r="AA186" s="131"/>
      <c r="AB186" s="144"/>
      <c r="AC186" s="154"/>
    </row>
    <row r="187">
      <c r="A187" s="114"/>
      <c r="B187" s="115"/>
      <c r="C187" s="116">
        <f>I187/E196</f>
        <v>0</v>
      </c>
      <c r="D187" s="156" t="s">
        <v>225</v>
      </c>
      <c r="E187" s="156" t="s">
        <v>226</v>
      </c>
      <c r="F187" s="157">
        <v>6.0</v>
      </c>
      <c r="G187" s="119">
        <v>1000.0</v>
      </c>
      <c r="H187" s="19">
        <f t="shared" si="76"/>
        <v>168600</v>
      </c>
      <c r="I187" s="154">
        <v>0.0</v>
      </c>
      <c r="J187" s="141">
        <v>168.6</v>
      </c>
      <c r="K187" s="152">
        <f>IFERROR(__xludf.DUMMYFUNCTION("GOOGLEFINANCE(E187,""changepct"")"),-8.19)</f>
        <v>-8.19</v>
      </c>
      <c r="L187" s="153">
        <f>IFERROR(__xludf.DUMMYFUNCTION("googlefinance(E187,""price"")"),302.96)</f>
        <v>302.96</v>
      </c>
      <c r="M187" s="123">
        <v>257.2</v>
      </c>
      <c r="N187" s="100">
        <f t="shared" si="77"/>
        <v>134.36</v>
      </c>
      <c r="O187" s="143">
        <f t="shared" si="80"/>
        <v>0.5255041518</v>
      </c>
      <c r="P187" s="155">
        <f t="shared" si="78"/>
        <v>88600</v>
      </c>
      <c r="Q187" s="124"/>
      <c r="R187" s="125"/>
      <c r="S187" s="158"/>
      <c r="T187" s="129">
        <v>1300.0</v>
      </c>
      <c r="U187" s="125"/>
      <c r="V187" s="127" t="s">
        <v>226</v>
      </c>
      <c r="W187" s="128">
        <v>45602.0</v>
      </c>
      <c r="X187" s="123">
        <v>257.2</v>
      </c>
      <c r="Y187" s="129">
        <v>257200.0</v>
      </c>
      <c r="Z187" s="159"/>
      <c r="AA187" s="160"/>
      <c r="AB187" s="161"/>
      <c r="AC187" s="155"/>
    </row>
    <row r="188">
      <c r="A188" s="162"/>
      <c r="B188" s="163"/>
      <c r="C188" s="164">
        <f>I188/E196</f>
        <v>0</v>
      </c>
      <c r="D188" s="156" t="s">
        <v>225</v>
      </c>
      <c r="E188" s="156" t="s">
        <v>226</v>
      </c>
      <c r="F188" s="157">
        <v>6.0</v>
      </c>
      <c r="G188" s="165">
        <v>1000.0</v>
      </c>
      <c r="H188" s="155">
        <f t="shared" si="76"/>
        <v>168600</v>
      </c>
      <c r="I188" s="154">
        <v>0.0</v>
      </c>
      <c r="J188" s="144">
        <v>168.6</v>
      </c>
      <c r="K188" s="152">
        <f>IFERROR(__xludf.DUMMYFUNCTION("GOOGLEFINANCE(E188,""changepct"")"),-8.19)</f>
        <v>-8.19</v>
      </c>
      <c r="L188" s="153">
        <f>IFERROR(__xludf.DUMMYFUNCTION("googlefinance(E188,""price"")"),302.96)</f>
        <v>302.96</v>
      </c>
      <c r="M188" s="166">
        <v>239.55</v>
      </c>
      <c r="N188" s="161">
        <f t="shared" si="77"/>
        <v>134.36</v>
      </c>
      <c r="O188" s="143">
        <f t="shared" si="80"/>
        <v>0.4208185053</v>
      </c>
      <c r="P188" s="155">
        <f t="shared" si="78"/>
        <v>70950</v>
      </c>
      <c r="Q188" s="167"/>
      <c r="R188" s="168"/>
      <c r="S188" s="169"/>
      <c r="T188" s="170">
        <v>-3150.0</v>
      </c>
      <c r="U188" s="168"/>
      <c r="V188" s="171" t="s">
        <v>226</v>
      </c>
      <c r="W188" s="172">
        <v>45590.0</v>
      </c>
      <c r="X188" s="166">
        <v>239.55</v>
      </c>
      <c r="Y188" s="170">
        <v>239550.0</v>
      </c>
      <c r="Z188" s="159"/>
      <c r="AA188" s="160"/>
      <c r="AB188" s="161"/>
      <c r="AC188" s="155"/>
    </row>
    <row r="189">
      <c r="A189" s="48"/>
      <c r="B189" s="6"/>
      <c r="C189" s="6" t="s">
        <v>89</v>
      </c>
      <c r="D189" s="53"/>
      <c r="E189" s="53"/>
      <c r="F189" s="53"/>
      <c r="G189" s="11"/>
      <c r="H189" s="49">
        <f t="shared" ref="H189:I189" si="81">SUM(H163:H188)</f>
        <v>3126007.5</v>
      </c>
      <c r="I189" s="49">
        <f t="shared" si="81"/>
        <v>446000</v>
      </c>
      <c r="J189" s="54"/>
      <c r="K189" s="53"/>
      <c r="L189" s="6"/>
      <c r="M189" s="53"/>
      <c r="N189" s="53"/>
      <c r="O189" s="71">
        <f>F194</f>
        <v>0.5488389084</v>
      </c>
      <c r="P189" s="49">
        <f>SUM(P163:P188)</f>
        <v>954011</v>
      </c>
      <c r="Q189" s="53"/>
      <c r="R189" s="53"/>
      <c r="S189" s="173"/>
      <c r="T189" s="11">
        <f>SUM(T163:T188)</f>
        <v>-1850</v>
      </c>
      <c r="U189" s="6"/>
      <c r="V189" s="6" t="s">
        <v>89</v>
      </c>
      <c r="W189" s="53"/>
      <c r="X189" s="54"/>
      <c r="Y189" s="49">
        <f>SUM(Y163:Y188)</f>
        <v>3634019</v>
      </c>
      <c r="Z189" s="6" t="s">
        <v>89</v>
      </c>
      <c r="AA189" s="53"/>
      <c r="AB189" s="174"/>
      <c r="AC189" s="49">
        <f>SUM(AC163:AC188)</f>
        <v>1387773</v>
      </c>
    </row>
    <row r="190">
      <c r="A190" s="48" t="s">
        <v>227</v>
      </c>
      <c r="B190" s="6" t="s">
        <v>228</v>
      </c>
      <c r="C190" s="6" t="s">
        <v>229</v>
      </c>
      <c r="D190" s="5" t="s">
        <v>230</v>
      </c>
      <c r="E190" s="6" t="s">
        <v>231</v>
      </c>
      <c r="F190" s="6" t="s">
        <v>14</v>
      </c>
      <c r="G190" s="5" t="s">
        <v>232</v>
      </c>
      <c r="H190" s="6" t="s">
        <v>233</v>
      </c>
      <c r="I190" s="5" t="s">
        <v>234</v>
      </c>
      <c r="J190" s="5" t="s">
        <v>235</v>
      </c>
      <c r="K190" s="5" t="s">
        <v>236</v>
      </c>
      <c r="L190" s="53"/>
      <c r="M190" s="53"/>
      <c r="N190" s="53"/>
      <c r="O190" s="53"/>
      <c r="P190" s="53"/>
      <c r="Q190" s="53"/>
      <c r="R190" s="175"/>
      <c r="S190" s="176"/>
      <c r="T190" s="177"/>
      <c r="U190" s="175"/>
      <c r="V190" s="175"/>
      <c r="W190" s="175"/>
      <c r="X190" s="175"/>
      <c r="Y190" s="175"/>
      <c r="Z190" s="175"/>
      <c r="AA190" s="175"/>
      <c r="AB190" s="175"/>
      <c r="AC190" s="175"/>
    </row>
    <row r="191">
      <c r="A191" s="178" t="s">
        <v>237</v>
      </c>
      <c r="B191" s="14">
        <f>B4</f>
        <v>0.5407312505</v>
      </c>
      <c r="C191" s="20">
        <f>H76</f>
        <v>30293975</v>
      </c>
      <c r="D191" s="20">
        <v>1.588601E7</v>
      </c>
      <c r="E191" s="19">
        <f>I76</f>
        <v>15703675</v>
      </c>
      <c r="F191" s="25">
        <f t="shared" ref="F191:G191" si="82">O76</f>
        <v>0.1944965112</v>
      </c>
      <c r="G191" s="179">
        <f t="shared" si="82"/>
        <v>2872010</v>
      </c>
      <c r="H191" s="180">
        <f>T161+T129+T76+T90+T189+AB208</f>
        <v>190200</v>
      </c>
      <c r="I191" s="179">
        <f>R161+R129+R76</f>
        <v>0</v>
      </c>
      <c r="J191" s="180">
        <f>AB208</f>
        <v>0</v>
      </c>
      <c r="K191" s="179">
        <f>G191+H191+G193+I191+J191+G192</f>
        <v>3398160</v>
      </c>
      <c r="L191" s="32"/>
      <c r="M191" s="32"/>
      <c r="N191" s="32"/>
      <c r="O191" s="32"/>
      <c r="P191" s="32"/>
      <c r="Q191" s="32"/>
      <c r="R191" s="175"/>
      <c r="S191" s="176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</row>
    <row r="192">
      <c r="A192" s="181" t="s">
        <v>238</v>
      </c>
      <c r="B192" s="14">
        <f>(I90+I129+I105+I98)/E196</f>
        <v>0.2480117239</v>
      </c>
      <c r="C192" s="20">
        <f>H90+H129+H98+H105</f>
        <v>12825198</v>
      </c>
      <c r="D192" s="20">
        <v>3524500.0</v>
      </c>
      <c r="E192" s="19">
        <f>I90+I129+I98+I105</f>
        <v>7202645.5</v>
      </c>
      <c r="F192" s="25">
        <f>G192/E192</f>
        <v>0.1102560163</v>
      </c>
      <c r="G192" s="179">
        <f>P90+P129</f>
        <v>794135</v>
      </c>
      <c r="H192" s="182"/>
      <c r="I192" s="182"/>
      <c r="J192" s="182"/>
      <c r="K192" s="183">
        <f>K191/(D192+D193+D191)</f>
        <v>0.1507599755</v>
      </c>
      <c r="L192" s="32"/>
      <c r="M192" s="32"/>
      <c r="N192" s="32"/>
      <c r="O192" s="32"/>
      <c r="P192" s="32"/>
      <c r="Q192" s="32"/>
      <c r="R192" s="175"/>
      <c r="S192" s="176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</row>
    <row r="193">
      <c r="A193" s="178" t="s">
        <v>239</v>
      </c>
      <c r="B193" s="14">
        <f>E193/E196</f>
        <v>0.1954683724</v>
      </c>
      <c r="C193" s="20">
        <f>H161</f>
        <v>7902090</v>
      </c>
      <c r="D193" s="20">
        <v>3129690.0</v>
      </c>
      <c r="E193" s="19">
        <f>I161</f>
        <v>5676705</v>
      </c>
      <c r="F193" s="25">
        <f t="shared" ref="F193:G193" si="83">O161</f>
        <v>-0.08057480451</v>
      </c>
      <c r="G193" s="179">
        <f t="shared" si="83"/>
        <v>-458185</v>
      </c>
      <c r="H193" s="184"/>
      <c r="I193" s="184"/>
      <c r="J193" s="184"/>
      <c r="K193" s="185"/>
      <c r="L193" s="32"/>
      <c r="M193" s="32"/>
      <c r="N193" s="32"/>
      <c r="O193" s="32"/>
      <c r="P193" s="32"/>
      <c r="Q193" s="32"/>
      <c r="R193" s="175"/>
      <c r="S193" s="176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</row>
    <row r="194">
      <c r="A194" s="89" t="s">
        <v>240</v>
      </c>
      <c r="B194" s="14">
        <f>E194/E196</f>
        <v>0.01535730571</v>
      </c>
      <c r="C194" s="20">
        <f>H189</f>
        <v>3126007.5</v>
      </c>
      <c r="D194" s="20">
        <v>1738235.0</v>
      </c>
      <c r="E194" s="20">
        <f>I189</f>
        <v>446000</v>
      </c>
      <c r="F194" s="25">
        <f>G194/D194</f>
        <v>0.5488389084</v>
      </c>
      <c r="G194" s="180">
        <f>P189</f>
        <v>954011</v>
      </c>
      <c r="H194" s="186"/>
      <c r="I194" s="187"/>
      <c r="J194" s="186"/>
      <c r="K194" s="186"/>
      <c r="L194" s="32"/>
      <c r="M194" s="32"/>
      <c r="N194" s="32"/>
      <c r="O194" s="32"/>
      <c r="P194" s="32"/>
      <c r="Q194" s="32"/>
      <c r="R194" s="175"/>
      <c r="S194" s="176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</row>
    <row r="195">
      <c r="A195" s="178" t="s">
        <v>241</v>
      </c>
      <c r="B195" s="14">
        <f>E195/E196</f>
        <v>0.0004313474633</v>
      </c>
      <c r="C195" s="29" t="s">
        <v>128</v>
      </c>
      <c r="D195" s="20">
        <v>522044.0</v>
      </c>
      <c r="E195" s="20">
        <f>D195+G195+(Y189+Y161+Y129+Y90+Y76+Y98+Y105)-(AC76+AC90+AC129+AC161+AC189+AC98+AC105)</f>
        <v>12527</v>
      </c>
      <c r="F195" s="188" t="s">
        <v>128</v>
      </c>
      <c r="G195" s="179">
        <f>H191+I191+J191</f>
        <v>190200</v>
      </c>
      <c r="H195" s="189" t="s">
        <v>242</v>
      </c>
      <c r="I195" s="189" t="s">
        <v>243</v>
      </c>
      <c r="J195" s="189" t="s">
        <v>244</v>
      </c>
      <c r="K195" s="189" t="s">
        <v>245</v>
      </c>
      <c r="L195" s="32"/>
      <c r="M195" s="32"/>
      <c r="N195" s="32"/>
      <c r="O195" s="32"/>
      <c r="P195" s="32"/>
      <c r="Q195" s="32"/>
      <c r="R195" s="175"/>
      <c r="S195" s="176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</row>
    <row r="196">
      <c r="A196" s="48" t="s">
        <v>246</v>
      </c>
      <c r="B196" s="190">
        <v>1.0</v>
      </c>
      <c r="C196" s="49" t="s">
        <v>128</v>
      </c>
      <c r="D196" s="191">
        <f t="shared" ref="D196:E196" si="84">SUM(D191:D195)</f>
        <v>24800479</v>
      </c>
      <c r="E196" s="191">
        <f t="shared" si="84"/>
        <v>29041552.5</v>
      </c>
      <c r="F196" s="25">
        <f>G196/D196</f>
        <v>0.1754873767</v>
      </c>
      <c r="G196" s="49">
        <f>SUM(G191:G195)</f>
        <v>4352171</v>
      </c>
      <c r="H196" s="192">
        <v>1.7035387E7</v>
      </c>
      <c r="I196" s="193">
        <f>E196</f>
        <v>29041552.5</v>
      </c>
      <c r="J196" s="11">
        <f>I196-H196</f>
        <v>12006165.5</v>
      </c>
      <c r="K196" s="182">
        <f>J196/H196</f>
        <v>0.7047779719</v>
      </c>
      <c r="L196" s="53"/>
      <c r="M196" s="53"/>
      <c r="N196" s="53"/>
      <c r="O196" s="53"/>
      <c r="P196" s="53"/>
      <c r="Q196" s="53"/>
      <c r="R196" s="175"/>
      <c r="S196" s="176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</row>
    <row r="197">
      <c r="A197" s="194" t="s">
        <v>247</v>
      </c>
      <c r="B197" s="195"/>
      <c r="C197" s="196"/>
      <c r="D197" s="196"/>
      <c r="E197" s="196"/>
      <c r="F197" s="196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97"/>
      <c r="T197" s="197"/>
      <c r="U197" s="197"/>
      <c r="V197" s="197"/>
      <c r="W197" s="197"/>
      <c r="X197" s="197"/>
      <c r="Y197" s="197"/>
      <c r="Z197" s="197"/>
      <c r="AA197" s="197"/>
      <c r="AB197" s="197"/>
      <c r="AC197" s="175"/>
    </row>
    <row r="198">
      <c r="A198" s="198" t="s">
        <v>248</v>
      </c>
      <c r="B198" s="199"/>
      <c r="C198" s="200" t="s">
        <v>249</v>
      </c>
      <c r="D198" s="200" t="s">
        <v>250</v>
      </c>
      <c r="E198" s="200" t="s">
        <v>251</v>
      </c>
      <c r="F198" s="201" t="s">
        <v>252</v>
      </c>
      <c r="G198" s="202"/>
      <c r="H198" s="203" t="s">
        <v>253</v>
      </c>
      <c r="I198" s="203" t="s">
        <v>254</v>
      </c>
      <c r="J198" s="203" t="s">
        <v>255</v>
      </c>
      <c r="K198" s="203" t="s">
        <v>256</v>
      </c>
      <c r="L198" s="203" t="s">
        <v>257</v>
      </c>
      <c r="M198" s="203" t="s">
        <v>258</v>
      </c>
      <c r="N198" s="203" t="s">
        <v>259</v>
      </c>
      <c r="O198" s="203" t="s">
        <v>260</v>
      </c>
      <c r="P198" s="203" t="s">
        <v>261</v>
      </c>
      <c r="Q198" s="203" t="s">
        <v>262</v>
      </c>
      <c r="R198" s="175"/>
      <c r="S198" s="203" t="s">
        <v>263</v>
      </c>
      <c r="T198" s="203" t="s">
        <v>254</v>
      </c>
      <c r="U198" s="203" t="s">
        <v>264</v>
      </c>
      <c r="V198" s="203" t="s">
        <v>256</v>
      </c>
      <c r="W198" s="203" t="s">
        <v>257</v>
      </c>
      <c r="X198" s="203" t="s">
        <v>258</v>
      </c>
      <c r="Y198" s="203" t="s">
        <v>259</v>
      </c>
      <c r="Z198" s="203" t="s">
        <v>260</v>
      </c>
      <c r="AA198" s="203" t="s">
        <v>261</v>
      </c>
      <c r="AB198" s="203" t="s">
        <v>262</v>
      </c>
      <c r="AC198" s="175"/>
    </row>
    <row r="199">
      <c r="A199" s="89" t="s">
        <v>265</v>
      </c>
      <c r="B199" s="16" t="s">
        <v>266</v>
      </c>
      <c r="C199" s="204">
        <v>42330.0</v>
      </c>
      <c r="D199" s="205">
        <f>IFERROR(__xludf.DUMMYFUNCTION("googlefinance(B199,""price"")"),42573.73)</f>
        <v>42573.73</v>
      </c>
      <c r="E199" s="206">
        <f t="shared" ref="E199:E203" si="85">D199-C199</f>
        <v>243.73</v>
      </c>
      <c r="F199" s="207">
        <f t="shared" ref="F199:F203" si="86">D199/C199-1</f>
        <v>0.005757854949</v>
      </c>
      <c r="G199" s="208"/>
      <c r="H199" s="209">
        <v>20000.0</v>
      </c>
      <c r="I199" s="210" t="s">
        <v>46</v>
      </c>
      <c r="J199" s="211">
        <v>45573.0</v>
      </c>
      <c r="K199" s="211">
        <v>45611.0</v>
      </c>
      <c r="L199" s="212">
        <v>42.0</v>
      </c>
      <c r="M199" s="212">
        <v>2.7</v>
      </c>
      <c r="N199" s="213">
        <v>54000.0</v>
      </c>
      <c r="O199" s="211">
        <v>45574.0</v>
      </c>
      <c r="P199" s="212">
        <v>3.2</v>
      </c>
      <c r="Q199" s="213">
        <v>-10000.0</v>
      </c>
      <c r="R199" s="175"/>
      <c r="S199" s="214"/>
      <c r="T199" s="104"/>
      <c r="U199" s="108"/>
      <c r="V199" s="108"/>
      <c r="W199" s="215"/>
      <c r="X199" s="216"/>
      <c r="Y199" s="217"/>
      <c r="Z199" s="108"/>
      <c r="AA199" s="216"/>
      <c r="AB199" s="217"/>
      <c r="AC199" s="175"/>
    </row>
    <row r="200">
      <c r="A200" s="89" t="s">
        <v>267</v>
      </c>
      <c r="B200" s="16" t="s">
        <v>268</v>
      </c>
      <c r="C200" s="204">
        <v>5762.0</v>
      </c>
      <c r="D200" s="205">
        <f>IFERROR(__xludf.DUMMYFUNCTION("googlefinance(B200,""price"")"),5906.94)</f>
        <v>5906.94</v>
      </c>
      <c r="E200" s="206">
        <f t="shared" si="85"/>
        <v>144.94</v>
      </c>
      <c r="F200" s="207">
        <f t="shared" si="86"/>
        <v>0.02515446026</v>
      </c>
      <c r="G200" s="208"/>
      <c r="H200" s="209">
        <v>1000.0</v>
      </c>
      <c r="I200" s="210" t="s">
        <v>226</v>
      </c>
      <c r="J200" s="211">
        <v>45573.0</v>
      </c>
      <c r="K200" s="211">
        <v>45611.0</v>
      </c>
      <c r="L200" s="212">
        <v>225.0</v>
      </c>
      <c r="M200" s="212">
        <v>16.15</v>
      </c>
      <c r="N200" s="213">
        <v>16150.0</v>
      </c>
      <c r="O200" s="211">
        <v>45586.0</v>
      </c>
      <c r="P200" s="212">
        <v>19.3</v>
      </c>
      <c r="Q200" s="213">
        <v>-3150.0</v>
      </c>
      <c r="R200" s="175"/>
      <c r="S200" s="214"/>
      <c r="T200" s="104"/>
      <c r="U200" s="108"/>
      <c r="V200" s="108"/>
      <c r="W200" s="215"/>
      <c r="X200" s="216"/>
      <c r="Y200" s="217"/>
      <c r="Z200" s="108"/>
      <c r="AA200" s="216"/>
      <c r="AB200" s="217"/>
      <c r="AC200" s="175"/>
    </row>
    <row r="201">
      <c r="A201" s="89" t="s">
        <v>269</v>
      </c>
      <c r="B201" s="16" t="s">
        <v>270</v>
      </c>
      <c r="C201" s="204">
        <v>18189.0</v>
      </c>
      <c r="D201" s="205">
        <f>IFERROR(__xludf.DUMMYFUNCTION("googlefinance(B201,""price"")"),19486.79)</f>
        <v>19486.79</v>
      </c>
      <c r="E201" s="206">
        <f t="shared" si="85"/>
        <v>1297.79</v>
      </c>
      <c r="F201" s="207">
        <f t="shared" si="86"/>
        <v>0.07135026664</v>
      </c>
      <c r="G201" s="208"/>
      <c r="H201" s="218">
        <v>20000.0</v>
      </c>
      <c r="I201" s="219" t="s">
        <v>46</v>
      </c>
      <c r="J201" s="220">
        <v>45574.0</v>
      </c>
      <c r="K201" s="220">
        <v>45611.0</v>
      </c>
      <c r="L201" s="221">
        <v>45.0</v>
      </c>
      <c r="M201" s="221">
        <v>2.12</v>
      </c>
      <c r="N201" s="222">
        <v>42400.0</v>
      </c>
      <c r="O201" s="220">
        <v>45596.0</v>
      </c>
      <c r="P201" s="223">
        <v>2.22</v>
      </c>
      <c r="Q201" s="222">
        <v>-200.0</v>
      </c>
      <c r="R201" s="175"/>
      <c r="S201" s="224"/>
      <c r="T201" s="104"/>
      <c r="U201" s="108"/>
      <c r="V201" s="108"/>
      <c r="W201" s="215"/>
      <c r="X201" s="216"/>
      <c r="Y201" s="217"/>
      <c r="Z201" s="108"/>
      <c r="AA201" s="216"/>
      <c r="AB201" s="217"/>
      <c r="AC201" s="175"/>
    </row>
    <row r="202">
      <c r="A202" s="89" t="s">
        <v>271</v>
      </c>
      <c r="B202" s="16" t="s">
        <v>272</v>
      </c>
      <c r="C202" s="204">
        <v>2230.0</v>
      </c>
      <c r="D202" s="205">
        <f>IFERROR(__xludf.DUMMYFUNCTION("googlefinance(B202,""price"")"),2227.78)</f>
        <v>2227.78</v>
      </c>
      <c r="E202" s="206">
        <f t="shared" si="85"/>
        <v>-2.22</v>
      </c>
      <c r="F202" s="207">
        <f t="shared" si="86"/>
        <v>-0.0009955156951</v>
      </c>
      <c r="G202" s="208"/>
      <c r="H202" s="218">
        <v>1000.0</v>
      </c>
      <c r="I202" s="219" t="s">
        <v>226</v>
      </c>
      <c r="J202" s="220">
        <v>45579.0</v>
      </c>
      <c r="K202" s="220">
        <v>45611.0</v>
      </c>
      <c r="L202" s="221">
        <v>240.0</v>
      </c>
      <c r="M202" s="221">
        <v>15.3</v>
      </c>
      <c r="N202" s="222">
        <v>15300.0</v>
      </c>
      <c r="O202" s="220">
        <v>45600.0</v>
      </c>
      <c r="P202" s="221">
        <v>14.0</v>
      </c>
      <c r="Q202" s="222">
        <v>1300.0</v>
      </c>
      <c r="R202" s="175"/>
      <c r="S202" s="224"/>
      <c r="T202" s="104"/>
      <c r="U202" s="108"/>
      <c r="V202" s="108"/>
      <c r="W202" s="215"/>
      <c r="X202" s="216"/>
      <c r="Y202" s="217"/>
      <c r="Z202" s="108"/>
      <c r="AA202" s="216"/>
      <c r="AB202" s="217"/>
      <c r="AC202" s="175"/>
    </row>
    <row r="203">
      <c r="A203" s="89" t="s">
        <v>273</v>
      </c>
      <c r="B203" s="16" t="s">
        <v>274</v>
      </c>
      <c r="C203" s="204">
        <v>19516.0</v>
      </c>
      <c r="D203" s="205">
        <f>IFERROR(__xludf.DUMMYFUNCTION("googlefinance(B203,""price"")"),19077.93)</f>
        <v>19077.93</v>
      </c>
      <c r="E203" s="206">
        <f t="shared" si="85"/>
        <v>-438.07</v>
      </c>
      <c r="F203" s="207">
        <f t="shared" si="86"/>
        <v>-0.02244671039</v>
      </c>
      <c r="G203" s="208"/>
      <c r="H203" s="225">
        <v>25000.0</v>
      </c>
      <c r="I203" s="104" t="s">
        <v>70</v>
      </c>
      <c r="J203" s="108">
        <v>45586.0</v>
      </c>
      <c r="K203" s="108">
        <v>45611.0</v>
      </c>
      <c r="L203" s="216">
        <v>8.0</v>
      </c>
      <c r="M203" s="216">
        <v>0.85</v>
      </c>
      <c r="N203" s="217">
        <v>21250.0</v>
      </c>
      <c r="O203" s="108">
        <v>45594.0</v>
      </c>
      <c r="P203" s="216">
        <v>0.4</v>
      </c>
      <c r="Q203" s="217">
        <v>11250.0</v>
      </c>
      <c r="R203" s="175"/>
      <c r="S203" s="224"/>
      <c r="T203" s="104"/>
      <c r="U203" s="108"/>
      <c r="V203" s="108"/>
      <c r="W203" s="215"/>
      <c r="X203" s="216"/>
      <c r="Y203" s="217"/>
      <c r="Z203" s="108"/>
      <c r="AA203" s="216"/>
      <c r="AB203" s="217"/>
      <c r="AC203" s="175"/>
    </row>
    <row r="204">
      <c r="H204" s="225">
        <v>10000.0</v>
      </c>
      <c r="I204" s="104" t="s">
        <v>174</v>
      </c>
      <c r="J204" s="108">
        <v>45586.0</v>
      </c>
      <c r="K204" s="108">
        <v>45611.0</v>
      </c>
      <c r="L204" s="216">
        <v>26.0</v>
      </c>
      <c r="M204" s="216">
        <v>1.4</v>
      </c>
      <c r="N204" s="217">
        <v>14000.0</v>
      </c>
      <c r="O204" s="108">
        <v>45595.0</v>
      </c>
      <c r="P204" s="216">
        <v>0.65</v>
      </c>
      <c r="Q204" s="217">
        <v>7500.0</v>
      </c>
      <c r="S204" s="224"/>
      <c r="T204" s="104"/>
      <c r="U204" s="108"/>
      <c r="V204" s="108"/>
      <c r="W204" s="215"/>
      <c r="X204" s="216"/>
      <c r="Y204" s="217"/>
      <c r="Z204" s="108"/>
      <c r="AA204" s="216"/>
      <c r="AB204" s="217"/>
    </row>
    <row r="205">
      <c r="A205" s="226" t="s">
        <v>248</v>
      </c>
      <c r="B205" s="227"/>
      <c r="C205" s="228" t="s">
        <v>275</v>
      </c>
      <c r="D205" s="228" t="s">
        <v>250</v>
      </c>
      <c r="E205" s="228" t="s">
        <v>276</v>
      </c>
      <c r="F205" s="228" t="s">
        <v>277</v>
      </c>
      <c r="H205" s="209">
        <v>15000.0</v>
      </c>
      <c r="I205" s="210" t="s">
        <v>167</v>
      </c>
      <c r="J205" s="108">
        <v>45587.0</v>
      </c>
      <c r="K205" s="211">
        <v>45611.0</v>
      </c>
      <c r="L205" s="212">
        <v>11.0</v>
      </c>
      <c r="M205" s="212">
        <v>0.4</v>
      </c>
      <c r="N205" s="213">
        <v>6000.0</v>
      </c>
      <c r="O205" s="108">
        <v>45595.0</v>
      </c>
      <c r="P205" s="212">
        <v>0.25</v>
      </c>
      <c r="Q205" s="213">
        <v>2250.0</v>
      </c>
      <c r="S205" s="229"/>
      <c r="T205" s="210"/>
      <c r="U205" s="211"/>
      <c r="V205" s="211"/>
      <c r="W205" s="230"/>
      <c r="X205" s="212"/>
      <c r="Y205" s="213"/>
      <c r="Z205" s="211"/>
      <c r="AA205" s="212"/>
      <c r="AB205" s="213"/>
    </row>
    <row r="206">
      <c r="A206" s="231" t="s">
        <v>265</v>
      </c>
      <c r="B206" s="231" t="s">
        <v>266</v>
      </c>
      <c r="C206" s="232">
        <v>37690.0</v>
      </c>
      <c r="D206" s="233">
        <f>IFERROR(__xludf.DUMMYFUNCTION("googlefinance(B206,""price"")"),42573.73)</f>
        <v>42573.73</v>
      </c>
      <c r="E206" s="234">
        <f t="shared" ref="E206:E210" si="87">D206-C206</f>
        <v>4883.73</v>
      </c>
      <c r="F206" s="235">
        <f t="shared" ref="F206:F210" si="88">D206/C206-1</f>
        <v>0.1295762802</v>
      </c>
      <c r="H206" s="209">
        <v>50000.0</v>
      </c>
      <c r="I206" s="210" t="s">
        <v>57</v>
      </c>
      <c r="J206" s="211">
        <v>45596.0</v>
      </c>
      <c r="K206" s="211">
        <v>45646.0</v>
      </c>
      <c r="L206" s="212">
        <v>6.0</v>
      </c>
      <c r="M206" s="212">
        <v>0.44</v>
      </c>
      <c r="N206" s="213">
        <v>22000.0</v>
      </c>
      <c r="O206" s="236" t="s">
        <v>47</v>
      </c>
      <c r="P206" s="212" t="s">
        <v>128</v>
      </c>
      <c r="Q206" s="213">
        <v>22000.0</v>
      </c>
      <c r="S206" s="229"/>
      <c r="T206" s="210"/>
      <c r="U206" s="211"/>
      <c r="V206" s="211"/>
      <c r="W206" s="230"/>
      <c r="X206" s="212"/>
      <c r="Y206" s="213"/>
      <c r="Z206" s="211"/>
      <c r="AA206" s="212"/>
      <c r="AB206" s="213"/>
    </row>
    <row r="207">
      <c r="A207" s="231" t="s">
        <v>267</v>
      </c>
      <c r="B207" s="231" t="s">
        <v>268</v>
      </c>
      <c r="C207" s="232">
        <v>4770.0</v>
      </c>
      <c r="D207" s="233">
        <f>IFERROR(__xludf.DUMMYFUNCTION("googlefinance(B207,""price"")"),5906.94)</f>
        <v>5906.94</v>
      </c>
      <c r="E207" s="234">
        <f t="shared" si="87"/>
        <v>1136.94</v>
      </c>
      <c r="F207" s="235">
        <f t="shared" si="88"/>
        <v>0.2383522013</v>
      </c>
      <c r="H207" s="209">
        <v>10000.0</v>
      </c>
      <c r="I207" s="210" t="s">
        <v>46</v>
      </c>
      <c r="J207" s="211">
        <v>45601.0</v>
      </c>
      <c r="K207" s="211">
        <v>45646.0</v>
      </c>
      <c r="L207" s="212">
        <v>55.0</v>
      </c>
      <c r="M207" s="212">
        <v>1.97</v>
      </c>
      <c r="N207" s="213">
        <v>19700.0</v>
      </c>
      <c r="O207" s="236" t="s">
        <v>47</v>
      </c>
      <c r="P207" s="230" t="s">
        <v>128</v>
      </c>
      <c r="Q207" s="213">
        <v>19700.0</v>
      </c>
      <c r="S207" s="229"/>
      <c r="T207" s="210"/>
      <c r="U207" s="211"/>
      <c r="V207" s="211"/>
      <c r="W207" s="230"/>
      <c r="X207" s="212"/>
      <c r="Y207" s="213"/>
      <c r="Z207" s="211"/>
      <c r="AA207" s="212"/>
      <c r="AB207" s="213"/>
    </row>
    <row r="208">
      <c r="A208" s="231" t="s">
        <v>269</v>
      </c>
      <c r="B208" s="231" t="s">
        <v>270</v>
      </c>
      <c r="C208" s="232">
        <v>15011.0</v>
      </c>
      <c r="D208" s="233">
        <f>IFERROR(__xludf.DUMMYFUNCTION("googlefinance(B208,""price"")"),19486.79)</f>
        <v>19486.79</v>
      </c>
      <c r="E208" s="234">
        <f t="shared" si="87"/>
        <v>4475.79</v>
      </c>
      <c r="F208" s="235">
        <f t="shared" si="88"/>
        <v>0.2981673439</v>
      </c>
      <c r="H208" s="209">
        <v>2500.0</v>
      </c>
      <c r="I208" s="237" t="s">
        <v>36</v>
      </c>
      <c r="J208" s="220">
        <v>45607.0</v>
      </c>
      <c r="K208" s="211">
        <v>45646.0</v>
      </c>
      <c r="L208" s="221">
        <v>370.0</v>
      </c>
      <c r="M208" s="221">
        <v>20.0</v>
      </c>
      <c r="N208" s="222">
        <v>50000.0</v>
      </c>
      <c r="O208" s="220">
        <v>45610.0</v>
      </c>
      <c r="P208" s="221">
        <v>6.98</v>
      </c>
      <c r="Q208" s="222">
        <v>32550.0</v>
      </c>
      <c r="S208" s="238" t="s">
        <v>89</v>
      </c>
      <c r="T208" s="239"/>
      <c r="U208" s="239"/>
      <c r="V208" s="239"/>
      <c r="W208" s="239"/>
      <c r="X208" s="239"/>
      <c r="Y208" s="240">
        <f>SUM(Y199:Y207)</f>
        <v>0</v>
      </c>
      <c r="Z208" s="239"/>
      <c r="AA208" s="241"/>
      <c r="AB208" s="240">
        <f>SUM(AB199:AB207)</f>
        <v>0</v>
      </c>
    </row>
    <row r="209">
      <c r="A209" s="231" t="s">
        <v>271</v>
      </c>
      <c r="B209" s="231" t="s">
        <v>272</v>
      </c>
      <c r="C209" s="232">
        <v>2027.0</v>
      </c>
      <c r="D209" s="233">
        <f>IFERROR(__xludf.DUMMYFUNCTION("googlefinance(B209,""price"")"),2227.78)</f>
        <v>2227.78</v>
      </c>
      <c r="E209" s="234">
        <f t="shared" si="87"/>
        <v>200.78</v>
      </c>
      <c r="F209" s="235">
        <f t="shared" si="88"/>
        <v>0.09905278737</v>
      </c>
      <c r="H209" s="209">
        <v>2000.0</v>
      </c>
      <c r="I209" s="210" t="s">
        <v>36</v>
      </c>
      <c r="J209" s="211">
        <v>45614.0</v>
      </c>
      <c r="K209" s="211">
        <v>45646.0</v>
      </c>
      <c r="L209" s="212">
        <v>350.0</v>
      </c>
      <c r="M209" s="212">
        <v>18.0</v>
      </c>
      <c r="N209" s="213">
        <v>36000.0</v>
      </c>
      <c r="O209" s="211">
        <v>45628.0</v>
      </c>
      <c r="P209" s="212">
        <v>18.2</v>
      </c>
      <c r="Q209" s="213">
        <v>-400.0</v>
      </c>
    </row>
    <row r="210">
      <c r="A210" s="231" t="s">
        <v>273</v>
      </c>
      <c r="B210" s="231" t="s">
        <v>274</v>
      </c>
      <c r="C210" s="232">
        <v>16853.0</v>
      </c>
      <c r="D210" s="233">
        <f>IFERROR(__xludf.DUMMYFUNCTION("googlefinance(B210,""price"")"),19077.93)</f>
        <v>19077.93</v>
      </c>
      <c r="E210" s="234">
        <f t="shared" si="87"/>
        <v>2224.93</v>
      </c>
      <c r="F210" s="235">
        <f t="shared" si="88"/>
        <v>0.1320198184</v>
      </c>
      <c r="H210" s="209">
        <v>10000.0</v>
      </c>
      <c r="I210" s="210" t="s">
        <v>46</v>
      </c>
      <c r="J210" s="211">
        <v>45630.0</v>
      </c>
      <c r="K210" s="211">
        <v>45674.0</v>
      </c>
      <c r="L210" s="212">
        <v>72.5</v>
      </c>
      <c r="M210" s="212">
        <v>3.4</v>
      </c>
      <c r="N210" s="213">
        <v>34000.0</v>
      </c>
      <c r="O210" s="211"/>
      <c r="P210" s="212"/>
      <c r="Q210" s="213">
        <v>34000.0</v>
      </c>
    </row>
    <row r="211">
      <c r="H211" s="209">
        <v>2000.0</v>
      </c>
      <c r="I211" s="210" t="s">
        <v>36</v>
      </c>
      <c r="J211" s="211">
        <v>45635.0</v>
      </c>
      <c r="K211" s="211">
        <v>45674.0</v>
      </c>
      <c r="L211" s="212">
        <v>420.0</v>
      </c>
      <c r="M211" s="212">
        <v>23.4</v>
      </c>
      <c r="N211" s="213">
        <v>46800.0</v>
      </c>
      <c r="O211" s="211"/>
      <c r="P211" s="212"/>
      <c r="Q211" s="213">
        <v>46800.0</v>
      </c>
    </row>
    <row r="212">
      <c r="A212" s="242" t="s">
        <v>278</v>
      </c>
      <c r="B212" s="243" t="s">
        <v>279</v>
      </c>
      <c r="C212" s="244"/>
      <c r="D212" s="244"/>
      <c r="H212" s="209">
        <v>2000.0</v>
      </c>
      <c r="I212" s="210" t="s">
        <v>36</v>
      </c>
      <c r="J212" s="211">
        <v>45643.0</v>
      </c>
      <c r="K212" s="211">
        <v>45674.0</v>
      </c>
      <c r="L212" s="212">
        <v>500.0</v>
      </c>
      <c r="M212" s="212">
        <v>28.0</v>
      </c>
      <c r="N212" s="213">
        <v>56000.0</v>
      </c>
      <c r="O212" s="211">
        <v>45645.0</v>
      </c>
      <c r="P212" s="212">
        <v>13.8</v>
      </c>
      <c r="Q212" s="213">
        <v>28400.0</v>
      </c>
    </row>
    <row r="213">
      <c r="A213" s="242" t="s">
        <v>280</v>
      </c>
      <c r="B213" s="243" t="s">
        <v>281</v>
      </c>
      <c r="C213" s="244"/>
      <c r="D213" s="244"/>
      <c r="H213" s="209"/>
      <c r="I213" s="210"/>
      <c r="J213" s="211"/>
      <c r="K213" s="211"/>
      <c r="L213" s="212"/>
      <c r="M213" s="212"/>
      <c r="N213" s="213"/>
      <c r="O213" s="245"/>
      <c r="P213" s="212"/>
      <c r="Q213" s="213"/>
    </row>
    <row r="214">
      <c r="A214" s="242" t="s">
        <v>282</v>
      </c>
      <c r="B214" s="246" t="s">
        <v>283</v>
      </c>
      <c r="C214" s="244"/>
      <c r="D214" s="244"/>
      <c r="H214" s="209"/>
      <c r="I214" s="210"/>
      <c r="J214" s="211"/>
      <c r="K214" s="211"/>
      <c r="L214" s="212"/>
      <c r="M214" s="212"/>
      <c r="N214" s="213"/>
      <c r="O214" s="211"/>
      <c r="P214" s="212"/>
      <c r="Q214" s="213"/>
    </row>
    <row r="215">
      <c r="A215" s="247" t="s">
        <v>284</v>
      </c>
      <c r="B215" s="248" t="s">
        <v>285</v>
      </c>
      <c r="H215" s="209"/>
      <c r="I215" s="210"/>
      <c r="J215" s="211"/>
      <c r="K215" s="211"/>
      <c r="L215" s="212"/>
      <c r="M215" s="212"/>
      <c r="N215" s="213"/>
      <c r="O215" s="211"/>
      <c r="P215" s="212"/>
      <c r="Q215" s="213"/>
    </row>
    <row r="216">
      <c r="H216" s="209"/>
      <c r="I216" s="210"/>
      <c r="J216" s="211"/>
      <c r="K216" s="211"/>
      <c r="L216" s="212"/>
      <c r="M216" s="212"/>
      <c r="N216" s="213"/>
      <c r="O216" s="211"/>
      <c r="P216" s="212"/>
      <c r="Q216" s="213"/>
    </row>
    <row r="217">
      <c r="H217" s="209"/>
      <c r="I217" s="210"/>
      <c r="J217" s="211"/>
      <c r="K217" s="211"/>
      <c r="L217" s="212"/>
      <c r="M217" s="212"/>
      <c r="N217" s="213"/>
      <c r="O217" s="211"/>
      <c r="P217" s="212"/>
      <c r="Q217" s="213"/>
    </row>
    <row r="218">
      <c r="H218" s="209"/>
      <c r="I218" s="237"/>
      <c r="J218" s="211"/>
      <c r="K218" s="211"/>
      <c r="L218" s="221"/>
      <c r="M218" s="221"/>
      <c r="N218" s="222"/>
      <c r="O218" s="220"/>
      <c r="P218" s="221"/>
      <c r="Q218" s="222"/>
    </row>
    <row r="219">
      <c r="H219" s="209"/>
      <c r="I219" s="210"/>
      <c r="J219" s="211"/>
      <c r="K219" s="211"/>
      <c r="L219" s="212"/>
      <c r="M219" s="212"/>
      <c r="N219" s="213"/>
      <c r="O219" s="211"/>
      <c r="P219" s="212"/>
      <c r="Q219" s="213"/>
    </row>
    <row r="220">
      <c r="A220" s="249"/>
      <c r="B220" s="250"/>
      <c r="H220" s="251"/>
      <c r="I220" s="210"/>
      <c r="J220" s="211"/>
      <c r="K220" s="211"/>
      <c r="L220" s="212"/>
      <c r="M220" s="212"/>
      <c r="N220" s="213"/>
      <c r="O220" s="211"/>
      <c r="P220" s="212"/>
      <c r="Q220" s="213"/>
    </row>
    <row r="221">
      <c r="H221" s="252"/>
      <c r="I221" s="210"/>
      <c r="J221" s="211"/>
      <c r="K221" s="211"/>
      <c r="L221" s="212"/>
      <c r="M221" s="212"/>
      <c r="N221" s="213"/>
      <c r="O221" s="211"/>
      <c r="P221" s="212"/>
      <c r="Q221" s="213"/>
    </row>
    <row r="222">
      <c r="H222" s="253"/>
      <c r="I222" s="210"/>
      <c r="J222" s="211"/>
      <c r="K222" s="211"/>
      <c r="L222" s="212"/>
      <c r="M222" s="212"/>
      <c r="N222" s="213"/>
      <c r="O222" s="211"/>
      <c r="P222" s="212"/>
      <c r="Q222" s="213"/>
    </row>
    <row r="223">
      <c r="H223" s="252"/>
      <c r="I223" s="210"/>
      <c r="J223" s="211"/>
      <c r="K223" s="211"/>
      <c r="L223" s="212"/>
      <c r="M223" s="212"/>
      <c r="N223" s="213"/>
      <c r="O223" s="211"/>
      <c r="P223" s="212"/>
      <c r="Q223" s="213"/>
    </row>
    <row r="224">
      <c r="H224" s="252"/>
      <c r="I224" s="210"/>
      <c r="J224" s="211"/>
      <c r="K224" s="211"/>
      <c r="L224" s="212"/>
      <c r="M224" s="212"/>
      <c r="N224" s="213"/>
      <c r="O224" s="211"/>
      <c r="P224" s="212"/>
      <c r="Q224" s="213"/>
    </row>
    <row r="225">
      <c r="H225" s="209"/>
      <c r="I225" s="237"/>
      <c r="J225" s="220"/>
      <c r="K225" s="211"/>
      <c r="L225" s="223"/>
      <c r="M225" s="223"/>
      <c r="N225" s="222"/>
      <c r="O225" s="220"/>
      <c r="P225" s="221"/>
      <c r="Q225" s="222"/>
    </row>
    <row r="226">
      <c r="H226" s="209"/>
      <c r="I226" s="210"/>
      <c r="J226" s="211"/>
      <c r="K226" s="211"/>
      <c r="L226" s="230"/>
      <c r="M226" s="212"/>
      <c r="N226" s="213"/>
      <c r="O226" s="211"/>
      <c r="P226" s="212"/>
      <c r="Q226" s="213"/>
    </row>
    <row r="227">
      <c r="H227" s="251"/>
      <c r="I227" s="210"/>
      <c r="J227" s="211"/>
      <c r="K227" s="211"/>
      <c r="L227" s="212"/>
      <c r="M227" s="212"/>
      <c r="N227" s="213"/>
      <c r="O227" s="211"/>
      <c r="P227" s="212"/>
      <c r="Q227" s="213"/>
    </row>
    <row r="228">
      <c r="H228" s="209"/>
      <c r="I228" s="210"/>
      <c r="J228" s="211"/>
      <c r="K228" s="211"/>
      <c r="L228" s="212"/>
      <c r="M228" s="212"/>
      <c r="N228" s="213"/>
      <c r="O228" s="211"/>
      <c r="P228" s="212"/>
      <c r="Q228" s="213"/>
    </row>
    <row r="229">
      <c r="H229" s="209"/>
      <c r="I229" s="210"/>
      <c r="J229" s="211"/>
      <c r="K229" s="211"/>
      <c r="L229" s="212"/>
      <c r="M229" s="212"/>
      <c r="N229" s="213"/>
      <c r="O229" s="211"/>
      <c r="P229" s="212"/>
      <c r="Q229" s="213"/>
    </row>
    <row r="230">
      <c r="H230" s="209"/>
      <c r="I230" s="210"/>
      <c r="J230" s="211"/>
      <c r="K230" s="211"/>
      <c r="L230" s="212"/>
      <c r="M230" s="212"/>
      <c r="N230" s="213"/>
      <c r="O230" s="211"/>
      <c r="P230" s="212"/>
      <c r="Q230" s="213"/>
      <c r="S230" s="254" t="s">
        <v>286</v>
      </c>
    </row>
    <row r="231">
      <c r="H231" s="209"/>
      <c r="I231" s="210"/>
      <c r="J231" s="211"/>
      <c r="K231" s="211"/>
      <c r="L231" s="212"/>
      <c r="M231" s="212"/>
      <c r="N231" s="213"/>
      <c r="O231" s="211"/>
      <c r="P231" s="212"/>
      <c r="Q231" s="213"/>
    </row>
    <row r="232">
      <c r="H232" s="209"/>
      <c r="I232" s="210"/>
      <c r="J232" s="211"/>
      <c r="K232" s="211"/>
      <c r="L232" s="212"/>
      <c r="M232" s="212"/>
      <c r="N232" s="213"/>
      <c r="O232" s="211"/>
      <c r="P232" s="212"/>
      <c r="Q232" s="213"/>
    </row>
    <row r="233">
      <c r="H233" s="209"/>
      <c r="I233" s="210"/>
      <c r="J233" s="211"/>
      <c r="K233" s="211"/>
      <c r="L233" s="212"/>
      <c r="M233" s="212"/>
      <c r="N233" s="213"/>
      <c r="O233" s="211"/>
      <c r="P233" s="212"/>
      <c r="Q233" s="213"/>
    </row>
    <row r="234">
      <c r="H234" s="209"/>
      <c r="I234" s="210"/>
      <c r="J234" s="211"/>
      <c r="K234" s="211"/>
      <c r="L234" s="212"/>
      <c r="M234" s="212"/>
      <c r="N234" s="213"/>
      <c r="O234" s="211"/>
      <c r="P234" s="212"/>
      <c r="Q234" s="213"/>
    </row>
    <row r="235">
      <c r="H235" s="209"/>
      <c r="I235" s="210"/>
      <c r="J235" s="211"/>
      <c r="K235" s="211"/>
      <c r="L235" s="212"/>
      <c r="M235" s="212"/>
      <c r="N235" s="213"/>
      <c r="O235" s="245"/>
      <c r="P235" s="212"/>
      <c r="Q235" s="213"/>
    </row>
    <row r="236">
      <c r="H236" s="209"/>
      <c r="I236" s="237"/>
      <c r="J236" s="220"/>
      <c r="K236" s="220"/>
      <c r="L236" s="221"/>
      <c r="M236" s="221"/>
      <c r="N236" s="222"/>
      <c r="O236" s="220"/>
      <c r="P236" s="221"/>
      <c r="Q236" s="222"/>
    </row>
    <row r="237">
      <c r="H237" s="251"/>
      <c r="I237" s="237"/>
      <c r="J237" s="220"/>
      <c r="K237" s="220"/>
      <c r="L237" s="221"/>
      <c r="M237" s="221"/>
      <c r="N237" s="222"/>
      <c r="O237" s="220"/>
      <c r="P237" s="221"/>
      <c r="Q237" s="222"/>
    </row>
    <row r="238">
      <c r="H238" s="209"/>
      <c r="I238" s="210"/>
      <c r="J238" s="211"/>
      <c r="K238" s="211"/>
      <c r="L238" s="212"/>
      <c r="M238" s="212"/>
      <c r="N238" s="213"/>
      <c r="O238" s="211"/>
      <c r="P238" s="212"/>
      <c r="Q238" s="213"/>
    </row>
    <row r="239">
      <c r="H239" s="209"/>
      <c r="I239" s="210"/>
      <c r="J239" s="211"/>
      <c r="K239" s="211"/>
      <c r="L239" s="212"/>
      <c r="M239" s="212"/>
      <c r="N239" s="213"/>
      <c r="O239" s="211"/>
      <c r="P239" s="212"/>
      <c r="Q239" s="213"/>
    </row>
    <row r="240">
      <c r="H240" s="209"/>
      <c r="I240" s="210"/>
      <c r="J240" s="211"/>
      <c r="K240" s="211"/>
      <c r="L240" s="212"/>
      <c r="M240" s="212"/>
      <c r="N240" s="213"/>
      <c r="O240" s="211"/>
      <c r="P240" s="212"/>
      <c r="Q240" s="213"/>
    </row>
    <row r="241">
      <c r="H241" s="255"/>
      <c r="I241" s="210"/>
      <c r="J241" s="211"/>
      <c r="K241" s="211"/>
      <c r="L241" s="212"/>
      <c r="M241" s="212"/>
      <c r="N241" s="213"/>
      <c r="O241" s="211"/>
      <c r="P241" s="212"/>
      <c r="Q241" s="213"/>
    </row>
    <row r="242">
      <c r="H242" s="209"/>
      <c r="I242" s="210"/>
      <c r="J242" s="211"/>
      <c r="K242" s="211"/>
      <c r="L242" s="212"/>
      <c r="M242" s="212"/>
      <c r="N242" s="213"/>
      <c r="O242" s="211"/>
      <c r="P242" s="212"/>
      <c r="Q242" s="213"/>
    </row>
    <row r="243">
      <c r="H243" s="209"/>
      <c r="I243" s="210"/>
      <c r="J243" s="211"/>
      <c r="K243" s="211"/>
      <c r="L243" s="212"/>
      <c r="M243" s="212"/>
      <c r="N243" s="213"/>
      <c r="O243" s="211"/>
      <c r="P243" s="212"/>
      <c r="Q243" s="213"/>
    </row>
    <row r="244">
      <c r="H244" s="218"/>
      <c r="I244" s="219"/>
      <c r="J244" s="220"/>
      <c r="K244" s="220"/>
      <c r="L244" s="221"/>
      <c r="M244" s="221"/>
      <c r="N244" s="222"/>
      <c r="O244" s="220"/>
      <c r="P244" s="223"/>
      <c r="Q244" s="222"/>
    </row>
    <row r="245">
      <c r="H245" s="218"/>
      <c r="I245" s="219"/>
      <c r="J245" s="220"/>
      <c r="K245" s="220"/>
      <c r="L245" s="221"/>
      <c r="M245" s="221"/>
      <c r="N245" s="222"/>
      <c r="O245" s="220"/>
      <c r="P245" s="221"/>
      <c r="Q245" s="222"/>
    </row>
    <row r="246">
      <c r="H246" s="218"/>
      <c r="I246" s="219"/>
      <c r="J246" s="220"/>
      <c r="K246" s="220"/>
      <c r="L246" s="221"/>
      <c r="M246" s="221"/>
      <c r="N246" s="222"/>
      <c r="O246" s="220"/>
      <c r="P246" s="221"/>
      <c r="Q246" s="222"/>
    </row>
    <row r="247">
      <c r="H247" s="209"/>
      <c r="I247" s="237"/>
      <c r="J247" s="220"/>
      <c r="K247" s="220"/>
      <c r="L247" s="221"/>
      <c r="M247" s="221"/>
      <c r="N247" s="222"/>
      <c r="O247" s="220"/>
      <c r="P247" s="221"/>
      <c r="Q247" s="222"/>
    </row>
    <row r="248">
      <c r="H248" s="256"/>
      <c r="I248" s="257"/>
      <c r="J248" s="257"/>
      <c r="K248" s="257"/>
      <c r="L248" s="258"/>
      <c r="M248" s="258"/>
      <c r="N248" s="258"/>
      <c r="O248" s="257"/>
      <c r="P248" s="258"/>
      <c r="Q248" s="258"/>
    </row>
    <row r="249">
      <c r="H249" s="259"/>
      <c r="I249" s="257"/>
      <c r="J249" s="257"/>
      <c r="K249" s="257"/>
      <c r="L249" s="258"/>
      <c r="M249" s="258"/>
      <c r="N249" s="258"/>
      <c r="O249" s="257"/>
      <c r="P249" s="258"/>
      <c r="Q249" s="258"/>
    </row>
    <row r="250">
      <c r="H250" s="259"/>
      <c r="I250" s="257"/>
      <c r="J250" s="257"/>
      <c r="K250" s="257"/>
      <c r="L250" s="258"/>
      <c r="M250" s="258"/>
      <c r="N250" s="258"/>
      <c r="O250" s="257"/>
      <c r="P250" s="258"/>
      <c r="Q250" s="258"/>
    </row>
    <row r="251">
      <c r="H251" s="259"/>
      <c r="I251" s="257"/>
      <c r="J251" s="257"/>
      <c r="K251" s="257"/>
      <c r="L251" s="258"/>
      <c r="M251" s="258"/>
      <c r="N251" s="258"/>
      <c r="O251" s="257"/>
      <c r="P251" s="258"/>
      <c r="Q251" s="258"/>
    </row>
    <row r="252">
      <c r="H252" s="259"/>
      <c r="I252" s="257"/>
      <c r="J252" s="257"/>
      <c r="K252" s="257"/>
      <c r="L252" s="258"/>
      <c r="M252" s="258"/>
      <c r="N252" s="258"/>
      <c r="O252" s="257"/>
      <c r="P252" s="258"/>
      <c r="Q252" s="258"/>
    </row>
    <row r="253">
      <c r="H253" s="259"/>
      <c r="I253" s="257"/>
      <c r="J253" s="257"/>
      <c r="K253" s="257"/>
      <c r="L253" s="258"/>
      <c r="M253" s="258"/>
      <c r="N253" s="258"/>
      <c r="O253" s="257"/>
      <c r="P253" s="258"/>
      <c r="Q253" s="258"/>
    </row>
    <row r="254">
      <c r="H254" s="259"/>
      <c r="I254" s="257"/>
      <c r="J254" s="257"/>
      <c r="K254" s="257"/>
      <c r="L254" s="258"/>
      <c r="M254" s="258"/>
      <c r="N254" s="258"/>
      <c r="O254" s="257"/>
      <c r="P254" s="258"/>
      <c r="Q254" s="258"/>
    </row>
    <row r="255">
      <c r="H255" s="229"/>
      <c r="I255" s="257"/>
      <c r="J255" s="257"/>
      <c r="K255" s="257"/>
      <c r="L255" s="258"/>
      <c r="M255" s="258"/>
      <c r="N255" s="258"/>
      <c r="O255" s="257"/>
      <c r="P255" s="258"/>
      <c r="Q255" s="258"/>
    </row>
    <row r="256">
      <c r="H256" s="229"/>
      <c r="I256" s="257"/>
      <c r="J256" s="257"/>
      <c r="K256" s="257"/>
      <c r="L256" s="258"/>
      <c r="M256" s="258"/>
      <c r="N256" s="258"/>
      <c r="O256" s="257"/>
      <c r="P256" s="258"/>
      <c r="Q256" s="258"/>
    </row>
    <row r="257">
      <c r="H257" s="238" t="s">
        <v>113</v>
      </c>
      <c r="I257" s="239"/>
      <c r="J257" s="239"/>
      <c r="K257" s="239"/>
      <c r="L257" s="239"/>
      <c r="M257" s="239"/>
      <c r="N257" s="260"/>
      <c r="O257" s="239"/>
      <c r="P257" s="239"/>
      <c r="Q257" s="240">
        <f>SUM(Q199:Q256)</f>
        <v>192000</v>
      </c>
    </row>
  </sheetData>
  <hyperlinks>
    <hyperlink r:id="rId1" ref="B212"/>
    <hyperlink r:id="rId2" ref="B213"/>
    <hyperlink r:id="rId3" ref="B214"/>
    <hyperlink r:id="rId4" ref="B215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5.63"/>
    <col customWidth="1" min="3" max="3" width="19.88"/>
    <col customWidth="1" min="4" max="4" width="20.63"/>
    <col customWidth="1" min="5" max="5" width="24.5"/>
    <col customWidth="1" min="6" max="6" width="10.88"/>
    <col customWidth="1" min="7" max="7" width="11.63"/>
    <col customWidth="1" min="8" max="8" width="22.63"/>
    <col customWidth="1" min="9" max="9" width="23.75"/>
    <col customWidth="1" min="10" max="10" width="16.5"/>
    <col customWidth="1" min="11" max="11" width="18.13"/>
    <col customWidth="1" min="12" max="12" width="11.25"/>
    <col customWidth="1" min="13" max="13" width="8.63"/>
    <col customWidth="1" min="14" max="14" width="11.13"/>
    <col customWidth="1" min="15" max="15" width="10.63"/>
    <col customWidth="1" min="16" max="16" width="8.88"/>
    <col customWidth="1" min="17" max="17" width="7.75"/>
    <col customWidth="1" min="18" max="18" width="9.63"/>
    <col customWidth="1" min="19" max="19" width="13.25"/>
    <col customWidth="1" min="20" max="20" width="7.63"/>
    <col customWidth="1" min="21" max="21" width="9.13"/>
    <col customWidth="1" min="22" max="22" width="11.38"/>
    <col customWidth="1" min="23" max="23" width="13.0"/>
    <col customWidth="1" min="24" max="24" width="9.75"/>
    <col customWidth="1" min="25" max="25" width="10.25"/>
    <col customWidth="1" min="26" max="26" width="10.88"/>
  </cols>
  <sheetData>
    <row r="1">
      <c r="A1" s="502" t="s">
        <v>557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503"/>
      <c r="T1" s="503"/>
      <c r="U1" s="503"/>
      <c r="V1" s="503"/>
      <c r="W1" s="503"/>
      <c r="X1" s="503"/>
      <c r="Y1" s="503"/>
      <c r="Z1" s="503"/>
    </row>
    <row r="2">
      <c r="A2" s="13" t="s">
        <v>374</v>
      </c>
      <c r="B2" s="504" t="s">
        <v>435</v>
      </c>
      <c r="C2" s="504" t="s">
        <v>2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7</v>
      </c>
      <c r="I2" s="505" t="s">
        <v>8</v>
      </c>
      <c r="J2" s="505" t="s">
        <v>9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14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04" t="s">
        <v>29</v>
      </c>
      <c r="B3" s="504" t="s">
        <v>29</v>
      </c>
      <c r="C3" s="512">
        <f>I3/E137</f>
        <v>0.02625439924</v>
      </c>
      <c r="D3" s="344" t="s">
        <v>30</v>
      </c>
      <c r="E3" s="344" t="s">
        <v>31</v>
      </c>
      <c r="F3" s="195">
        <v>7.5</v>
      </c>
      <c r="G3" s="513">
        <v>1400.0</v>
      </c>
      <c r="H3" s="217">
        <f t="shared" ref="H3:H28" si="1">G3*J3</f>
        <v>152600</v>
      </c>
      <c r="I3" s="514">
        <f t="shared" ref="I3:I4" si="2">H3+P3</f>
        <v>269766</v>
      </c>
      <c r="J3" s="216">
        <v>109.0</v>
      </c>
      <c r="K3" s="515">
        <f>IFERROR(__xludf.DUMMYFUNCTION("GOOGLEFINANCE(E3,""changepct"")"),-0.7)</f>
        <v>-0.7</v>
      </c>
      <c r="L3" s="516">
        <f>IFERROR(__xludf.DUMMYFUNCTION("googlefinance(E3,""price"")"),192.69)</f>
        <v>192.69</v>
      </c>
      <c r="M3" s="216"/>
      <c r="N3" s="517">
        <f t="shared" ref="N3:N28" si="3">L3-J3</f>
        <v>83.69</v>
      </c>
      <c r="O3" s="518">
        <f t="shared" ref="O3:O4" si="4">L3/J3-1</f>
        <v>0.7677981651</v>
      </c>
      <c r="P3" s="514">
        <f t="shared" ref="P3:P28" si="5">H3*O3</f>
        <v>117166</v>
      </c>
      <c r="Q3" s="512"/>
      <c r="R3" s="514"/>
      <c r="S3" s="519"/>
      <c r="T3" s="520"/>
      <c r="U3" s="521"/>
      <c r="V3" s="522"/>
      <c r="W3" s="523"/>
      <c r="X3" s="524"/>
      <c r="Y3" s="525"/>
      <c r="Z3" s="526"/>
    </row>
    <row r="4">
      <c r="A4" s="527">
        <f>B132</f>
        <v>0.3710582051</v>
      </c>
      <c r="B4" s="527">
        <f>I29/E137</f>
        <v>0.3238523347</v>
      </c>
      <c r="C4" s="512">
        <f>I4/E137</f>
        <v>0.04603293522</v>
      </c>
      <c r="D4" s="344" t="s">
        <v>632</v>
      </c>
      <c r="E4" s="104" t="s">
        <v>59</v>
      </c>
      <c r="F4" s="195">
        <v>7.3</v>
      </c>
      <c r="G4" s="513">
        <v>800.0</v>
      </c>
      <c r="H4" s="217">
        <f t="shared" si="1"/>
        <v>128000</v>
      </c>
      <c r="I4" s="514">
        <f t="shared" si="2"/>
        <v>472992</v>
      </c>
      <c r="J4" s="216">
        <v>160.0</v>
      </c>
      <c r="K4" s="515">
        <f>IFERROR(__xludf.DUMMYFUNCTION("GOOGLEFINANCE(E4,""changepct"")"),-1.43)</f>
        <v>-1.43</v>
      </c>
      <c r="L4" s="516">
        <f>IFERROR(__xludf.DUMMYFUNCTION("googlefinance(E4,""price"")"),591.24)</f>
        <v>591.24</v>
      </c>
      <c r="M4" s="517"/>
      <c r="N4" s="517">
        <f t="shared" si="3"/>
        <v>431.24</v>
      </c>
      <c r="O4" s="518">
        <f t="shared" si="4"/>
        <v>2.69525</v>
      </c>
      <c r="P4" s="514">
        <f t="shared" si="5"/>
        <v>344992</v>
      </c>
      <c r="Q4" s="512"/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528"/>
      <c r="B5" s="528"/>
      <c r="C5" s="512">
        <f>I5/E137</f>
        <v>0</v>
      </c>
      <c r="D5" s="529" t="s">
        <v>298</v>
      </c>
      <c r="E5" s="529" t="s">
        <v>299</v>
      </c>
      <c r="F5" s="530">
        <v>7.0</v>
      </c>
      <c r="G5" s="513">
        <v>1000.0</v>
      </c>
      <c r="H5" s="217">
        <f t="shared" si="1"/>
        <v>72160</v>
      </c>
      <c r="I5" s="217">
        <v>0.0</v>
      </c>
      <c r="J5" s="216">
        <v>72.16</v>
      </c>
      <c r="K5" s="515">
        <f>IFERROR(__xludf.DUMMYFUNCTION("GOOGLEFINANCE(E5,""changepct"")"),-1.67)</f>
        <v>-1.67</v>
      </c>
      <c r="L5" s="516">
        <f>IFERROR(__xludf.DUMMYFUNCTION("googlefinance(E5,""price"")"),87.48)</f>
        <v>87.48</v>
      </c>
      <c r="M5" s="216">
        <v>82.89</v>
      </c>
      <c r="N5" s="517">
        <f t="shared" si="3"/>
        <v>15.32</v>
      </c>
      <c r="O5" s="518">
        <f t="shared" ref="O5:O7" si="6">M5/J5-1</f>
        <v>0.1486973392</v>
      </c>
      <c r="P5" s="514">
        <f t="shared" si="5"/>
        <v>10730</v>
      </c>
      <c r="Q5" s="512"/>
      <c r="R5" s="514"/>
      <c r="S5" s="519" t="s">
        <v>299</v>
      </c>
      <c r="T5" s="520">
        <v>44782.0</v>
      </c>
      <c r="U5" s="531">
        <v>82.89</v>
      </c>
      <c r="V5" s="522">
        <v>82890.0</v>
      </c>
      <c r="W5" s="519" t="s">
        <v>299</v>
      </c>
      <c r="X5" s="520">
        <v>44770.0</v>
      </c>
      <c r="Y5" s="521">
        <v>72.16</v>
      </c>
      <c r="Z5" s="522">
        <v>72160.0</v>
      </c>
    </row>
    <row r="6">
      <c r="A6" s="528"/>
      <c r="B6" s="528"/>
      <c r="C6" s="512">
        <f>I6/E137</f>
        <v>0</v>
      </c>
      <c r="D6" s="529" t="s">
        <v>298</v>
      </c>
      <c r="E6" s="529" t="s">
        <v>299</v>
      </c>
      <c r="F6" s="530">
        <v>7.0</v>
      </c>
      <c r="G6" s="513">
        <v>1500.0</v>
      </c>
      <c r="H6" s="217">
        <f t="shared" si="1"/>
        <v>95010</v>
      </c>
      <c r="I6" s="217">
        <v>0.0</v>
      </c>
      <c r="J6" s="216">
        <v>63.34</v>
      </c>
      <c r="K6" s="515">
        <f>IFERROR(__xludf.DUMMYFUNCTION("GOOGLEFINANCE(E6,""changepct"")"),-1.67)</f>
        <v>-1.67</v>
      </c>
      <c r="L6" s="516">
        <f>IFERROR(__xludf.DUMMYFUNCTION("googlefinance(E6,""price"")"),87.48)</f>
        <v>87.48</v>
      </c>
      <c r="M6" s="216">
        <v>69.02</v>
      </c>
      <c r="N6" s="517">
        <f t="shared" si="3"/>
        <v>24.14</v>
      </c>
      <c r="O6" s="518">
        <f t="shared" si="6"/>
        <v>0.08967477108</v>
      </c>
      <c r="P6" s="514">
        <f t="shared" si="5"/>
        <v>8520</v>
      </c>
      <c r="Q6" s="512"/>
      <c r="R6" s="514"/>
      <c r="S6" s="519" t="s">
        <v>299</v>
      </c>
      <c r="T6" s="520">
        <v>44768.0</v>
      </c>
      <c r="U6" s="531">
        <v>69.02</v>
      </c>
      <c r="V6" s="522">
        <v>103530.0</v>
      </c>
      <c r="W6" s="519"/>
      <c r="X6" s="520"/>
      <c r="Y6" s="521"/>
      <c r="Z6" s="522"/>
    </row>
    <row r="7">
      <c r="A7" s="528"/>
      <c r="B7" s="528"/>
      <c r="C7" s="512">
        <f>I7/E137</f>
        <v>0</v>
      </c>
      <c r="D7" s="529" t="s">
        <v>298</v>
      </c>
      <c r="E7" s="529" t="s">
        <v>299</v>
      </c>
      <c r="F7" s="530">
        <v>7.0</v>
      </c>
      <c r="G7" s="513">
        <v>2000.0</v>
      </c>
      <c r="H7" s="217">
        <f t="shared" si="1"/>
        <v>145600</v>
      </c>
      <c r="I7" s="217">
        <v>0.0</v>
      </c>
      <c r="J7" s="216">
        <v>72.8</v>
      </c>
      <c r="K7" s="515">
        <f>IFERROR(__xludf.DUMMYFUNCTION("GOOGLEFINANCE(E7,""changepct"")"),-1.67)</f>
        <v>-1.67</v>
      </c>
      <c r="L7" s="516">
        <f>IFERROR(__xludf.DUMMYFUNCTION("googlefinance(E7,""price"")"),87.48)</f>
        <v>87.48</v>
      </c>
      <c r="M7" s="216">
        <v>70.57</v>
      </c>
      <c r="N7" s="517">
        <f t="shared" si="3"/>
        <v>14.68</v>
      </c>
      <c r="O7" s="518">
        <f t="shared" si="6"/>
        <v>-0.03063186813</v>
      </c>
      <c r="P7" s="514">
        <f t="shared" si="5"/>
        <v>-4460</v>
      </c>
      <c r="Q7" s="512"/>
      <c r="R7" s="514"/>
      <c r="S7" s="519" t="s">
        <v>299</v>
      </c>
      <c r="T7" s="520">
        <v>44817.0</v>
      </c>
      <c r="U7" s="521">
        <v>70.57</v>
      </c>
      <c r="V7" s="522">
        <v>141140.0</v>
      </c>
      <c r="W7" s="519" t="s">
        <v>299</v>
      </c>
      <c r="X7" s="520">
        <v>44813.0</v>
      </c>
      <c r="Y7" s="521">
        <v>72.8</v>
      </c>
      <c r="Z7" s="522">
        <v>145600.0</v>
      </c>
    </row>
    <row r="8">
      <c r="A8" s="528"/>
      <c r="B8" s="528"/>
      <c r="C8" s="512">
        <f>I8/E137</f>
        <v>0.002299252619</v>
      </c>
      <c r="D8" s="104" t="s">
        <v>479</v>
      </c>
      <c r="E8" s="532" t="s">
        <v>480</v>
      </c>
      <c r="F8" s="533">
        <v>7.0</v>
      </c>
      <c r="G8" s="513">
        <v>7500.0</v>
      </c>
      <c r="H8" s="217">
        <f t="shared" si="1"/>
        <v>114075</v>
      </c>
      <c r="I8" s="217">
        <f>H8+P8</f>
        <v>23625</v>
      </c>
      <c r="J8" s="216">
        <v>15.21</v>
      </c>
      <c r="K8" s="515">
        <f>IFERROR(__xludf.DUMMYFUNCTION("GOOGLEFINANCE(E8,""changepct"")"),-1.56)</f>
        <v>-1.56</v>
      </c>
      <c r="L8" s="516">
        <f>IFERROR(__xludf.DUMMYFUNCTION("googlefinance(E8,""price"")"),3.15)</f>
        <v>3.15</v>
      </c>
      <c r="M8" s="216"/>
      <c r="N8" s="517">
        <f t="shared" si="3"/>
        <v>-12.06</v>
      </c>
      <c r="O8" s="518">
        <f>L8/J8-1</f>
        <v>-0.7928994083</v>
      </c>
      <c r="P8" s="514">
        <f t="shared" si="5"/>
        <v>-90450</v>
      </c>
      <c r="Q8" s="512"/>
      <c r="R8" s="514"/>
      <c r="S8" s="519"/>
      <c r="T8" s="520"/>
      <c r="U8" s="521"/>
      <c r="V8" s="522"/>
      <c r="W8" s="519" t="s">
        <v>480</v>
      </c>
      <c r="X8" s="520">
        <v>44813.0</v>
      </c>
      <c r="Y8" s="521">
        <v>15.21</v>
      </c>
      <c r="Z8" s="522">
        <v>114075.0</v>
      </c>
    </row>
    <row r="9">
      <c r="A9" s="528"/>
      <c r="B9" s="528"/>
      <c r="C9" s="512">
        <f>I9/E137</f>
        <v>0</v>
      </c>
      <c r="D9" s="104" t="s">
        <v>37</v>
      </c>
      <c r="E9" s="532" t="s">
        <v>633</v>
      </c>
      <c r="F9" s="533">
        <v>7.4</v>
      </c>
      <c r="G9" s="513">
        <v>100.0</v>
      </c>
      <c r="H9" s="217">
        <f t="shared" si="1"/>
        <v>83401</v>
      </c>
      <c r="I9" s="217">
        <v>0.0</v>
      </c>
      <c r="J9" s="216">
        <v>834.01</v>
      </c>
      <c r="K9" s="515">
        <f>IFERROR(__xludf.DUMMYFUNCTION("GOOGLEFINANCE(E9,""changepct"")"),-3.3)</f>
        <v>-3.3</v>
      </c>
      <c r="L9" s="516">
        <f>IFERROR(__xludf.DUMMYFUNCTION("googlefinance(E9,""price"")"),417.41)</f>
        <v>417.41</v>
      </c>
      <c r="M9" s="216">
        <v>936.41</v>
      </c>
      <c r="N9" s="517">
        <f t="shared" si="3"/>
        <v>-416.6</v>
      </c>
      <c r="O9" s="518">
        <f t="shared" ref="O9:O10" si="7">M9/J9-1</f>
        <v>0.1227803024</v>
      </c>
      <c r="P9" s="514">
        <f t="shared" si="5"/>
        <v>10240</v>
      </c>
      <c r="Q9" s="512"/>
      <c r="R9" s="514"/>
      <c r="S9" s="519" t="s">
        <v>36</v>
      </c>
      <c r="T9" s="520">
        <v>44789.0</v>
      </c>
      <c r="U9" s="521">
        <v>936.41</v>
      </c>
      <c r="V9" s="522">
        <v>93641.0</v>
      </c>
      <c r="W9" s="519" t="s">
        <v>36</v>
      </c>
      <c r="X9" s="520">
        <v>44770.0</v>
      </c>
      <c r="Y9" s="521">
        <v>834.01</v>
      </c>
      <c r="Z9" s="522">
        <v>83401.0</v>
      </c>
    </row>
    <row r="10">
      <c r="A10" s="528"/>
      <c r="B10" s="528"/>
      <c r="C10" s="512">
        <f>I10/E137</f>
        <v>0</v>
      </c>
      <c r="D10" s="104" t="s">
        <v>37</v>
      </c>
      <c r="E10" s="532" t="s">
        <v>633</v>
      </c>
      <c r="F10" s="533">
        <v>7.4</v>
      </c>
      <c r="G10" s="513">
        <v>200.0</v>
      </c>
      <c r="H10" s="217">
        <f t="shared" si="1"/>
        <v>136126</v>
      </c>
      <c r="I10" s="217">
        <v>0.0</v>
      </c>
      <c r="J10" s="216">
        <v>680.63</v>
      </c>
      <c r="K10" s="515">
        <f>IFERROR(__xludf.DUMMYFUNCTION("GOOGLEFINANCE(E10,""changepct"")"),-3.3)</f>
        <v>-3.3</v>
      </c>
      <c r="L10" s="516">
        <f>IFERROR(__xludf.DUMMYFUNCTION("googlefinance(E10,""price"")"),417.41)</f>
        <v>417.41</v>
      </c>
      <c r="M10" s="216">
        <v>798.41</v>
      </c>
      <c r="N10" s="517">
        <f t="shared" si="3"/>
        <v>-263.22</v>
      </c>
      <c r="O10" s="518">
        <f t="shared" si="7"/>
        <v>0.1730455607</v>
      </c>
      <c r="P10" s="514">
        <f t="shared" si="5"/>
        <v>23556</v>
      </c>
      <c r="Q10" s="512"/>
      <c r="R10" s="514"/>
      <c r="S10" s="519" t="s">
        <v>36</v>
      </c>
      <c r="T10" s="520">
        <v>44768.0</v>
      </c>
      <c r="U10" s="521">
        <v>798.41</v>
      </c>
      <c r="V10" s="522">
        <v>159682.0</v>
      </c>
      <c r="W10" s="519" t="s">
        <v>36</v>
      </c>
      <c r="X10" s="520">
        <v>44755.0</v>
      </c>
      <c r="Y10" s="521">
        <v>680.63</v>
      </c>
      <c r="Z10" s="522">
        <v>136126.0</v>
      </c>
    </row>
    <row r="11">
      <c r="A11" s="528"/>
      <c r="B11" s="528"/>
      <c r="C11" s="512">
        <f>I11/E137</f>
        <v>0.01787431687</v>
      </c>
      <c r="D11" s="534" t="s">
        <v>558</v>
      </c>
      <c r="E11" s="535" t="s">
        <v>40</v>
      </c>
      <c r="F11" s="533">
        <v>7.1</v>
      </c>
      <c r="G11" s="513">
        <v>1500.0</v>
      </c>
      <c r="H11" s="217">
        <f t="shared" si="1"/>
        <v>126825</v>
      </c>
      <c r="I11" s="217">
        <f>H11+P11</f>
        <v>183660</v>
      </c>
      <c r="J11" s="216">
        <v>84.55</v>
      </c>
      <c r="K11" s="515">
        <f>IFERROR(__xludf.DUMMYFUNCTION("GOOGLEFINANCE(E11,""changepct"")"),-2.2)</f>
        <v>-2.2</v>
      </c>
      <c r="L11" s="516">
        <f>IFERROR(__xludf.DUMMYFUNCTION("googlefinance(E11,""price"")"),122.44)</f>
        <v>122.44</v>
      </c>
      <c r="M11" s="216"/>
      <c r="N11" s="517">
        <f t="shared" si="3"/>
        <v>37.89</v>
      </c>
      <c r="O11" s="518">
        <f>L11/J11-1</f>
        <v>0.4481371969</v>
      </c>
      <c r="P11" s="514">
        <f t="shared" si="5"/>
        <v>56835</v>
      </c>
      <c r="Q11" s="512"/>
      <c r="R11" s="514"/>
      <c r="S11" s="519"/>
      <c r="T11" s="520"/>
      <c r="U11" s="521"/>
      <c r="V11" s="522"/>
      <c r="W11" s="519" t="s">
        <v>40</v>
      </c>
      <c r="X11" s="520">
        <v>44813.0</v>
      </c>
      <c r="Y11" s="521">
        <v>84.55</v>
      </c>
      <c r="Z11" s="522">
        <v>126825.0</v>
      </c>
    </row>
    <row r="12">
      <c r="A12" s="528"/>
      <c r="B12" s="528"/>
      <c r="C12" s="512">
        <f>I12/E137</f>
        <v>0</v>
      </c>
      <c r="D12" s="534" t="s">
        <v>558</v>
      </c>
      <c r="E12" s="535" t="s">
        <v>40</v>
      </c>
      <c r="F12" s="533">
        <v>7.1</v>
      </c>
      <c r="G12" s="513">
        <v>1500.0</v>
      </c>
      <c r="H12" s="217">
        <f t="shared" si="1"/>
        <v>111885</v>
      </c>
      <c r="I12" s="217">
        <v>0.0</v>
      </c>
      <c r="J12" s="216">
        <v>74.59</v>
      </c>
      <c r="K12" s="515">
        <f>IFERROR(__xludf.DUMMYFUNCTION("GOOGLEFINANCE(E12,""changepct"")"),-2.2)</f>
        <v>-2.2</v>
      </c>
      <c r="L12" s="516">
        <f>IFERROR(__xludf.DUMMYFUNCTION("googlefinance(E12,""price"")"),122.44)</f>
        <v>122.44</v>
      </c>
      <c r="M12" s="216">
        <v>95.99</v>
      </c>
      <c r="N12" s="517">
        <f t="shared" si="3"/>
        <v>47.85</v>
      </c>
      <c r="O12" s="518">
        <f t="shared" ref="O12:O13" si="8">M12/J12-1</f>
        <v>0.2869017295</v>
      </c>
      <c r="P12" s="514">
        <f t="shared" si="5"/>
        <v>32100</v>
      </c>
      <c r="Q12" s="512"/>
      <c r="R12" s="514"/>
      <c r="S12" s="519" t="s">
        <v>40</v>
      </c>
      <c r="T12" s="520">
        <v>44782.0</v>
      </c>
      <c r="U12" s="521">
        <v>95.99</v>
      </c>
      <c r="V12" s="522">
        <v>143985.0</v>
      </c>
      <c r="W12" s="519"/>
      <c r="X12" s="520"/>
      <c r="Y12" s="521"/>
      <c r="Z12" s="522"/>
    </row>
    <row r="13">
      <c r="A13" s="528"/>
      <c r="B13" s="528"/>
      <c r="C13" s="512">
        <f>I13/E137</f>
        <v>0</v>
      </c>
      <c r="D13" s="529" t="s">
        <v>581</v>
      </c>
      <c r="E13" s="536" t="s">
        <v>582</v>
      </c>
      <c r="F13" s="537">
        <v>7.2</v>
      </c>
      <c r="G13" s="513">
        <v>500.0</v>
      </c>
      <c r="H13" s="217">
        <f t="shared" si="1"/>
        <v>112215</v>
      </c>
      <c r="I13" s="217">
        <v>0.0</v>
      </c>
      <c r="J13" s="216">
        <v>224.43</v>
      </c>
      <c r="K13" s="515">
        <f>IFERROR(__xludf.DUMMYFUNCTION("GOOGLEFINANCE(E13,""changepct"")"),-0.78)</f>
        <v>-0.78</v>
      </c>
      <c r="L13" s="516">
        <f>IFERROR(__xludf.DUMMYFUNCTION("googlefinance(E13,""price"")"),900.43)</f>
        <v>900.43</v>
      </c>
      <c r="M13" s="216">
        <v>225.73</v>
      </c>
      <c r="N13" s="517">
        <f t="shared" si="3"/>
        <v>676</v>
      </c>
      <c r="O13" s="518">
        <f t="shared" si="8"/>
        <v>0.005792451989</v>
      </c>
      <c r="P13" s="514">
        <f t="shared" si="5"/>
        <v>650</v>
      </c>
      <c r="Q13" s="512"/>
      <c r="R13" s="514"/>
      <c r="S13" s="519" t="s">
        <v>582</v>
      </c>
      <c r="T13" s="520">
        <v>44817.0</v>
      </c>
      <c r="U13" s="521">
        <v>225.73</v>
      </c>
      <c r="V13" s="522">
        <v>112865.0</v>
      </c>
      <c r="W13" s="529" t="s">
        <v>582</v>
      </c>
      <c r="X13" s="520">
        <v>44770.0</v>
      </c>
      <c r="Y13" s="521">
        <v>224.43</v>
      </c>
      <c r="Z13" s="522">
        <v>112215.0</v>
      </c>
    </row>
    <row r="14">
      <c r="A14" s="528"/>
      <c r="B14" s="528"/>
      <c r="C14" s="512">
        <f>I14/E137</f>
        <v>0.04381621239</v>
      </c>
      <c r="D14" s="529" t="s">
        <v>581</v>
      </c>
      <c r="E14" s="536" t="s">
        <v>582</v>
      </c>
      <c r="F14" s="537">
        <v>7.2</v>
      </c>
      <c r="G14" s="513">
        <v>500.0</v>
      </c>
      <c r="H14" s="217">
        <f t="shared" si="1"/>
        <v>116235</v>
      </c>
      <c r="I14" s="217">
        <f>H14+P14</f>
        <v>450215</v>
      </c>
      <c r="J14" s="216">
        <v>232.47</v>
      </c>
      <c r="K14" s="515">
        <f>IFERROR(__xludf.DUMMYFUNCTION("GOOGLEFINANCE(E14,""changepct"")"),-0.78)</f>
        <v>-0.78</v>
      </c>
      <c r="L14" s="516">
        <f>IFERROR(__xludf.DUMMYFUNCTION("googlefinance(E14,""price"")"),900.43)</f>
        <v>900.43</v>
      </c>
      <c r="M14" s="216"/>
      <c r="N14" s="517">
        <f t="shared" si="3"/>
        <v>667.96</v>
      </c>
      <c r="O14" s="518">
        <f>L14/J14-1</f>
        <v>2.873316987</v>
      </c>
      <c r="P14" s="514">
        <f t="shared" si="5"/>
        <v>333980</v>
      </c>
      <c r="Q14" s="512"/>
      <c r="R14" s="514"/>
      <c r="S14" s="519"/>
      <c r="T14" s="520"/>
      <c r="U14" s="521"/>
      <c r="V14" s="522"/>
      <c r="W14" s="529" t="s">
        <v>582</v>
      </c>
      <c r="X14" s="520">
        <v>44813.0</v>
      </c>
      <c r="Y14" s="521">
        <v>232.47</v>
      </c>
      <c r="Z14" s="522">
        <v>116235.0</v>
      </c>
    </row>
    <row r="15">
      <c r="A15" s="528"/>
      <c r="B15" s="528"/>
      <c r="C15" s="512">
        <f>I15/E137</f>
        <v>0</v>
      </c>
      <c r="D15" s="529" t="s">
        <v>581</v>
      </c>
      <c r="E15" s="536" t="s">
        <v>582</v>
      </c>
      <c r="F15" s="537">
        <v>7.2</v>
      </c>
      <c r="G15" s="513">
        <v>700.0</v>
      </c>
      <c r="H15" s="217">
        <f t="shared" si="1"/>
        <v>123263</v>
      </c>
      <c r="I15" s="217">
        <v>0.0</v>
      </c>
      <c r="J15" s="216">
        <v>176.09</v>
      </c>
      <c r="K15" s="515">
        <f>IFERROR(__xludf.DUMMYFUNCTION("GOOGLEFINANCE(E15,""changepct"")"),-0.78)</f>
        <v>-0.78</v>
      </c>
      <c r="L15" s="516">
        <f>IFERROR(__xludf.DUMMYFUNCTION("googlefinance(E15,""price"")"),900.43)</f>
        <v>900.43</v>
      </c>
      <c r="M15" s="216">
        <v>217.92</v>
      </c>
      <c r="N15" s="517">
        <f t="shared" si="3"/>
        <v>724.34</v>
      </c>
      <c r="O15" s="518">
        <f t="shared" ref="O15:O17" si="9">M15/J15-1</f>
        <v>0.2375489806</v>
      </c>
      <c r="P15" s="514">
        <f t="shared" si="5"/>
        <v>29281</v>
      </c>
      <c r="Q15" s="512"/>
      <c r="R15" s="514"/>
      <c r="S15" s="519" t="s">
        <v>582</v>
      </c>
      <c r="T15" s="520">
        <v>44768.0</v>
      </c>
      <c r="U15" s="521">
        <v>217.92</v>
      </c>
      <c r="V15" s="522">
        <v>152544.0</v>
      </c>
      <c r="W15" s="529"/>
      <c r="X15" s="520"/>
      <c r="Y15" s="521"/>
      <c r="Z15" s="522"/>
    </row>
    <row r="16">
      <c r="A16" s="528"/>
      <c r="B16" s="528"/>
      <c r="C16" s="512">
        <f>I16/E137</f>
        <v>0</v>
      </c>
      <c r="D16" s="529" t="s">
        <v>583</v>
      </c>
      <c r="E16" s="536" t="s">
        <v>55</v>
      </c>
      <c r="F16" s="537">
        <v>7.3</v>
      </c>
      <c r="G16" s="513">
        <v>220.0</v>
      </c>
      <c r="H16" s="217">
        <f t="shared" si="1"/>
        <v>106121.4</v>
      </c>
      <c r="I16" s="217">
        <v>0.0</v>
      </c>
      <c r="J16" s="216">
        <v>482.37</v>
      </c>
      <c r="K16" s="515">
        <f>IFERROR(__xludf.DUMMYFUNCTION("GOOGLEFINANCE(E16,""changepct"")"),-2.55)</f>
        <v>-2.55</v>
      </c>
      <c r="L16" s="516">
        <f>IFERROR(__xludf.DUMMYFUNCTION("googlefinance(E16,""price"")"),235.58)</f>
        <v>235.58</v>
      </c>
      <c r="M16" s="216">
        <v>555.25</v>
      </c>
      <c r="N16" s="517">
        <f t="shared" si="3"/>
        <v>-246.79</v>
      </c>
      <c r="O16" s="518">
        <f t="shared" si="9"/>
        <v>0.1510873396</v>
      </c>
      <c r="P16" s="514">
        <f t="shared" si="5"/>
        <v>16033.6</v>
      </c>
      <c r="Q16" s="538">
        <v>0.034</v>
      </c>
      <c r="R16" s="217"/>
      <c r="S16" s="519" t="s">
        <v>55</v>
      </c>
      <c r="T16" s="520">
        <v>44789.0</v>
      </c>
      <c r="U16" s="521">
        <v>555.25</v>
      </c>
      <c r="V16" s="522">
        <v>122155.0</v>
      </c>
      <c r="W16" s="529"/>
      <c r="X16" s="520"/>
      <c r="Y16" s="521"/>
      <c r="Z16" s="522"/>
    </row>
    <row r="17">
      <c r="A17" s="528"/>
      <c r="B17" s="528"/>
      <c r="C17" s="512">
        <f>I17/E137</f>
        <v>0</v>
      </c>
      <c r="D17" s="529" t="s">
        <v>527</v>
      </c>
      <c r="E17" s="536" t="s">
        <v>43</v>
      </c>
      <c r="F17" s="537">
        <v>7.4</v>
      </c>
      <c r="G17" s="513">
        <v>1200.0</v>
      </c>
      <c r="H17" s="217">
        <f t="shared" si="1"/>
        <v>128616</v>
      </c>
      <c r="I17" s="217">
        <v>0.0</v>
      </c>
      <c r="J17" s="216">
        <v>107.18</v>
      </c>
      <c r="K17" s="515">
        <f>IFERROR(__xludf.DUMMYFUNCTION("GOOGLEFINANCE(E17,""changepct"")"),-1.09)</f>
        <v>-1.09</v>
      </c>
      <c r="L17" s="516">
        <f>IFERROR(__xludf.DUMMYFUNCTION("googlefinance(E17,""price"")"),221.3)</f>
        <v>221.3</v>
      </c>
      <c r="M17" s="216">
        <v>137.89</v>
      </c>
      <c r="N17" s="517">
        <f t="shared" si="3"/>
        <v>114.12</v>
      </c>
      <c r="O17" s="518">
        <f t="shared" si="9"/>
        <v>0.2865273372</v>
      </c>
      <c r="P17" s="514">
        <f t="shared" si="5"/>
        <v>36852</v>
      </c>
      <c r="Q17" s="512"/>
      <c r="R17" s="514"/>
      <c r="S17" s="519" t="s">
        <v>43</v>
      </c>
      <c r="T17" s="520">
        <v>44782.0</v>
      </c>
      <c r="U17" s="521">
        <v>137.89</v>
      </c>
      <c r="V17" s="522">
        <v>165468.0</v>
      </c>
      <c r="W17" s="529"/>
      <c r="X17" s="520"/>
      <c r="Y17" s="521"/>
      <c r="Z17" s="522"/>
    </row>
    <row r="18">
      <c r="A18" s="528"/>
      <c r="B18" s="528"/>
      <c r="C18" s="512">
        <f>H18/E137</f>
        <v>0.007201891801</v>
      </c>
      <c r="D18" s="529" t="s">
        <v>559</v>
      </c>
      <c r="E18" s="529" t="s">
        <v>46</v>
      </c>
      <c r="F18" s="530">
        <v>7.5</v>
      </c>
      <c r="G18" s="513">
        <v>10000.0</v>
      </c>
      <c r="H18" s="217">
        <f t="shared" si="1"/>
        <v>74000</v>
      </c>
      <c r="I18" s="514">
        <f t="shared" ref="I18:I19" si="10">H18+P18</f>
        <v>771800</v>
      </c>
      <c r="J18" s="216">
        <v>7.4</v>
      </c>
      <c r="K18" s="515">
        <f>IFERROR(__xludf.DUMMYFUNCTION("GOOGLEFINANCE(E18,""changepct"")"),-2.4)</f>
        <v>-2.4</v>
      </c>
      <c r="L18" s="516">
        <f>IFERROR(__xludf.DUMMYFUNCTION("googlefinance(E18,""price"")"),77.18)</f>
        <v>77.18</v>
      </c>
      <c r="M18" s="216"/>
      <c r="N18" s="517">
        <f t="shared" si="3"/>
        <v>69.78</v>
      </c>
      <c r="O18" s="518">
        <f t="shared" ref="O18:O19" si="11">L18/J18-1</f>
        <v>9.42972973</v>
      </c>
      <c r="P18" s="514">
        <f t="shared" si="5"/>
        <v>697800</v>
      </c>
      <c r="Q18" s="512"/>
      <c r="R18" s="514"/>
      <c r="S18" s="519"/>
      <c r="T18" s="520"/>
      <c r="U18" s="521"/>
      <c r="V18" s="522"/>
      <c r="W18" s="529" t="s">
        <v>46</v>
      </c>
      <c r="X18" s="520">
        <v>44806.0</v>
      </c>
      <c r="Y18" s="521">
        <v>7.4</v>
      </c>
      <c r="Z18" s="522">
        <v>74000.0</v>
      </c>
    </row>
    <row r="19">
      <c r="A19" s="528"/>
      <c r="B19" s="528"/>
      <c r="C19" s="512">
        <f>I19/E137</f>
        <v>0.07511378502</v>
      </c>
      <c r="D19" s="529" t="s">
        <v>559</v>
      </c>
      <c r="E19" s="529" t="s">
        <v>46</v>
      </c>
      <c r="F19" s="530">
        <v>7.5</v>
      </c>
      <c r="G19" s="513">
        <v>10000.0</v>
      </c>
      <c r="H19" s="217">
        <f t="shared" si="1"/>
        <v>92200</v>
      </c>
      <c r="I19" s="514">
        <f t="shared" si="10"/>
        <v>771800</v>
      </c>
      <c r="J19" s="216">
        <v>9.22</v>
      </c>
      <c r="K19" s="515">
        <f>IFERROR(__xludf.DUMMYFUNCTION("GOOGLEFINANCE(E19,""changepct"")"),-2.4)</f>
        <v>-2.4</v>
      </c>
      <c r="L19" s="516">
        <f>IFERROR(__xludf.DUMMYFUNCTION("googlefinance(E19,""price"")"),77.18)</f>
        <v>77.18</v>
      </c>
      <c r="M19" s="216"/>
      <c r="N19" s="517">
        <f t="shared" si="3"/>
        <v>67.96</v>
      </c>
      <c r="O19" s="518">
        <f t="shared" si="11"/>
        <v>7.370932755</v>
      </c>
      <c r="P19" s="514">
        <f t="shared" si="5"/>
        <v>679600</v>
      </c>
      <c r="Q19" s="512"/>
      <c r="R19" s="514"/>
      <c r="S19" s="519"/>
      <c r="T19" s="520"/>
      <c r="U19" s="521"/>
      <c r="V19" s="522"/>
      <c r="W19" s="529"/>
      <c r="X19" s="520"/>
      <c r="Y19" s="521"/>
      <c r="Z19" s="522"/>
    </row>
    <row r="20">
      <c r="A20" s="528"/>
      <c r="B20" s="528"/>
      <c r="C20" s="512">
        <f>I20/E137</f>
        <v>0</v>
      </c>
      <c r="D20" s="529" t="s">
        <v>440</v>
      </c>
      <c r="E20" s="529" t="s">
        <v>77</v>
      </c>
      <c r="F20" s="530">
        <v>7.2</v>
      </c>
      <c r="G20" s="513">
        <v>1000.0</v>
      </c>
      <c r="H20" s="217">
        <f t="shared" si="1"/>
        <v>131070</v>
      </c>
      <c r="I20" s="217">
        <v>0.0</v>
      </c>
      <c r="J20" s="216">
        <v>131.07</v>
      </c>
      <c r="K20" s="515">
        <f>IFERROR(__xludf.DUMMYFUNCTION("GOOGLEFINANCE(E20,""changepct"")"),-1.69)</f>
        <v>-1.69</v>
      </c>
      <c r="L20" s="516">
        <f>IFERROR(__xludf.DUMMYFUNCTION("googlefinance(E20,""price"")"),154.58)</f>
        <v>154.58</v>
      </c>
      <c r="M20" s="216">
        <v>128.57</v>
      </c>
      <c r="N20" s="517">
        <f t="shared" si="3"/>
        <v>23.51</v>
      </c>
      <c r="O20" s="518">
        <f t="shared" ref="O20:O25" si="12">M20/J20-1</f>
        <v>-0.01907377737</v>
      </c>
      <c r="P20" s="514">
        <f t="shared" si="5"/>
        <v>-2500</v>
      </c>
      <c r="Q20" s="538">
        <v>0.0243</v>
      </c>
      <c r="R20" s="217"/>
      <c r="S20" s="519" t="s">
        <v>77</v>
      </c>
      <c r="T20" s="520">
        <v>44817.0</v>
      </c>
      <c r="U20" s="521">
        <v>128.57</v>
      </c>
      <c r="V20" s="522">
        <v>128570.0</v>
      </c>
      <c r="W20" s="519" t="s">
        <v>77</v>
      </c>
      <c r="X20" s="520">
        <v>44806.0</v>
      </c>
      <c r="Y20" s="521">
        <v>131.07</v>
      </c>
      <c r="Z20" s="522">
        <v>131070.0</v>
      </c>
    </row>
    <row r="21">
      <c r="A21" s="528"/>
      <c r="B21" s="528"/>
      <c r="C21" s="512">
        <f>I21/E137</f>
        <v>0</v>
      </c>
      <c r="D21" s="529" t="s">
        <v>440</v>
      </c>
      <c r="E21" s="529" t="s">
        <v>77</v>
      </c>
      <c r="F21" s="530">
        <v>7.2</v>
      </c>
      <c r="G21" s="513">
        <v>800.0</v>
      </c>
      <c r="H21" s="217">
        <f t="shared" si="1"/>
        <v>100888</v>
      </c>
      <c r="I21" s="217">
        <v>0.0</v>
      </c>
      <c r="J21" s="216">
        <v>126.11</v>
      </c>
      <c r="K21" s="515">
        <f>IFERROR(__xludf.DUMMYFUNCTION("GOOGLEFINANCE(E21,""changepct"")"),-1.69)</f>
        <v>-1.69</v>
      </c>
      <c r="L21" s="516">
        <f>IFERROR(__xludf.DUMMYFUNCTION("googlefinance(E21,""price"")"),154.58)</f>
        <v>154.58</v>
      </c>
      <c r="M21" s="216">
        <v>143.8</v>
      </c>
      <c r="N21" s="517">
        <f t="shared" si="3"/>
        <v>28.47</v>
      </c>
      <c r="O21" s="518">
        <f t="shared" si="12"/>
        <v>0.1402743637</v>
      </c>
      <c r="P21" s="514">
        <f t="shared" si="5"/>
        <v>14152</v>
      </c>
      <c r="Q21" s="538">
        <v>0.0243</v>
      </c>
      <c r="R21" s="217"/>
      <c r="S21" s="519" t="s">
        <v>77</v>
      </c>
      <c r="T21" s="520">
        <v>44782.0</v>
      </c>
      <c r="U21" s="521">
        <v>143.8</v>
      </c>
      <c r="V21" s="522">
        <v>115040.0</v>
      </c>
      <c r="W21" s="519"/>
      <c r="X21" s="520"/>
      <c r="Y21" s="521"/>
      <c r="Z21" s="522"/>
    </row>
    <row r="22">
      <c r="A22" s="528"/>
      <c r="B22" s="528"/>
      <c r="C22" s="512">
        <f>I22/E137</f>
        <v>0</v>
      </c>
      <c r="D22" s="529" t="s">
        <v>584</v>
      </c>
      <c r="E22" s="529" t="s">
        <v>585</v>
      </c>
      <c r="F22" s="530">
        <v>7.0</v>
      </c>
      <c r="G22" s="513">
        <v>15000.0</v>
      </c>
      <c r="H22" s="217">
        <f t="shared" si="1"/>
        <v>79050</v>
      </c>
      <c r="I22" s="217">
        <v>0.0</v>
      </c>
      <c r="J22" s="216">
        <v>5.27</v>
      </c>
      <c r="K22" s="515">
        <f>IFERROR(__xludf.DUMMYFUNCTION("GOOGLEFINANCE(E22,""changepct"")"),-2.19)</f>
        <v>-2.19</v>
      </c>
      <c r="L22" s="516">
        <f>IFERROR(__xludf.DUMMYFUNCTION("googlefinance(E22,""price"")"),15.63)</f>
        <v>15.63</v>
      </c>
      <c r="M22" s="216">
        <v>6.31</v>
      </c>
      <c r="N22" s="517">
        <f t="shared" si="3"/>
        <v>10.36</v>
      </c>
      <c r="O22" s="518">
        <f t="shared" si="12"/>
        <v>0.1973434535</v>
      </c>
      <c r="P22" s="514">
        <f t="shared" si="5"/>
        <v>15600</v>
      </c>
      <c r="Q22" s="538"/>
      <c r="R22" s="217"/>
      <c r="S22" s="519" t="s">
        <v>585</v>
      </c>
      <c r="T22" s="520">
        <v>44768.0</v>
      </c>
      <c r="U22" s="521">
        <v>6.31</v>
      </c>
      <c r="V22" s="522">
        <v>94650.0</v>
      </c>
      <c r="W22" s="519"/>
      <c r="X22" s="520"/>
      <c r="Y22" s="521"/>
      <c r="Z22" s="522"/>
    </row>
    <row r="23">
      <c r="A23" s="528"/>
      <c r="B23" s="528"/>
      <c r="C23" s="512">
        <f>I23/E137</f>
        <v>0</v>
      </c>
      <c r="D23" s="529" t="s">
        <v>586</v>
      </c>
      <c r="E23" s="529" t="s">
        <v>587</v>
      </c>
      <c r="F23" s="530">
        <v>7.1</v>
      </c>
      <c r="G23" s="513">
        <v>1000.0</v>
      </c>
      <c r="H23" s="217">
        <f t="shared" si="1"/>
        <v>85160</v>
      </c>
      <c r="I23" s="217">
        <v>0.0</v>
      </c>
      <c r="J23" s="216">
        <v>85.16</v>
      </c>
      <c r="K23" s="515">
        <f>IFERROR(__xludf.DUMMYFUNCTION("GOOGLEFINANCE(E23,""changepct"")"),-2.78)</f>
        <v>-2.78</v>
      </c>
      <c r="L23" s="516">
        <f>IFERROR(__xludf.DUMMYFUNCTION("googlefinance(E23,""price"")"),74.89)</f>
        <v>74.89</v>
      </c>
      <c r="M23" s="216">
        <v>79.98</v>
      </c>
      <c r="N23" s="517">
        <f t="shared" si="3"/>
        <v>-10.27</v>
      </c>
      <c r="O23" s="518">
        <f t="shared" si="12"/>
        <v>-0.06082667919</v>
      </c>
      <c r="P23" s="514">
        <f t="shared" si="5"/>
        <v>-5180</v>
      </c>
      <c r="Q23" s="538"/>
      <c r="R23" s="217"/>
      <c r="S23" s="519" t="s">
        <v>587</v>
      </c>
      <c r="T23" s="520">
        <v>44782.0</v>
      </c>
      <c r="U23" s="521">
        <v>79.98</v>
      </c>
      <c r="V23" s="522">
        <v>79980.0</v>
      </c>
      <c r="W23" s="519" t="s">
        <v>587</v>
      </c>
      <c r="X23" s="520">
        <v>44770.0</v>
      </c>
      <c r="Y23" s="521">
        <v>85.16</v>
      </c>
      <c r="Z23" s="522">
        <v>85160.0</v>
      </c>
    </row>
    <row r="24">
      <c r="A24" s="528"/>
      <c r="B24" s="528"/>
      <c r="C24" s="512">
        <f>I24/E137</f>
        <v>0</v>
      </c>
      <c r="D24" s="529" t="s">
        <v>586</v>
      </c>
      <c r="E24" s="529" t="s">
        <v>587</v>
      </c>
      <c r="F24" s="530">
        <v>7.1</v>
      </c>
      <c r="G24" s="513">
        <v>1500.0</v>
      </c>
      <c r="H24" s="217">
        <f t="shared" si="1"/>
        <v>125040</v>
      </c>
      <c r="I24" s="217">
        <v>0.0</v>
      </c>
      <c r="J24" s="216">
        <v>83.36</v>
      </c>
      <c r="K24" s="515">
        <f>IFERROR(__xludf.DUMMYFUNCTION("GOOGLEFINANCE(E24,""changepct"")"),-2.78)</f>
        <v>-2.78</v>
      </c>
      <c r="L24" s="516">
        <f>IFERROR(__xludf.DUMMYFUNCTION("googlefinance(E24,""price"")"),74.89)</f>
        <v>74.89</v>
      </c>
      <c r="M24" s="216">
        <v>81.53</v>
      </c>
      <c r="N24" s="517">
        <f t="shared" si="3"/>
        <v>-8.47</v>
      </c>
      <c r="O24" s="518">
        <f t="shared" si="12"/>
        <v>-0.02195297505</v>
      </c>
      <c r="P24" s="514">
        <f t="shared" si="5"/>
        <v>-2745</v>
      </c>
      <c r="Q24" s="538"/>
      <c r="R24" s="217"/>
      <c r="S24" s="519" t="s">
        <v>587</v>
      </c>
      <c r="T24" s="520">
        <v>44768.0</v>
      </c>
      <c r="U24" s="521">
        <v>81.53</v>
      </c>
      <c r="V24" s="522">
        <v>122295.0</v>
      </c>
      <c r="W24" s="519"/>
      <c r="X24" s="520"/>
      <c r="Y24" s="521"/>
      <c r="Z24" s="522"/>
    </row>
    <row r="25">
      <c r="A25" s="528"/>
      <c r="B25" s="528"/>
      <c r="C25" s="512">
        <f>I25/E137</f>
        <v>0</v>
      </c>
      <c r="D25" s="529" t="s">
        <v>52</v>
      </c>
      <c r="E25" s="529" t="s">
        <v>53</v>
      </c>
      <c r="F25" s="530">
        <v>7.2</v>
      </c>
      <c r="G25" s="513">
        <v>1000.0</v>
      </c>
      <c r="H25" s="217">
        <f t="shared" si="1"/>
        <v>150080</v>
      </c>
      <c r="I25" s="217">
        <v>0.0</v>
      </c>
      <c r="J25" s="216">
        <v>150.08</v>
      </c>
      <c r="K25" s="515">
        <f>IFERROR(__xludf.DUMMYFUNCTION("GOOGLEFINANCE(E25,""changepct"")"),0.35)</f>
        <v>0.35</v>
      </c>
      <c r="L25" s="516">
        <f>IFERROR(__xludf.DUMMYFUNCTION("googlefinance(E25,""price"")"),137.49)</f>
        <v>137.49</v>
      </c>
      <c r="M25" s="216">
        <v>179.73</v>
      </c>
      <c r="N25" s="517">
        <f t="shared" si="3"/>
        <v>-12.59</v>
      </c>
      <c r="O25" s="518">
        <f t="shared" si="12"/>
        <v>0.1975613006</v>
      </c>
      <c r="P25" s="514">
        <f t="shared" si="5"/>
        <v>29650</v>
      </c>
      <c r="Q25" s="538"/>
      <c r="R25" s="217"/>
      <c r="S25" s="519" t="s">
        <v>53</v>
      </c>
      <c r="T25" s="520">
        <v>44783.0</v>
      </c>
      <c r="U25" s="521">
        <v>179.73</v>
      </c>
      <c r="V25" s="522">
        <v>179730.0</v>
      </c>
      <c r="W25" s="519"/>
      <c r="X25" s="520"/>
      <c r="Y25" s="521"/>
      <c r="Z25" s="522"/>
    </row>
    <row r="26">
      <c r="A26" s="528"/>
      <c r="B26" s="528"/>
      <c r="C26" s="512">
        <f>I26/E137</f>
        <v>0.02200469914</v>
      </c>
      <c r="D26" s="529" t="s">
        <v>483</v>
      </c>
      <c r="E26" s="529" t="s">
        <v>484</v>
      </c>
      <c r="F26" s="530">
        <v>7.6</v>
      </c>
      <c r="G26" s="513">
        <v>10000.0</v>
      </c>
      <c r="H26" s="217">
        <f t="shared" si="1"/>
        <v>209100</v>
      </c>
      <c r="I26" s="514">
        <f t="shared" ref="I26:I27" si="13">H26+P26</f>
        <v>226100</v>
      </c>
      <c r="J26" s="216">
        <v>20.91</v>
      </c>
      <c r="K26" s="515">
        <f>IFERROR(__xludf.DUMMYFUNCTION("GOOGLEFINANCE(E26,""changepct"")"),-1.09)</f>
        <v>-1.09</v>
      </c>
      <c r="L26" s="516">
        <f>IFERROR(__xludf.DUMMYFUNCTION("googlefinance(E26,""price"")"),22.61)</f>
        <v>22.61</v>
      </c>
      <c r="M26" s="216"/>
      <c r="N26" s="517">
        <f t="shared" si="3"/>
        <v>1.7</v>
      </c>
      <c r="O26" s="518">
        <f t="shared" ref="O26:O27" si="14">L26/J26-1</f>
        <v>0.08130081301</v>
      </c>
      <c r="P26" s="514">
        <f t="shared" si="5"/>
        <v>17000</v>
      </c>
      <c r="Q26" s="538">
        <v>0.053</v>
      </c>
      <c r="R26" s="217">
        <v>2300.0</v>
      </c>
      <c r="S26" s="519"/>
      <c r="T26" s="520"/>
      <c r="U26" s="521"/>
      <c r="V26" s="522"/>
      <c r="W26" s="519"/>
      <c r="X26" s="520"/>
      <c r="Y26" s="521"/>
      <c r="Z26" s="522"/>
    </row>
    <row r="27">
      <c r="A27" s="528"/>
      <c r="B27" s="528"/>
      <c r="C27" s="512">
        <f>I27/E137</f>
        <v>0.01534294922</v>
      </c>
      <c r="D27" s="529" t="s">
        <v>564</v>
      </c>
      <c r="E27" s="529" t="s">
        <v>443</v>
      </c>
      <c r="F27" s="530">
        <v>7.5</v>
      </c>
      <c r="G27" s="513">
        <v>15000.0</v>
      </c>
      <c r="H27" s="217">
        <f t="shared" si="1"/>
        <v>201750</v>
      </c>
      <c r="I27" s="514">
        <f t="shared" si="13"/>
        <v>157650</v>
      </c>
      <c r="J27" s="216">
        <v>13.45</v>
      </c>
      <c r="K27" s="515">
        <f>IFERROR(__xludf.DUMMYFUNCTION("GOOGLEFINANCE(E27,""changepct"")"),-0.94)</f>
        <v>-0.94</v>
      </c>
      <c r="L27" s="516">
        <f>IFERROR(__xludf.DUMMYFUNCTION("googlefinance(E27,""price"")"),10.51)</f>
        <v>10.51</v>
      </c>
      <c r="M27" s="216"/>
      <c r="N27" s="517">
        <f t="shared" si="3"/>
        <v>-2.94</v>
      </c>
      <c r="O27" s="518">
        <f t="shared" si="14"/>
        <v>-0.2185873606</v>
      </c>
      <c r="P27" s="514">
        <f t="shared" si="5"/>
        <v>-44100</v>
      </c>
      <c r="Q27" s="538"/>
      <c r="R27" s="217"/>
      <c r="S27" s="519"/>
      <c r="T27" s="520"/>
      <c r="U27" s="521"/>
      <c r="V27" s="522"/>
      <c r="W27" s="519"/>
      <c r="X27" s="520"/>
      <c r="Y27" s="521"/>
      <c r="Z27" s="522"/>
    </row>
    <row r="28">
      <c r="A28" s="528"/>
      <c r="B28" s="528"/>
      <c r="C28" s="512">
        <f>I28/E137</f>
        <v>0</v>
      </c>
      <c r="D28" s="529" t="s">
        <v>337</v>
      </c>
      <c r="E28" s="529" t="s">
        <v>338</v>
      </c>
      <c r="F28" s="530">
        <v>7.2</v>
      </c>
      <c r="G28" s="513">
        <v>4000.0</v>
      </c>
      <c r="H28" s="217">
        <f t="shared" si="1"/>
        <v>148480</v>
      </c>
      <c r="I28" s="217">
        <v>0.0</v>
      </c>
      <c r="J28" s="216">
        <v>37.12</v>
      </c>
      <c r="K28" s="515">
        <f>IFERROR(__xludf.DUMMYFUNCTION("GOOGLEFINANCE(E28,""changepct"")"),-2.36)</f>
        <v>-2.36</v>
      </c>
      <c r="L28" s="516">
        <f>IFERROR(__xludf.DUMMYFUNCTION("googlefinance(E28,""price"")"),19.82)</f>
        <v>19.82</v>
      </c>
      <c r="M28" s="216">
        <v>35.8</v>
      </c>
      <c r="N28" s="517">
        <f t="shared" si="3"/>
        <v>-17.3</v>
      </c>
      <c r="O28" s="518">
        <f>M28/J28-1</f>
        <v>-0.03556034483</v>
      </c>
      <c r="P28" s="514">
        <f t="shared" si="5"/>
        <v>-5280</v>
      </c>
      <c r="Q28" s="538">
        <v>0.04</v>
      </c>
      <c r="R28" s="217"/>
      <c r="S28" s="519" t="s">
        <v>338</v>
      </c>
      <c r="T28" s="520">
        <v>44781.0</v>
      </c>
      <c r="U28" s="521">
        <v>35.8</v>
      </c>
      <c r="V28" s="522">
        <v>143200.0</v>
      </c>
      <c r="W28" s="519"/>
      <c r="X28" s="520"/>
      <c r="Y28" s="521"/>
      <c r="Z28" s="522"/>
    </row>
    <row r="29">
      <c r="A29" s="13"/>
      <c r="B29" s="13"/>
      <c r="C29" s="504" t="s">
        <v>89</v>
      </c>
      <c r="D29" s="13"/>
      <c r="E29" s="13"/>
      <c r="F29" s="13"/>
      <c r="G29" s="509"/>
      <c r="H29" s="509">
        <f t="shared" ref="H29:I29" si="15">SUM(H3:H28)</f>
        <v>3148950.4</v>
      </c>
      <c r="I29" s="539">
        <f t="shared" si="15"/>
        <v>3327608</v>
      </c>
      <c r="J29" s="506"/>
      <c r="K29" s="506"/>
      <c r="L29" s="506"/>
      <c r="M29" s="507"/>
      <c r="N29" s="507"/>
      <c r="O29" s="540">
        <f>P29/H29</f>
        <v>0.7367606044</v>
      </c>
      <c r="P29" s="539">
        <f>SUM(P3:P28)</f>
        <v>2320022.6</v>
      </c>
      <c r="Q29" s="541"/>
      <c r="R29" s="193">
        <f>SUM(R3:R28)</f>
        <v>2300</v>
      </c>
      <c r="S29" s="510" t="s">
        <v>89</v>
      </c>
      <c r="T29" s="542"/>
      <c r="U29" s="543"/>
      <c r="V29" s="544">
        <f>SUM(V3:V28)</f>
        <v>2141365</v>
      </c>
      <c r="W29" s="510" t="s">
        <v>89</v>
      </c>
      <c r="X29" s="542"/>
      <c r="Y29" s="543"/>
      <c r="Z29" s="544">
        <f>SUM(Z3:Z28)</f>
        <v>1196867</v>
      </c>
    </row>
    <row r="30">
      <c r="A30" s="173"/>
      <c r="B30" s="504" t="s">
        <v>342</v>
      </c>
      <c r="C30" s="504" t="s">
        <v>2</v>
      </c>
      <c r="D30" s="545" t="s">
        <v>3</v>
      </c>
      <c r="E30" s="545" t="s">
        <v>4</v>
      </c>
      <c r="F30" s="546" t="s">
        <v>5</v>
      </c>
      <c r="G30" s="547" t="s">
        <v>6</v>
      </c>
      <c r="H30" s="504" t="s">
        <v>7</v>
      </c>
      <c r="I30" s="505" t="s">
        <v>8</v>
      </c>
      <c r="J30" s="505" t="s">
        <v>9</v>
      </c>
      <c r="K30" s="548" t="s">
        <v>10</v>
      </c>
      <c r="L30" s="548" t="s">
        <v>11</v>
      </c>
      <c r="M30" s="548" t="s">
        <v>476</v>
      </c>
      <c r="N30" s="549" t="s">
        <v>13</v>
      </c>
      <c r="O30" s="504" t="s">
        <v>14</v>
      </c>
      <c r="P30" s="508" t="s">
        <v>15</v>
      </c>
      <c r="Q30" s="550" t="s">
        <v>16</v>
      </c>
      <c r="R30" s="551" t="s">
        <v>17</v>
      </c>
      <c r="S30" s="546" t="s">
        <v>21</v>
      </c>
      <c r="T30" s="552" t="s">
        <v>22</v>
      </c>
      <c r="U30" s="553" t="s">
        <v>23</v>
      </c>
      <c r="V30" s="553" t="s">
        <v>24</v>
      </c>
      <c r="W30" s="545" t="s">
        <v>25</v>
      </c>
      <c r="X30" s="545" t="s">
        <v>26</v>
      </c>
      <c r="Y30" s="553" t="s">
        <v>27</v>
      </c>
      <c r="Z30" s="551" t="s">
        <v>28</v>
      </c>
    </row>
    <row r="31">
      <c r="A31" s="502" t="s">
        <v>29</v>
      </c>
      <c r="B31" s="321">
        <f>I36/E137</f>
        <v>0.05818593299</v>
      </c>
      <c r="C31" s="512">
        <f>I31/E137</f>
        <v>0.02046943099</v>
      </c>
      <c r="D31" s="344" t="s">
        <v>346</v>
      </c>
      <c r="E31" s="344" t="s">
        <v>347</v>
      </c>
      <c r="F31" s="195">
        <v>7.2</v>
      </c>
      <c r="G31" s="513">
        <v>2500.0</v>
      </c>
      <c r="H31" s="217">
        <f t="shared" ref="H31:H35" si="16">G31*J31</f>
        <v>285250</v>
      </c>
      <c r="I31" s="514">
        <f t="shared" ref="I31:I35" si="17">H31+P31</f>
        <v>210325</v>
      </c>
      <c r="J31" s="216">
        <v>114.1</v>
      </c>
      <c r="K31" s="515">
        <f>IFERROR(__xludf.DUMMYFUNCTION("GOOGLEFINANCE(E31,""changepct"")"),-1.09)</f>
        <v>-1.09</v>
      </c>
      <c r="L31" s="516">
        <f>IFERROR(__xludf.DUMMYFUNCTION("googlefinance(E31,""price"")"),84.13)</f>
        <v>84.13</v>
      </c>
      <c r="M31" s="216"/>
      <c r="N31" s="517">
        <f t="shared" ref="N31:N35" si="18">L31-J31</f>
        <v>-29.97</v>
      </c>
      <c r="O31" s="518">
        <f t="shared" ref="O31:O35" si="19">L31/J31-1</f>
        <v>-0.2626643295</v>
      </c>
      <c r="P31" s="514">
        <f t="shared" ref="P31:P35" si="20">H31*O31</f>
        <v>-74925</v>
      </c>
      <c r="Q31" s="14"/>
      <c r="R31" s="19"/>
      <c r="S31" s="554"/>
      <c r="T31" s="30"/>
      <c r="U31" s="31"/>
      <c r="V31" s="29"/>
      <c r="W31" s="32"/>
      <c r="X31" s="32"/>
      <c r="Y31" s="31"/>
      <c r="Z31" s="29"/>
    </row>
    <row r="32">
      <c r="A32" s="528"/>
      <c r="B32" s="38"/>
      <c r="C32" s="512">
        <f>I32/E137</f>
        <v>0.01635997313</v>
      </c>
      <c r="D32" s="344" t="s">
        <v>530</v>
      </c>
      <c r="E32" s="344" t="s">
        <v>34</v>
      </c>
      <c r="F32" s="195">
        <v>7.5</v>
      </c>
      <c r="G32" s="513">
        <v>2000.0</v>
      </c>
      <c r="H32" s="217">
        <f t="shared" si="16"/>
        <v>298260</v>
      </c>
      <c r="I32" s="514">
        <f t="shared" si="17"/>
        <v>168100</v>
      </c>
      <c r="J32" s="216">
        <v>149.13</v>
      </c>
      <c r="K32" s="515">
        <f>IFERROR(__xludf.DUMMYFUNCTION("GOOGLEFINANCE(E32,""changepct"")"),-2.94)</f>
        <v>-2.94</v>
      </c>
      <c r="L32" s="516">
        <f>IFERROR(__xludf.DUMMYFUNCTION("googlefinance(E32,""price"")"),84.05)</f>
        <v>84.05</v>
      </c>
      <c r="M32" s="517"/>
      <c r="N32" s="517">
        <f t="shared" si="18"/>
        <v>-65.08</v>
      </c>
      <c r="O32" s="518">
        <f t="shared" si="19"/>
        <v>-0.4363977738</v>
      </c>
      <c r="P32" s="514">
        <f t="shared" si="20"/>
        <v>-130160</v>
      </c>
      <c r="Q32" s="34"/>
      <c r="R32" s="29"/>
      <c r="S32" s="555"/>
      <c r="T32" s="556"/>
      <c r="U32" s="557"/>
      <c r="V32" s="558"/>
      <c r="W32" s="559"/>
      <c r="X32" s="560"/>
      <c r="Y32" s="561"/>
      <c r="Z32" s="562"/>
    </row>
    <row r="33">
      <c r="A33" s="528"/>
      <c r="B33" s="38"/>
      <c r="C33" s="512">
        <f>I33/E137</f>
        <v>0.01837260992</v>
      </c>
      <c r="D33" s="529" t="s">
        <v>343</v>
      </c>
      <c r="E33" s="529" t="s">
        <v>301</v>
      </c>
      <c r="F33" s="530">
        <v>7.2</v>
      </c>
      <c r="G33" s="513">
        <v>2000.0</v>
      </c>
      <c r="H33" s="217">
        <f t="shared" si="16"/>
        <v>124240</v>
      </c>
      <c r="I33" s="514">
        <f t="shared" si="17"/>
        <v>188780</v>
      </c>
      <c r="J33" s="216">
        <v>62.12</v>
      </c>
      <c r="K33" s="515">
        <f>IFERROR(__xludf.DUMMYFUNCTION("GOOGLEFINANCE(E33,""changepct"")"),-3.14)</f>
        <v>-3.14</v>
      </c>
      <c r="L33" s="516">
        <f>IFERROR(__xludf.DUMMYFUNCTION("googlefinance(E33,""price"")"),94.39)</f>
        <v>94.39</v>
      </c>
      <c r="M33" s="216"/>
      <c r="N33" s="517">
        <f t="shared" si="18"/>
        <v>32.27</v>
      </c>
      <c r="O33" s="518">
        <f t="shared" si="19"/>
        <v>0.5194784288</v>
      </c>
      <c r="P33" s="514">
        <f t="shared" si="20"/>
        <v>64540</v>
      </c>
      <c r="Q33" s="34"/>
      <c r="R33" s="29"/>
      <c r="S33" s="555"/>
      <c r="T33" s="556"/>
      <c r="U33" s="557"/>
      <c r="V33" s="558"/>
      <c r="W33" s="555"/>
      <c r="X33" s="556"/>
      <c r="Y33" s="557"/>
      <c r="Z33" s="558"/>
    </row>
    <row r="34">
      <c r="A34" s="528"/>
      <c r="B34" s="38"/>
      <c r="C34" s="512">
        <f>I34/E137</f>
        <v>0.001491959477</v>
      </c>
      <c r="D34" s="563" t="s">
        <v>490</v>
      </c>
      <c r="E34" s="563" t="s">
        <v>349</v>
      </c>
      <c r="F34" s="530">
        <v>7.1</v>
      </c>
      <c r="G34" s="513">
        <v>3500.0</v>
      </c>
      <c r="H34" s="217">
        <f t="shared" si="16"/>
        <v>62090</v>
      </c>
      <c r="I34" s="514">
        <f t="shared" si="17"/>
        <v>15330</v>
      </c>
      <c r="J34" s="216">
        <v>17.74</v>
      </c>
      <c r="K34" s="515">
        <f>IFERROR(__xludf.DUMMYFUNCTION("GOOGLEFINANCE(E34,""changepct"")"),-2.23)</f>
        <v>-2.23</v>
      </c>
      <c r="L34" s="516">
        <f>IFERROR(__xludf.DUMMYFUNCTION("googlefinance(E34,""price"")"),4.38)</f>
        <v>4.38</v>
      </c>
      <c r="M34" s="216"/>
      <c r="N34" s="517">
        <f t="shared" si="18"/>
        <v>-13.36</v>
      </c>
      <c r="O34" s="518">
        <f t="shared" si="19"/>
        <v>-0.7531003382</v>
      </c>
      <c r="P34" s="514">
        <f t="shared" si="20"/>
        <v>-46760</v>
      </c>
      <c r="Q34" s="34"/>
      <c r="R34" s="29"/>
      <c r="S34" s="555"/>
      <c r="T34" s="556"/>
      <c r="U34" s="557"/>
      <c r="V34" s="558"/>
      <c r="W34" s="555" t="s">
        <v>349</v>
      </c>
      <c r="X34" s="556">
        <v>44806.0</v>
      </c>
      <c r="Y34" s="557">
        <v>17.74</v>
      </c>
      <c r="Z34" s="558">
        <v>62090.0</v>
      </c>
    </row>
    <row r="35">
      <c r="A35" s="528"/>
      <c r="B35" s="38"/>
      <c r="C35" s="512">
        <f>I35/E137</f>
        <v>0.001491959477</v>
      </c>
      <c r="D35" s="563" t="s">
        <v>490</v>
      </c>
      <c r="E35" s="563" t="s">
        <v>349</v>
      </c>
      <c r="F35" s="530">
        <v>7.1</v>
      </c>
      <c r="G35" s="513">
        <v>3500.0</v>
      </c>
      <c r="H35" s="217">
        <f t="shared" si="16"/>
        <v>78190</v>
      </c>
      <c r="I35" s="514">
        <f t="shared" si="17"/>
        <v>15330</v>
      </c>
      <c r="J35" s="216">
        <v>22.34</v>
      </c>
      <c r="K35" s="515">
        <f>IFERROR(__xludf.DUMMYFUNCTION("GOOGLEFINANCE(E35,""changepct"")"),-2.23)</f>
        <v>-2.23</v>
      </c>
      <c r="L35" s="516">
        <f>IFERROR(__xludf.DUMMYFUNCTION("googlefinance(E35,""price"")"),4.38)</f>
        <v>4.38</v>
      </c>
      <c r="M35" s="216"/>
      <c r="N35" s="517">
        <f t="shared" si="18"/>
        <v>-17.96</v>
      </c>
      <c r="O35" s="518">
        <f t="shared" si="19"/>
        <v>-0.8039391226</v>
      </c>
      <c r="P35" s="514">
        <f t="shared" si="20"/>
        <v>-62860</v>
      </c>
      <c r="Q35" s="512"/>
      <c r="R35" s="514"/>
      <c r="S35" s="555"/>
      <c r="T35" s="556"/>
      <c r="U35" s="557"/>
      <c r="V35" s="558"/>
      <c r="W35" s="559"/>
      <c r="X35" s="560"/>
      <c r="Y35" s="561"/>
      <c r="Z35" s="562"/>
    </row>
    <row r="36">
      <c r="A36" s="13"/>
      <c r="B36" s="13"/>
      <c r="C36" s="504" t="s">
        <v>89</v>
      </c>
      <c r="D36" s="13"/>
      <c r="E36" s="13"/>
      <c r="F36" s="13"/>
      <c r="G36" s="564"/>
      <c r="H36" s="509">
        <f t="shared" ref="H36:I36" si="21">SUM(H31:H35)</f>
        <v>848030</v>
      </c>
      <c r="I36" s="539">
        <f t="shared" si="21"/>
        <v>597865</v>
      </c>
      <c r="J36" s="506"/>
      <c r="K36" s="506"/>
      <c r="L36" s="506"/>
      <c r="M36" s="507"/>
      <c r="N36" s="507"/>
      <c r="O36" s="540">
        <f>P36/H36</f>
        <v>-0.2949954601</v>
      </c>
      <c r="P36" s="539">
        <f>SUM(P31:P35)</f>
        <v>-250165</v>
      </c>
      <c r="Q36" s="13"/>
      <c r="R36" s="193">
        <v>0.0</v>
      </c>
      <c r="S36" s="510" t="s">
        <v>89</v>
      </c>
      <c r="T36" s="542"/>
      <c r="U36" s="542"/>
      <c r="V36" s="544">
        <f>SUM(V31:V35)</f>
        <v>0</v>
      </c>
      <c r="W36" s="510" t="s">
        <v>89</v>
      </c>
      <c r="X36" s="542"/>
      <c r="Y36" s="543"/>
      <c r="Z36" s="544">
        <f>SUM(Z31:Z35)</f>
        <v>62090</v>
      </c>
    </row>
    <row r="37">
      <c r="A37" s="173"/>
      <c r="B37" s="504" t="s">
        <v>588</v>
      </c>
      <c r="C37" s="504" t="s">
        <v>2</v>
      </c>
      <c r="D37" s="13" t="s">
        <v>3</v>
      </c>
      <c r="E37" s="13" t="s">
        <v>4</v>
      </c>
      <c r="F37" s="13" t="s">
        <v>5</v>
      </c>
      <c r="G37" s="504" t="s">
        <v>6</v>
      </c>
      <c r="H37" s="504" t="s">
        <v>7</v>
      </c>
      <c r="I37" s="505" t="s">
        <v>8</v>
      </c>
      <c r="J37" s="505" t="s">
        <v>9</v>
      </c>
      <c r="K37" s="506" t="s">
        <v>10</v>
      </c>
      <c r="L37" s="506" t="s">
        <v>11</v>
      </c>
      <c r="M37" s="507" t="s">
        <v>476</v>
      </c>
      <c r="N37" s="507" t="s">
        <v>13</v>
      </c>
      <c r="O37" s="504" t="s">
        <v>14</v>
      </c>
      <c r="P37" s="508" t="s">
        <v>15</v>
      </c>
      <c r="Q37" s="13" t="s">
        <v>16</v>
      </c>
      <c r="R37" s="13" t="s">
        <v>17</v>
      </c>
      <c r="S37" s="510" t="s">
        <v>21</v>
      </c>
      <c r="T37" s="510" t="s">
        <v>22</v>
      </c>
      <c r="U37" s="511" t="s">
        <v>23</v>
      </c>
      <c r="V37" s="511" t="s">
        <v>24</v>
      </c>
      <c r="W37" s="510" t="s">
        <v>25</v>
      </c>
      <c r="X37" s="510" t="s">
        <v>26</v>
      </c>
      <c r="Y37" s="510" t="s">
        <v>27</v>
      </c>
      <c r="Z37" s="510" t="s">
        <v>28</v>
      </c>
    </row>
    <row r="38">
      <c r="A38" s="565" t="s">
        <v>29</v>
      </c>
      <c r="B38" s="566">
        <f>I43/E137</f>
        <v>0.04700762369</v>
      </c>
      <c r="C38" s="512">
        <f>I38/E137</f>
        <v>0.02238669137</v>
      </c>
      <c r="D38" s="567" t="s">
        <v>589</v>
      </c>
      <c r="E38" s="104" t="s">
        <v>315</v>
      </c>
      <c r="F38" s="195">
        <v>7.9</v>
      </c>
      <c r="G38" s="513">
        <v>2500.0</v>
      </c>
      <c r="H38" s="217">
        <f t="shared" ref="H38:H42" si="22">J38*G38</f>
        <v>153775</v>
      </c>
      <c r="I38" s="514">
        <f t="shared" ref="I38:I40" si="23">H38+P38</f>
        <v>230025</v>
      </c>
      <c r="J38" s="216">
        <v>61.51</v>
      </c>
      <c r="K38" s="568">
        <f>IFERROR(__xludf.DUMMYFUNCTION("GOOGLEFINANCE(E38,""changepct"")"),-2.23)</f>
        <v>-2.23</v>
      </c>
      <c r="L38" s="516">
        <f>IFERROR(__xludf.DUMMYFUNCTION("googlefinance(E38,""price"")"),92.01)</f>
        <v>92.01</v>
      </c>
      <c r="M38" s="216"/>
      <c r="N38" s="517">
        <f t="shared" ref="N38:N42" si="24">L38-J38</f>
        <v>30.5</v>
      </c>
      <c r="O38" s="518">
        <f t="shared" ref="O38:O40" si="25">L38/J38-1</f>
        <v>0.4958543326</v>
      </c>
      <c r="P38" s="495">
        <f t="shared" ref="P38:P42" si="26">H38*O38</f>
        <v>76250</v>
      </c>
      <c r="Q38" s="538">
        <v>0.047</v>
      </c>
      <c r="R38" s="217">
        <v>1800.0</v>
      </c>
      <c r="S38" s="519"/>
      <c r="T38" s="520"/>
      <c r="U38" s="521"/>
      <c r="V38" s="522"/>
      <c r="W38" s="519"/>
      <c r="X38" s="520"/>
      <c r="Y38" s="521"/>
      <c r="Z38" s="522"/>
    </row>
    <row r="39">
      <c r="A39" s="528"/>
      <c r="B39" s="528"/>
      <c r="C39" s="512">
        <f>I39/E137</f>
        <v>0.01261790908</v>
      </c>
      <c r="D39" s="567" t="s">
        <v>590</v>
      </c>
      <c r="E39" s="104" t="s">
        <v>104</v>
      </c>
      <c r="F39" s="195">
        <v>7.7</v>
      </c>
      <c r="G39" s="513">
        <v>500.0</v>
      </c>
      <c r="H39" s="217">
        <f t="shared" si="22"/>
        <v>121065</v>
      </c>
      <c r="I39" s="514">
        <f t="shared" si="23"/>
        <v>129650</v>
      </c>
      <c r="J39" s="216">
        <v>242.13</v>
      </c>
      <c r="K39" s="568">
        <f>IFERROR(__xludf.DUMMYFUNCTION("GOOGLEFINANCE(E39,""changepct"")"),-1.28)</f>
        <v>-1.28</v>
      </c>
      <c r="L39" s="516">
        <f>IFERROR(__xludf.DUMMYFUNCTION("googlefinance(E39,""price"")"),259.3)</f>
        <v>259.3</v>
      </c>
      <c r="M39" s="216"/>
      <c r="N39" s="517">
        <f t="shared" si="24"/>
        <v>17.17</v>
      </c>
      <c r="O39" s="518">
        <f t="shared" si="25"/>
        <v>0.07091231983</v>
      </c>
      <c r="P39" s="514">
        <f t="shared" si="26"/>
        <v>8585</v>
      </c>
      <c r="Q39" s="538">
        <v>0.032</v>
      </c>
      <c r="R39" s="217">
        <v>900.0</v>
      </c>
      <c r="S39" s="519"/>
      <c r="T39" s="520"/>
      <c r="U39" s="521"/>
      <c r="V39" s="522"/>
      <c r="W39" s="519"/>
      <c r="X39" s="520"/>
      <c r="Y39" s="521"/>
      <c r="Z39" s="522"/>
    </row>
    <row r="40">
      <c r="A40" s="528"/>
      <c r="B40" s="528"/>
      <c r="C40" s="512">
        <f>I40/E137</f>
        <v>0.01200302324</v>
      </c>
      <c r="D40" s="567" t="s">
        <v>316</v>
      </c>
      <c r="E40" s="104" t="s">
        <v>317</v>
      </c>
      <c r="F40" s="195">
        <v>8.2</v>
      </c>
      <c r="G40" s="513">
        <v>2200.0</v>
      </c>
      <c r="H40" s="217">
        <f t="shared" si="22"/>
        <v>168960</v>
      </c>
      <c r="I40" s="514">
        <f t="shared" si="23"/>
        <v>123332</v>
      </c>
      <c r="J40" s="216">
        <v>76.8</v>
      </c>
      <c r="K40" s="568">
        <f>IFERROR(__xludf.DUMMYFUNCTION("GOOGLEFINANCE(E40,""changepct"")"),-2.81)</f>
        <v>-2.81</v>
      </c>
      <c r="L40" s="516">
        <f>IFERROR(__xludf.DUMMYFUNCTION("googlefinance(E40,""price"")"),56.06)</f>
        <v>56.06</v>
      </c>
      <c r="M40" s="216"/>
      <c r="N40" s="517">
        <f t="shared" si="24"/>
        <v>-20.74</v>
      </c>
      <c r="O40" s="518">
        <f t="shared" si="25"/>
        <v>-0.2700520833</v>
      </c>
      <c r="P40" s="514">
        <f t="shared" si="26"/>
        <v>-45628</v>
      </c>
      <c r="Q40" s="538">
        <v>0.035</v>
      </c>
      <c r="R40" s="217">
        <v>1374.0</v>
      </c>
      <c r="S40" s="519"/>
      <c r="T40" s="520"/>
      <c r="U40" s="521"/>
      <c r="V40" s="522"/>
      <c r="W40" s="519"/>
      <c r="X40" s="520"/>
      <c r="Y40" s="521"/>
      <c r="Z40" s="522"/>
    </row>
    <row r="41">
      <c r="A41" s="528"/>
      <c r="B41" s="528"/>
      <c r="C41" s="512">
        <f>I41/E137</f>
        <v>0</v>
      </c>
      <c r="D41" s="567" t="s">
        <v>111</v>
      </c>
      <c r="E41" s="104" t="s">
        <v>112</v>
      </c>
      <c r="F41" s="195">
        <v>7.9</v>
      </c>
      <c r="G41" s="513">
        <v>1000.0</v>
      </c>
      <c r="H41" s="217">
        <f t="shared" si="22"/>
        <v>153020</v>
      </c>
      <c r="I41" s="217">
        <v>0.0</v>
      </c>
      <c r="J41" s="216">
        <v>153.02</v>
      </c>
      <c r="K41" s="568">
        <f>IFERROR(__xludf.DUMMYFUNCTION("GOOGLEFINANCE(E41,""changepct"")"),-1.02)</f>
        <v>-1.02</v>
      </c>
      <c r="L41" s="516">
        <f>IFERROR(__xludf.DUMMYFUNCTION("googlefinance(E41,""price"")"),176.2)</f>
        <v>176.2</v>
      </c>
      <c r="M41" s="216">
        <v>138.79</v>
      </c>
      <c r="N41" s="517">
        <f t="shared" si="24"/>
        <v>23.18</v>
      </c>
      <c r="O41" s="518">
        <f t="shared" ref="O41:O42" si="27">M41/J41-1</f>
        <v>-0.09299437982</v>
      </c>
      <c r="P41" s="514">
        <f t="shared" si="26"/>
        <v>-14230</v>
      </c>
      <c r="Q41" s="538">
        <v>0.042</v>
      </c>
      <c r="R41" s="217"/>
      <c r="S41" s="519" t="s">
        <v>112</v>
      </c>
      <c r="T41" s="520">
        <v>44799.0</v>
      </c>
      <c r="U41" s="521">
        <v>138.79</v>
      </c>
      <c r="V41" s="522">
        <v>138790.0</v>
      </c>
      <c r="W41" s="519"/>
      <c r="X41" s="520"/>
      <c r="Y41" s="521"/>
      <c r="Z41" s="522"/>
    </row>
    <row r="42">
      <c r="A42" s="528"/>
      <c r="B42" s="528"/>
      <c r="C42" s="512">
        <f>I42/E137</f>
        <v>0</v>
      </c>
      <c r="D42" s="104" t="s">
        <v>591</v>
      </c>
      <c r="E42" s="104" t="s">
        <v>592</v>
      </c>
      <c r="F42" s="569">
        <v>7.7</v>
      </c>
      <c r="G42" s="513">
        <v>2200.0</v>
      </c>
      <c r="H42" s="217">
        <f t="shared" si="22"/>
        <v>141108</v>
      </c>
      <c r="I42" s="217">
        <v>0.0</v>
      </c>
      <c r="J42" s="216">
        <v>64.14</v>
      </c>
      <c r="K42" s="568">
        <f>IFERROR(__xludf.DUMMYFUNCTION("GOOGLEFINANCE(E42,""changepct"")"),-1.04)</f>
        <v>-1.04</v>
      </c>
      <c r="L42" s="516">
        <f>IFERROR(__xludf.DUMMYFUNCTION("googlefinance(E42,""price"")"),65.57)</f>
        <v>65.57</v>
      </c>
      <c r="M42" s="216">
        <v>67.79</v>
      </c>
      <c r="N42" s="517">
        <f t="shared" si="24"/>
        <v>1.43</v>
      </c>
      <c r="O42" s="518">
        <f t="shared" si="27"/>
        <v>0.05690676645</v>
      </c>
      <c r="P42" s="514">
        <f t="shared" si="26"/>
        <v>8030</v>
      </c>
      <c r="Q42" s="538">
        <v>0.024</v>
      </c>
      <c r="R42" s="217"/>
      <c r="S42" s="519" t="s">
        <v>592</v>
      </c>
      <c r="T42" s="520">
        <v>44799.0</v>
      </c>
      <c r="U42" s="521">
        <v>67.79</v>
      </c>
      <c r="V42" s="522">
        <v>149138.0</v>
      </c>
      <c r="W42" s="519"/>
      <c r="X42" s="520"/>
      <c r="Y42" s="521"/>
      <c r="Z42" s="522"/>
    </row>
    <row r="43">
      <c r="A43" s="13"/>
      <c r="B43" s="13"/>
      <c r="C43" s="504" t="s">
        <v>89</v>
      </c>
      <c r="D43" s="13"/>
      <c r="E43" s="13"/>
      <c r="F43" s="13"/>
      <c r="G43" s="564"/>
      <c r="H43" s="509">
        <f t="shared" ref="H43:I43" si="28">SUM(H38:H42)</f>
        <v>737928</v>
      </c>
      <c r="I43" s="539">
        <f t="shared" si="28"/>
        <v>483007</v>
      </c>
      <c r="J43" s="506"/>
      <c r="K43" s="506"/>
      <c r="L43" s="506"/>
      <c r="M43" s="507"/>
      <c r="N43" s="507"/>
      <c r="O43" s="540">
        <f>P43/H43</f>
        <v>0.04472929608</v>
      </c>
      <c r="P43" s="539">
        <f>SUM(P38:P42)</f>
        <v>33007</v>
      </c>
      <c r="Q43" s="13"/>
      <c r="R43" s="509">
        <f>SUM(R38:R42)</f>
        <v>4074</v>
      </c>
      <c r="S43" s="510" t="s">
        <v>89</v>
      </c>
      <c r="T43" s="542"/>
      <c r="U43" s="542"/>
      <c r="V43" s="544">
        <f>SUM(V38:V42)</f>
        <v>287928</v>
      </c>
      <c r="W43" s="510" t="s">
        <v>89</v>
      </c>
      <c r="X43" s="542"/>
      <c r="Y43" s="543"/>
      <c r="Z43" s="570">
        <f>SUM(Z38:Z42)</f>
        <v>0</v>
      </c>
    </row>
    <row r="44">
      <c r="A44" s="173"/>
      <c r="B44" s="504" t="s">
        <v>593</v>
      </c>
      <c r="C44" s="504" t="s">
        <v>2</v>
      </c>
      <c r="D44" s="13" t="s">
        <v>3</v>
      </c>
      <c r="E44" s="13" t="s">
        <v>4</v>
      </c>
      <c r="F44" s="13" t="s">
        <v>5</v>
      </c>
      <c r="G44" s="504" t="s">
        <v>6</v>
      </c>
      <c r="H44" s="504" t="s">
        <v>7</v>
      </c>
      <c r="I44" s="505" t="s">
        <v>8</v>
      </c>
      <c r="J44" s="505" t="s">
        <v>9</v>
      </c>
      <c r="K44" s="506" t="s">
        <v>10</v>
      </c>
      <c r="L44" s="506" t="s">
        <v>11</v>
      </c>
      <c r="M44" s="507" t="s">
        <v>476</v>
      </c>
      <c r="N44" s="507" t="s">
        <v>13</v>
      </c>
      <c r="O44" s="504" t="s">
        <v>14</v>
      </c>
      <c r="P44" s="508" t="s">
        <v>15</v>
      </c>
      <c r="Q44" s="13" t="s">
        <v>16</v>
      </c>
      <c r="R44" s="13" t="s">
        <v>17</v>
      </c>
      <c r="S44" s="510" t="s">
        <v>21</v>
      </c>
      <c r="T44" s="510" t="s">
        <v>22</v>
      </c>
      <c r="U44" s="511" t="s">
        <v>23</v>
      </c>
      <c r="V44" s="511" t="s">
        <v>24</v>
      </c>
      <c r="W44" s="510" t="s">
        <v>25</v>
      </c>
      <c r="X44" s="510" t="s">
        <v>26</v>
      </c>
      <c r="Y44" s="510" t="s">
        <v>27</v>
      </c>
      <c r="Z44" s="510" t="s">
        <v>28</v>
      </c>
    </row>
    <row r="45">
      <c r="A45" s="502" t="s">
        <v>29</v>
      </c>
      <c r="B45" s="527">
        <f>I55/E137</f>
        <v>0.0334160967</v>
      </c>
      <c r="C45" s="512">
        <f>I45/E137</f>
        <v>0</v>
      </c>
      <c r="D45" s="104" t="s">
        <v>304</v>
      </c>
      <c r="E45" s="104" t="s">
        <v>305</v>
      </c>
      <c r="F45" s="195">
        <v>7.5</v>
      </c>
      <c r="G45" s="513">
        <v>2000.0</v>
      </c>
      <c r="H45" s="217">
        <f t="shared" ref="H45:H54" si="29">J45*G45</f>
        <v>143280</v>
      </c>
      <c r="I45" s="217">
        <v>0.0</v>
      </c>
      <c r="J45" s="216">
        <v>71.64</v>
      </c>
      <c r="K45" s="515">
        <f>IFERROR(__xludf.DUMMYFUNCTION("GOOGLEFINANCE(E45,""changepct"")"),-0.97)</f>
        <v>-0.97</v>
      </c>
      <c r="L45" s="517">
        <f>IFERROR(__xludf.DUMMYFUNCTION("googlefinance(E45,""price"")"),33.62)</f>
        <v>33.62</v>
      </c>
      <c r="M45" s="216">
        <v>89.17</v>
      </c>
      <c r="N45" s="517">
        <f t="shared" ref="N45:N54" si="30">L45-J45</f>
        <v>-38.02</v>
      </c>
      <c r="O45" s="518">
        <f>M45/J45-1</f>
        <v>0.2446957007</v>
      </c>
      <c r="P45" s="514">
        <f t="shared" ref="P45:P54" si="31">H45*O45</f>
        <v>35060</v>
      </c>
      <c r="Q45" s="538"/>
      <c r="R45" s="514"/>
      <c r="S45" s="519" t="s">
        <v>305</v>
      </c>
      <c r="T45" s="520">
        <v>44788.0</v>
      </c>
      <c r="U45" s="521">
        <v>89.17</v>
      </c>
      <c r="V45" s="522">
        <v>178430.0</v>
      </c>
      <c r="W45" s="523"/>
      <c r="X45" s="524"/>
      <c r="Y45" s="525"/>
      <c r="Z45" s="526"/>
    </row>
    <row r="46">
      <c r="A46" s="528"/>
      <c r="B46" s="528"/>
      <c r="C46" s="512">
        <f>I46/E137</f>
        <v>0.00834300236</v>
      </c>
      <c r="D46" s="567" t="s">
        <v>306</v>
      </c>
      <c r="E46" s="567" t="s">
        <v>307</v>
      </c>
      <c r="F46" s="195">
        <v>7.6</v>
      </c>
      <c r="G46" s="513">
        <v>7500.0</v>
      </c>
      <c r="H46" s="217">
        <f t="shared" si="29"/>
        <v>143700</v>
      </c>
      <c r="I46" s="217">
        <f>H46+P46</f>
        <v>85725</v>
      </c>
      <c r="J46" s="216">
        <v>19.16</v>
      </c>
      <c r="K46" s="515">
        <f>IFERROR(__xludf.DUMMYFUNCTION("GOOGLEFINANCE(E46,""changepct"")"),-0.87)</f>
        <v>-0.87</v>
      </c>
      <c r="L46" s="517">
        <f>IFERROR(__xludf.DUMMYFUNCTION("googlefinance(E46,""price"")"),11.43)</f>
        <v>11.43</v>
      </c>
      <c r="M46" s="216"/>
      <c r="N46" s="517">
        <f t="shared" si="30"/>
        <v>-7.73</v>
      </c>
      <c r="O46" s="518">
        <f>L46/J46-1</f>
        <v>-0.4034446764</v>
      </c>
      <c r="P46" s="514">
        <f t="shared" si="31"/>
        <v>-57975</v>
      </c>
      <c r="Q46" s="538">
        <v>0.015</v>
      </c>
      <c r="R46" s="217">
        <v>536.0</v>
      </c>
      <c r="S46" s="519"/>
      <c r="T46" s="520"/>
      <c r="U46" s="521"/>
      <c r="V46" s="522"/>
      <c r="W46" s="519"/>
      <c r="X46" s="520"/>
      <c r="Y46" s="521"/>
      <c r="Z46" s="522"/>
    </row>
    <row r="47">
      <c r="A47" s="528"/>
      <c r="B47" s="528"/>
      <c r="C47" s="512">
        <f>I47/E137</f>
        <v>0</v>
      </c>
      <c r="D47" s="567" t="s">
        <v>566</v>
      </c>
      <c r="E47" s="567" t="s">
        <v>567</v>
      </c>
      <c r="F47" s="195">
        <v>7.3</v>
      </c>
      <c r="G47" s="513">
        <v>1500.0</v>
      </c>
      <c r="H47" s="217">
        <f t="shared" si="29"/>
        <v>163110</v>
      </c>
      <c r="I47" s="217">
        <v>0.0</v>
      </c>
      <c r="J47" s="216">
        <v>108.74</v>
      </c>
      <c r="K47" s="515">
        <f>IFERROR(__xludf.DUMMYFUNCTION("GOOGLEFINANCE(E47,""changepct"")"),0.01)</f>
        <v>0.01</v>
      </c>
      <c r="L47" s="517">
        <f>IFERROR(__xludf.DUMMYFUNCTION("googlefinance(E47,""price"")"),119.59)</f>
        <v>119.59</v>
      </c>
      <c r="M47" s="216">
        <v>111.74</v>
      </c>
      <c r="N47" s="517">
        <f t="shared" si="30"/>
        <v>10.85</v>
      </c>
      <c r="O47" s="518">
        <f>M47/J47-1</f>
        <v>0.02758874379</v>
      </c>
      <c r="P47" s="514">
        <f t="shared" si="31"/>
        <v>4500</v>
      </c>
      <c r="Q47" s="538">
        <v>0.055</v>
      </c>
      <c r="R47" s="217"/>
      <c r="S47" s="519" t="s">
        <v>567</v>
      </c>
      <c r="T47" s="520">
        <v>44805.0</v>
      </c>
      <c r="U47" s="521">
        <v>111.74</v>
      </c>
      <c r="V47" s="522">
        <v>167610.0</v>
      </c>
      <c r="W47" s="519"/>
      <c r="X47" s="520"/>
      <c r="Y47" s="521"/>
      <c r="Z47" s="522"/>
    </row>
    <row r="48">
      <c r="A48" s="528"/>
      <c r="B48" s="528"/>
      <c r="C48" s="512">
        <f>I48/E137</f>
        <v>0.01852715863</v>
      </c>
      <c r="D48" s="567" t="s">
        <v>491</v>
      </c>
      <c r="E48" s="567" t="s">
        <v>492</v>
      </c>
      <c r="F48" s="195">
        <v>7.5</v>
      </c>
      <c r="G48" s="513">
        <v>1800.0</v>
      </c>
      <c r="H48" s="217">
        <f t="shared" si="29"/>
        <v>156546</v>
      </c>
      <c r="I48" s="217">
        <f>H48+P48</f>
        <v>190368</v>
      </c>
      <c r="J48" s="216">
        <v>86.97</v>
      </c>
      <c r="K48" s="515">
        <f>IFERROR(__xludf.DUMMYFUNCTION("GOOGLEFINANCE(E48,""changepct"")"),-0.68)</f>
        <v>-0.68</v>
      </c>
      <c r="L48" s="517">
        <f>IFERROR(__xludf.DUMMYFUNCTION("googlefinance(E48,""price"")"),105.76)</f>
        <v>105.76</v>
      </c>
      <c r="M48" s="216"/>
      <c r="N48" s="517">
        <f t="shared" si="30"/>
        <v>18.79</v>
      </c>
      <c r="O48" s="518">
        <f>L48/J48-1</f>
        <v>0.216051512</v>
      </c>
      <c r="P48" s="514">
        <f t="shared" si="31"/>
        <v>33822</v>
      </c>
      <c r="Q48" s="538">
        <v>0.054</v>
      </c>
      <c r="R48" s="217">
        <v>2120.0</v>
      </c>
      <c r="S48" s="519"/>
      <c r="T48" s="520"/>
      <c r="U48" s="521"/>
      <c r="V48" s="522"/>
      <c r="W48" s="519"/>
      <c r="X48" s="520"/>
      <c r="Y48" s="521"/>
      <c r="Z48" s="522"/>
    </row>
    <row r="49">
      <c r="A49" s="528"/>
      <c r="B49" s="528"/>
      <c r="C49" s="512">
        <f>I49/E137</f>
        <v>0</v>
      </c>
      <c r="D49" s="567" t="s">
        <v>94</v>
      </c>
      <c r="E49" s="567" t="s">
        <v>95</v>
      </c>
      <c r="F49" s="195">
        <v>7.3</v>
      </c>
      <c r="G49" s="513">
        <v>3000.0</v>
      </c>
      <c r="H49" s="217">
        <f t="shared" si="29"/>
        <v>107400</v>
      </c>
      <c r="I49" s="217">
        <v>0.0</v>
      </c>
      <c r="J49" s="216">
        <v>35.8</v>
      </c>
      <c r="K49" s="515">
        <f>IFERROR(__xludf.DUMMYFUNCTION("GOOGLEFINANCE(E49,""changepct"")"),0.03)</f>
        <v>0.03</v>
      </c>
      <c r="L49" s="517">
        <f>IFERROR(__xludf.DUMMYFUNCTION("googlefinance(E49,""price"")"),37.81)</f>
        <v>37.81</v>
      </c>
      <c r="M49" s="216">
        <v>33.98</v>
      </c>
      <c r="N49" s="517">
        <f t="shared" si="30"/>
        <v>2.01</v>
      </c>
      <c r="O49" s="518">
        <f t="shared" ref="O49:O52" si="32">M49/J49-1</f>
        <v>-0.05083798883</v>
      </c>
      <c r="P49" s="514">
        <f t="shared" si="31"/>
        <v>-5460</v>
      </c>
      <c r="Q49" s="538">
        <v>0.016</v>
      </c>
      <c r="R49" s="217"/>
      <c r="S49" s="519" t="s">
        <v>95</v>
      </c>
      <c r="T49" s="520">
        <v>44747.0</v>
      </c>
      <c r="U49" s="521">
        <v>33.98</v>
      </c>
      <c r="V49" s="522">
        <v>101940.0</v>
      </c>
      <c r="W49" s="519"/>
      <c r="X49" s="520"/>
      <c r="Y49" s="521"/>
      <c r="Z49" s="522"/>
    </row>
    <row r="50">
      <c r="A50" s="528"/>
      <c r="B50" s="528"/>
      <c r="C50" s="512">
        <f>I50/E137</f>
        <v>0</v>
      </c>
      <c r="D50" s="104" t="s">
        <v>393</v>
      </c>
      <c r="E50" s="104" t="s">
        <v>394</v>
      </c>
      <c r="F50" s="195">
        <v>7.4</v>
      </c>
      <c r="G50" s="513">
        <v>5000.0</v>
      </c>
      <c r="H50" s="217">
        <f t="shared" si="29"/>
        <v>110200</v>
      </c>
      <c r="I50" s="217">
        <v>0.0</v>
      </c>
      <c r="J50" s="216">
        <v>22.04</v>
      </c>
      <c r="K50" s="515">
        <f>IFERROR(__xludf.DUMMYFUNCTION("GOOGLEFINANCE(E50,""changepct"")"),-0.62)</f>
        <v>-0.62</v>
      </c>
      <c r="L50" s="517">
        <f>IFERROR(__xludf.DUMMYFUNCTION("googlefinance(E50,""price"")"),543.4)</f>
        <v>543.4</v>
      </c>
      <c r="M50" s="216">
        <v>21.02</v>
      </c>
      <c r="N50" s="517">
        <f t="shared" si="30"/>
        <v>521.36</v>
      </c>
      <c r="O50" s="518">
        <f t="shared" si="32"/>
        <v>-0.04627949183</v>
      </c>
      <c r="P50" s="514">
        <f t="shared" si="31"/>
        <v>-5100</v>
      </c>
      <c r="Q50" s="538">
        <v>0.03</v>
      </c>
      <c r="R50" s="217"/>
      <c r="S50" s="519" t="s">
        <v>394</v>
      </c>
      <c r="T50" s="520">
        <v>44747.0</v>
      </c>
      <c r="U50" s="521">
        <v>21.02</v>
      </c>
      <c r="V50" s="522">
        <v>105100.0</v>
      </c>
      <c r="W50" s="519"/>
      <c r="X50" s="520"/>
      <c r="Y50" s="521"/>
      <c r="Z50" s="522"/>
    </row>
    <row r="51">
      <c r="A51" s="528"/>
      <c r="B51" s="528"/>
      <c r="C51" s="512">
        <f>I51/E137</f>
        <v>0</v>
      </c>
      <c r="D51" s="104" t="s">
        <v>92</v>
      </c>
      <c r="E51" s="104" t="s">
        <v>93</v>
      </c>
      <c r="F51" s="195">
        <v>7.3</v>
      </c>
      <c r="G51" s="513">
        <v>2000.0</v>
      </c>
      <c r="H51" s="217">
        <f t="shared" si="29"/>
        <v>111360</v>
      </c>
      <c r="I51" s="217">
        <v>0.0</v>
      </c>
      <c r="J51" s="216">
        <v>55.68</v>
      </c>
      <c r="K51" s="515">
        <f>IFERROR(__xludf.DUMMYFUNCTION("GOOGLEFINANCE(E51,""changepct"")"),2.47)</f>
        <v>2.47</v>
      </c>
      <c r="L51" s="517">
        <f>IFERROR(__xludf.DUMMYFUNCTION("googlefinance(E51,""price"")"),31.97)</f>
        <v>31.97</v>
      </c>
      <c r="M51" s="216">
        <v>58.33</v>
      </c>
      <c r="N51" s="517">
        <f t="shared" si="30"/>
        <v>-23.71</v>
      </c>
      <c r="O51" s="518">
        <f t="shared" si="32"/>
        <v>0.0475933908</v>
      </c>
      <c r="P51" s="514">
        <f t="shared" si="31"/>
        <v>5300</v>
      </c>
      <c r="Q51" s="538">
        <v>0.092</v>
      </c>
      <c r="R51" s="217"/>
      <c r="S51" s="519" t="s">
        <v>93</v>
      </c>
      <c r="T51" s="520">
        <v>44768.0</v>
      </c>
      <c r="U51" s="521">
        <v>58.33</v>
      </c>
      <c r="V51" s="522">
        <v>116660.0</v>
      </c>
      <c r="W51" s="519"/>
      <c r="X51" s="520"/>
      <c r="Y51" s="521"/>
      <c r="Z51" s="522"/>
    </row>
    <row r="52">
      <c r="A52" s="528"/>
      <c r="B52" s="528"/>
      <c r="C52" s="512">
        <f>I52/E137</f>
        <v>0</v>
      </c>
      <c r="D52" s="104" t="s">
        <v>494</v>
      </c>
      <c r="E52" s="104" t="s">
        <v>494</v>
      </c>
      <c r="F52" s="195">
        <v>7.5</v>
      </c>
      <c r="G52" s="513">
        <v>4000.0</v>
      </c>
      <c r="H52" s="217">
        <f t="shared" si="29"/>
        <v>112000</v>
      </c>
      <c r="I52" s="217">
        <v>0.0</v>
      </c>
      <c r="J52" s="216">
        <v>28.0</v>
      </c>
      <c r="K52" s="515">
        <f>IFERROR(__xludf.DUMMYFUNCTION("GOOGLEFINANCE(E52,""changepct"")"),0.45)</f>
        <v>0.45</v>
      </c>
      <c r="L52" s="517">
        <f>IFERROR(__xludf.DUMMYFUNCTION("googlefinance(E52,""price"")"),29.09)</f>
        <v>29.09</v>
      </c>
      <c r="M52" s="216">
        <v>30.96</v>
      </c>
      <c r="N52" s="517">
        <f t="shared" si="30"/>
        <v>1.09</v>
      </c>
      <c r="O52" s="518">
        <f t="shared" si="32"/>
        <v>0.1057142857</v>
      </c>
      <c r="P52" s="514">
        <f t="shared" si="31"/>
        <v>11840</v>
      </c>
      <c r="Q52" s="538">
        <v>0.046</v>
      </c>
      <c r="R52" s="217"/>
      <c r="S52" s="519" t="s">
        <v>494</v>
      </c>
      <c r="T52" s="520">
        <v>44788.0</v>
      </c>
      <c r="U52" s="521">
        <v>30.96</v>
      </c>
      <c r="V52" s="522">
        <v>123840.0</v>
      </c>
      <c r="W52" s="519"/>
      <c r="X52" s="520"/>
      <c r="Y52" s="521"/>
      <c r="Z52" s="522"/>
    </row>
    <row r="53">
      <c r="A53" s="528"/>
      <c r="B53" s="528"/>
      <c r="C53" s="512">
        <f>I53/E137</f>
        <v>0.00654593571</v>
      </c>
      <c r="D53" s="104" t="s">
        <v>352</v>
      </c>
      <c r="E53" s="104" t="s">
        <v>97</v>
      </c>
      <c r="F53" s="195">
        <v>7.4</v>
      </c>
      <c r="G53" s="513">
        <v>3000.0</v>
      </c>
      <c r="H53" s="217">
        <f t="shared" si="29"/>
        <v>112440</v>
      </c>
      <c r="I53" s="217">
        <f>H53+P53</f>
        <v>67260</v>
      </c>
      <c r="J53" s="216">
        <v>37.48</v>
      </c>
      <c r="K53" s="515">
        <f>IFERROR(__xludf.DUMMYFUNCTION("GOOGLEFINANCE(E53,""changepct"")"),1.49)</f>
        <v>1.49</v>
      </c>
      <c r="L53" s="517">
        <f>IFERROR(__xludf.DUMMYFUNCTION("googlefinance(E53,""price"")"),22.42)</f>
        <v>22.42</v>
      </c>
      <c r="M53" s="216"/>
      <c r="N53" s="517">
        <f t="shared" si="30"/>
        <v>-15.06</v>
      </c>
      <c r="O53" s="518">
        <f>L53/J53-1</f>
        <v>-0.401814301</v>
      </c>
      <c r="P53" s="514">
        <f t="shared" si="31"/>
        <v>-45180</v>
      </c>
      <c r="Q53" s="538">
        <v>0.014</v>
      </c>
      <c r="R53" s="217">
        <v>360.0</v>
      </c>
      <c r="S53" s="519"/>
      <c r="T53" s="520"/>
      <c r="U53" s="521"/>
      <c r="V53" s="522"/>
      <c r="W53" s="519" t="s">
        <v>97</v>
      </c>
      <c r="X53" s="520">
        <v>44813.0</v>
      </c>
      <c r="Y53" s="521">
        <v>37.48</v>
      </c>
      <c r="Z53" s="522">
        <v>112440.0</v>
      </c>
    </row>
    <row r="54">
      <c r="A54" s="528"/>
      <c r="B54" s="528"/>
      <c r="C54" s="512">
        <f>I54/E137</f>
        <v>0</v>
      </c>
      <c r="D54" s="104" t="s">
        <v>352</v>
      </c>
      <c r="E54" s="104" t="s">
        <v>97</v>
      </c>
      <c r="F54" s="195">
        <v>7.4</v>
      </c>
      <c r="G54" s="513">
        <v>3500.0</v>
      </c>
      <c r="H54" s="217">
        <f t="shared" si="29"/>
        <v>123865</v>
      </c>
      <c r="I54" s="217">
        <v>0.0</v>
      </c>
      <c r="J54" s="216">
        <v>35.39</v>
      </c>
      <c r="K54" s="515">
        <f>IFERROR(__xludf.DUMMYFUNCTION("GOOGLEFINANCE(E54,""changepct"")"),1.49)</f>
        <v>1.49</v>
      </c>
      <c r="L54" s="517">
        <f>IFERROR(__xludf.DUMMYFUNCTION("googlefinance(E54,""price"")"),22.42)</f>
        <v>22.42</v>
      </c>
      <c r="M54" s="216">
        <v>37.92</v>
      </c>
      <c r="N54" s="517">
        <f t="shared" si="30"/>
        <v>-12.97</v>
      </c>
      <c r="O54" s="518">
        <f>M54/J54-1</f>
        <v>0.07148912122</v>
      </c>
      <c r="P54" s="514">
        <f t="shared" si="31"/>
        <v>8855</v>
      </c>
      <c r="Q54" s="538">
        <v>0.014</v>
      </c>
      <c r="R54" s="217"/>
      <c r="S54" s="519" t="s">
        <v>97</v>
      </c>
      <c r="T54" s="520">
        <v>44805.0</v>
      </c>
      <c r="U54" s="521">
        <v>37.92</v>
      </c>
      <c r="V54" s="522">
        <v>132720.0</v>
      </c>
      <c r="W54" s="519"/>
      <c r="X54" s="520"/>
      <c r="Y54" s="521"/>
      <c r="Z54" s="522"/>
    </row>
    <row r="55">
      <c r="A55" s="13"/>
      <c r="B55" s="13"/>
      <c r="C55" s="504" t="s">
        <v>89</v>
      </c>
      <c r="D55" s="13"/>
      <c r="E55" s="13"/>
      <c r="F55" s="13"/>
      <c r="G55" s="564"/>
      <c r="H55" s="509">
        <f t="shared" ref="H55:I55" si="33">SUM(H45:H54)</f>
        <v>1283901</v>
      </c>
      <c r="I55" s="539">
        <f t="shared" si="33"/>
        <v>343353</v>
      </c>
      <c r="J55" s="506"/>
      <c r="K55" s="506"/>
      <c r="L55" s="506"/>
      <c r="M55" s="507"/>
      <c r="N55" s="507"/>
      <c r="O55" s="540">
        <f>P55/H55</f>
        <v>-0.01116752771</v>
      </c>
      <c r="P55" s="539">
        <f>SUM(P45:P54)</f>
        <v>-14338</v>
      </c>
      <c r="Q55" s="13"/>
      <c r="R55" s="509">
        <f>SUM(R45:R54)</f>
        <v>3016</v>
      </c>
      <c r="S55" s="510" t="s">
        <v>89</v>
      </c>
      <c r="T55" s="542"/>
      <c r="U55" s="543"/>
      <c r="V55" s="570">
        <f>SUM(V45:V54)</f>
        <v>926300</v>
      </c>
      <c r="W55" s="510" t="s">
        <v>89</v>
      </c>
      <c r="X55" s="542"/>
      <c r="Y55" s="543"/>
      <c r="Z55" s="570">
        <f>SUM(Z45:Z54)</f>
        <v>112440</v>
      </c>
    </row>
    <row r="56">
      <c r="A56" s="173"/>
      <c r="B56" s="504" t="s">
        <v>594</v>
      </c>
      <c r="C56" s="504" t="s">
        <v>2</v>
      </c>
      <c r="D56" s="13" t="s">
        <v>3</v>
      </c>
      <c r="E56" s="13" t="s">
        <v>4</v>
      </c>
      <c r="F56" s="13" t="s">
        <v>5</v>
      </c>
      <c r="G56" s="504" t="s">
        <v>6</v>
      </c>
      <c r="H56" s="504" t="s">
        <v>7</v>
      </c>
      <c r="I56" s="505" t="s">
        <v>8</v>
      </c>
      <c r="J56" s="505" t="s">
        <v>9</v>
      </c>
      <c r="K56" s="506" t="s">
        <v>10</v>
      </c>
      <c r="L56" s="506" t="s">
        <v>11</v>
      </c>
      <c r="M56" s="507" t="s">
        <v>476</v>
      </c>
      <c r="N56" s="507" t="s">
        <v>13</v>
      </c>
      <c r="O56" s="504" t="s">
        <v>14</v>
      </c>
      <c r="P56" s="508" t="s">
        <v>15</v>
      </c>
      <c r="Q56" s="13" t="s">
        <v>16</v>
      </c>
      <c r="R56" s="13" t="s">
        <v>17</v>
      </c>
      <c r="S56" s="510" t="s">
        <v>21</v>
      </c>
      <c r="T56" s="510" t="s">
        <v>22</v>
      </c>
      <c r="U56" s="511" t="s">
        <v>23</v>
      </c>
      <c r="V56" s="511" t="s">
        <v>24</v>
      </c>
      <c r="W56" s="510" t="s">
        <v>25</v>
      </c>
      <c r="X56" s="510" t="s">
        <v>26</v>
      </c>
      <c r="Y56" s="510" t="s">
        <v>27</v>
      </c>
      <c r="Z56" s="510" t="s">
        <v>28</v>
      </c>
    </row>
    <row r="57">
      <c r="A57" s="502" t="s">
        <v>29</v>
      </c>
      <c r="B57" s="527">
        <f>I67/E137</f>
        <v>0.04670747998</v>
      </c>
      <c r="C57" s="512">
        <f>I57/E137</f>
        <v>0.01425536624</v>
      </c>
      <c r="D57" s="571" t="s">
        <v>595</v>
      </c>
      <c r="E57" s="104" t="s">
        <v>130</v>
      </c>
      <c r="F57" s="195">
        <v>7.2</v>
      </c>
      <c r="G57" s="513">
        <v>2500.0</v>
      </c>
      <c r="H57" s="217">
        <f t="shared" ref="H57:H66" si="34">G57*J57</f>
        <v>149075</v>
      </c>
      <c r="I57" s="514">
        <f t="shared" ref="I57:I58" si="35">H57+P57</f>
        <v>146475</v>
      </c>
      <c r="J57" s="216">
        <v>59.63</v>
      </c>
      <c r="K57" s="515">
        <f>IFERROR(__xludf.DUMMYFUNCTION("GOOGLEFINANCE(E57,""changepct"")"),-0.71)</f>
        <v>-0.71</v>
      </c>
      <c r="L57" s="517">
        <f>IFERROR(__xludf.DUMMYFUNCTION("googlefinance(E57,""price"")"),58.59)</f>
        <v>58.59</v>
      </c>
      <c r="M57" s="517"/>
      <c r="N57" s="517">
        <f t="shared" ref="N57:N66" si="36">L57-J57</f>
        <v>-1.04</v>
      </c>
      <c r="O57" s="518">
        <f t="shared" ref="O57:O58" si="37">L57/J57-1</f>
        <v>-0.01744088546</v>
      </c>
      <c r="P57" s="495">
        <f t="shared" ref="P57:P66" si="38">H57*O57</f>
        <v>-2600</v>
      </c>
      <c r="Q57" s="538">
        <v>0.137</v>
      </c>
      <c r="R57" s="217">
        <v>4730.0</v>
      </c>
      <c r="S57" s="523"/>
      <c r="T57" s="524"/>
      <c r="U57" s="525"/>
      <c r="V57" s="525"/>
      <c r="W57" s="519"/>
      <c r="X57" s="520"/>
      <c r="Y57" s="521"/>
      <c r="Z57" s="522"/>
    </row>
    <row r="58">
      <c r="A58" s="528"/>
      <c r="B58" s="528"/>
      <c r="C58" s="512">
        <f>I58/E137</f>
        <v>0.02225043936</v>
      </c>
      <c r="D58" s="571" t="s">
        <v>596</v>
      </c>
      <c r="E58" s="104" t="s">
        <v>597</v>
      </c>
      <c r="F58" s="195">
        <v>7.2</v>
      </c>
      <c r="G58" s="513">
        <v>2500.0</v>
      </c>
      <c r="H58" s="217">
        <f t="shared" si="34"/>
        <v>121600</v>
      </c>
      <c r="I58" s="514">
        <f t="shared" si="35"/>
        <v>228625</v>
      </c>
      <c r="J58" s="216">
        <v>48.64</v>
      </c>
      <c r="K58" s="515">
        <f>IFERROR(__xludf.DUMMYFUNCTION("GOOGLEFINANCE(E58,""changepct"")"),-1.89)</f>
        <v>-1.89</v>
      </c>
      <c r="L58" s="517">
        <f>IFERROR(__xludf.DUMMYFUNCTION("googlefinance(E58,""price"")"),91.45)</f>
        <v>91.45</v>
      </c>
      <c r="M58" s="216"/>
      <c r="N58" s="517">
        <f t="shared" si="36"/>
        <v>42.81</v>
      </c>
      <c r="O58" s="518">
        <f t="shared" si="37"/>
        <v>0.8801398026</v>
      </c>
      <c r="P58" s="495">
        <f t="shared" si="38"/>
        <v>107025</v>
      </c>
      <c r="Q58" s="538">
        <v>0.067</v>
      </c>
      <c r="R58" s="217">
        <v>1876.0</v>
      </c>
      <c r="S58" s="519"/>
      <c r="T58" s="520"/>
      <c r="U58" s="521"/>
      <c r="V58" s="522"/>
      <c r="W58" s="519" t="s">
        <v>597</v>
      </c>
      <c r="X58" s="520">
        <v>44813.0</v>
      </c>
      <c r="Y58" s="521">
        <v>48.64</v>
      </c>
      <c r="Z58" s="522">
        <v>121600.0</v>
      </c>
    </row>
    <row r="59">
      <c r="A59" s="528"/>
      <c r="B59" s="528"/>
      <c r="C59" s="512">
        <f>I59/E137</f>
        <v>0</v>
      </c>
      <c r="D59" s="571" t="s">
        <v>634</v>
      </c>
      <c r="E59" s="104" t="s">
        <v>635</v>
      </c>
      <c r="F59" s="195">
        <v>7.1</v>
      </c>
      <c r="G59" s="513">
        <v>2500.0</v>
      </c>
      <c r="H59" s="217">
        <f t="shared" si="34"/>
        <v>136225</v>
      </c>
      <c r="I59" s="217">
        <v>0.0</v>
      </c>
      <c r="J59" s="216">
        <v>54.49</v>
      </c>
      <c r="K59" s="515">
        <f>IFERROR(__xludf.DUMMYFUNCTION("GOOGLEFINANCE(E59,""changepct"")"),-0.87)</f>
        <v>-0.87</v>
      </c>
      <c r="L59" s="517">
        <f>IFERROR(__xludf.DUMMYFUNCTION("googlefinance(E59,""price"")"),48.78)</f>
        <v>48.78</v>
      </c>
      <c r="M59" s="216">
        <v>52.08</v>
      </c>
      <c r="N59" s="517">
        <f t="shared" si="36"/>
        <v>-5.71</v>
      </c>
      <c r="O59" s="518">
        <f t="shared" ref="O59:O61" si="39">M59/J59-1</f>
        <v>-0.04422829877</v>
      </c>
      <c r="P59" s="495">
        <f t="shared" si="38"/>
        <v>-6025</v>
      </c>
      <c r="Q59" s="538">
        <v>0.107</v>
      </c>
      <c r="R59" s="217"/>
      <c r="S59" s="519" t="s">
        <v>635</v>
      </c>
      <c r="T59" s="520">
        <v>44747.0</v>
      </c>
      <c r="U59" s="521">
        <v>52.08</v>
      </c>
      <c r="V59" s="522">
        <v>130200.0</v>
      </c>
      <c r="W59" s="519"/>
      <c r="X59" s="520"/>
      <c r="Y59" s="521"/>
      <c r="Z59" s="522"/>
    </row>
    <row r="60">
      <c r="A60" s="528"/>
      <c r="B60" s="528"/>
      <c r="C60" s="512">
        <f>I60/E137</f>
        <v>0</v>
      </c>
      <c r="D60" s="571" t="s">
        <v>143</v>
      </c>
      <c r="E60" s="104" t="s">
        <v>144</v>
      </c>
      <c r="F60" s="195">
        <v>7.0</v>
      </c>
      <c r="G60" s="513">
        <v>5000.0</v>
      </c>
      <c r="H60" s="217">
        <f t="shared" si="34"/>
        <v>102450</v>
      </c>
      <c r="I60" s="217">
        <v>0.0</v>
      </c>
      <c r="J60" s="216">
        <v>20.49</v>
      </c>
      <c r="K60" s="515">
        <f>IFERROR(__xludf.DUMMYFUNCTION("GOOGLEFINANCE(E60,""changepct"")"),-2.91)</f>
        <v>-2.91</v>
      </c>
      <c r="L60" s="517">
        <f>IFERROR(__xludf.DUMMYFUNCTION("googlefinance(E60,""price"")"),3.0)</f>
        <v>3</v>
      </c>
      <c r="M60" s="216">
        <v>23.1</v>
      </c>
      <c r="N60" s="517">
        <f t="shared" si="36"/>
        <v>-17.49</v>
      </c>
      <c r="O60" s="518">
        <f t="shared" si="39"/>
        <v>0.1273792094</v>
      </c>
      <c r="P60" s="495">
        <f t="shared" si="38"/>
        <v>13050</v>
      </c>
      <c r="Q60" s="195"/>
      <c r="R60" s="217"/>
      <c r="S60" s="519" t="s">
        <v>144</v>
      </c>
      <c r="T60" s="520">
        <v>44768.0</v>
      </c>
      <c r="U60" s="521">
        <v>23.1</v>
      </c>
      <c r="V60" s="522">
        <v>115500.0</v>
      </c>
      <c r="W60" s="519" t="s">
        <v>144</v>
      </c>
      <c r="X60" s="520">
        <v>44749.0</v>
      </c>
      <c r="Y60" s="521">
        <v>20.49</v>
      </c>
      <c r="Z60" s="522">
        <v>105960.0</v>
      </c>
    </row>
    <row r="61">
      <c r="A61" s="528"/>
      <c r="B61" s="528"/>
      <c r="C61" s="512">
        <f>I61/E137</f>
        <v>0</v>
      </c>
      <c r="D61" s="571" t="s">
        <v>598</v>
      </c>
      <c r="E61" s="104" t="s">
        <v>599</v>
      </c>
      <c r="F61" s="195">
        <v>7.2</v>
      </c>
      <c r="G61" s="513">
        <v>8000.0</v>
      </c>
      <c r="H61" s="217">
        <f t="shared" si="34"/>
        <v>122560</v>
      </c>
      <c r="I61" s="217">
        <v>0.0</v>
      </c>
      <c r="J61" s="216">
        <v>15.32</v>
      </c>
      <c r="K61" s="515">
        <f>IFERROR(__xludf.DUMMYFUNCTION("GOOGLEFINANCE(E61,""changepct"")"),0.65)</f>
        <v>0.65</v>
      </c>
      <c r="L61" s="517">
        <f>IFERROR(__xludf.DUMMYFUNCTION("googlefinance(E61,""price"")"),9.3)</f>
        <v>9.3</v>
      </c>
      <c r="M61" s="216">
        <v>19.23</v>
      </c>
      <c r="N61" s="517">
        <f t="shared" si="36"/>
        <v>-6.02</v>
      </c>
      <c r="O61" s="518">
        <f t="shared" si="39"/>
        <v>0.2552219321</v>
      </c>
      <c r="P61" s="495">
        <f t="shared" si="38"/>
        <v>31280</v>
      </c>
      <c r="Q61" s="195"/>
      <c r="R61" s="217"/>
      <c r="S61" s="519" t="s">
        <v>599</v>
      </c>
      <c r="T61" s="520">
        <v>44788.0</v>
      </c>
      <c r="U61" s="521">
        <v>19.23</v>
      </c>
      <c r="V61" s="522">
        <v>153840.0</v>
      </c>
      <c r="W61" s="519"/>
      <c r="X61" s="520"/>
      <c r="Y61" s="521"/>
      <c r="Z61" s="522"/>
    </row>
    <row r="62">
      <c r="A62" s="528"/>
      <c r="B62" s="528"/>
      <c r="C62" s="512">
        <f>I62/E137</f>
        <v>0.003194428305</v>
      </c>
      <c r="D62" s="571" t="s">
        <v>145</v>
      </c>
      <c r="E62" s="104" t="s">
        <v>146</v>
      </c>
      <c r="F62" s="195">
        <v>7.4</v>
      </c>
      <c r="G62" s="513">
        <v>900.0</v>
      </c>
      <c r="H62" s="217">
        <f t="shared" si="34"/>
        <v>101970</v>
      </c>
      <c r="I62" s="217">
        <f>H62+P62</f>
        <v>32823</v>
      </c>
      <c r="J62" s="216">
        <v>113.3</v>
      </c>
      <c r="K62" s="515">
        <f>IFERROR(__xludf.DUMMYFUNCTION("GOOGLEFINANCE(E62,""changepct"")"),-2.33)</f>
        <v>-2.33</v>
      </c>
      <c r="L62" s="517">
        <f>IFERROR(__xludf.DUMMYFUNCTION("googlefinance(E62,""price"")"),36.47)</f>
        <v>36.47</v>
      </c>
      <c r="M62" s="216"/>
      <c r="N62" s="517">
        <f t="shared" si="36"/>
        <v>-76.83</v>
      </c>
      <c r="O62" s="518">
        <f>L62/J62-1</f>
        <v>-0.6781112092</v>
      </c>
      <c r="P62" s="495">
        <f t="shared" si="38"/>
        <v>-69147</v>
      </c>
      <c r="Q62" s="538">
        <v>0.009</v>
      </c>
      <c r="R62" s="217">
        <v>185.0</v>
      </c>
      <c r="S62" s="519"/>
      <c r="T62" s="520"/>
      <c r="U62" s="521"/>
      <c r="V62" s="522"/>
      <c r="W62" s="519" t="s">
        <v>146</v>
      </c>
      <c r="X62" s="520">
        <v>44813.0</v>
      </c>
      <c r="Y62" s="521">
        <v>113.3</v>
      </c>
      <c r="Z62" s="522">
        <v>101970.0</v>
      </c>
    </row>
    <row r="63">
      <c r="A63" s="528"/>
      <c r="B63" s="528"/>
      <c r="C63" s="512">
        <f>I63/E137</f>
        <v>0</v>
      </c>
      <c r="D63" s="571" t="s">
        <v>145</v>
      </c>
      <c r="E63" s="104" t="s">
        <v>146</v>
      </c>
      <c r="F63" s="195">
        <v>7.4</v>
      </c>
      <c r="G63" s="513">
        <v>1200.0</v>
      </c>
      <c r="H63" s="217">
        <f t="shared" si="34"/>
        <v>99228</v>
      </c>
      <c r="I63" s="217">
        <v>0.0</v>
      </c>
      <c r="J63" s="216">
        <v>82.69</v>
      </c>
      <c r="K63" s="515">
        <f>IFERROR(__xludf.DUMMYFUNCTION("GOOGLEFINANCE(E63,""changepct"")"),-2.33)</f>
        <v>-2.33</v>
      </c>
      <c r="L63" s="517">
        <f>IFERROR(__xludf.DUMMYFUNCTION("googlefinance(E63,""price"")"),36.47)</f>
        <v>36.47</v>
      </c>
      <c r="M63" s="216">
        <v>111.84</v>
      </c>
      <c r="N63" s="517">
        <f t="shared" si="36"/>
        <v>-46.22</v>
      </c>
      <c r="O63" s="518">
        <f t="shared" ref="O63:O64" si="40">M63/J63-1</f>
        <v>0.3525214657</v>
      </c>
      <c r="P63" s="495">
        <f t="shared" si="38"/>
        <v>34980</v>
      </c>
      <c r="Q63" s="538">
        <v>0.009</v>
      </c>
      <c r="R63" s="217"/>
      <c r="S63" s="519" t="s">
        <v>146</v>
      </c>
      <c r="T63" s="520">
        <v>44788.0</v>
      </c>
      <c r="U63" s="521">
        <v>111.84</v>
      </c>
      <c r="V63" s="522">
        <v>134208.0</v>
      </c>
      <c r="W63" s="519"/>
      <c r="X63" s="520"/>
      <c r="Y63" s="521"/>
      <c r="Z63" s="522"/>
    </row>
    <row r="64">
      <c r="A64" s="528"/>
      <c r="B64" s="528"/>
      <c r="C64" s="512">
        <f>I64/E137</f>
        <v>0</v>
      </c>
      <c r="D64" s="104" t="s">
        <v>498</v>
      </c>
      <c r="E64" s="104" t="s">
        <v>499</v>
      </c>
      <c r="F64" s="195">
        <v>7.5</v>
      </c>
      <c r="G64" s="513">
        <v>1500.0</v>
      </c>
      <c r="H64" s="217">
        <f t="shared" si="34"/>
        <v>129330</v>
      </c>
      <c r="I64" s="217">
        <v>0.0</v>
      </c>
      <c r="J64" s="216">
        <v>86.22</v>
      </c>
      <c r="K64" s="515">
        <f>IFERROR(__xludf.DUMMYFUNCTION("GOOGLEFINANCE(E64,""changepct"")"),-0.97)</f>
        <v>-0.97</v>
      </c>
      <c r="L64" s="517">
        <f>IFERROR(__xludf.DUMMYFUNCTION("googlefinance(E64,""price"")"),64.29)</f>
        <v>64.29</v>
      </c>
      <c r="M64" s="216">
        <v>95.49</v>
      </c>
      <c r="N64" s="517">
        <f t="shared" si="36"/>
        <v>-21.93</v>
      </c>
      <c r="O64" s="518">
        <f t="shared" si="40"/>
        <v>0.1075156576</v>
      </c>
      <c r="P64" s="495">
        <f t="shared" si="38"/>
        <v>13905</v>
      </c>
      <c r="Q64" s="538">
        <v>0.0125</v>
      </c>
      <c r="R64" s="217"/>
      <c r="S64" s="519" t="s">
        <v>499</v>
      </c>
      <c r="T64" s="520">
        <v>44799.0</v>
      </c>
      <c r="U64" s="521">
        <v>95.49</v>
      </c>
      <c r="V64" s="522">
        <v>143235.0</v>
      </c>
      <c r="W64" s="519"/>
      <c r="X64" s="520"/>
      <c r="Y64" s="521"/>
      <c r="Z64" s="522"/>
    </row>
    <row r="65">
      <c r="A65" s="528"/>
      <c r="B65" s="528"/>
      <c r="C65" s="512">
        <f>I65/E137</f>
        <v>0.007007246076</v>
      </c>
      <c r="D65" s="104" t="s">
        <v>454</v>
      </c>
      <c r="E65" s="104" t="s">
        <v>132</v>
      </c>
      <c r="F65" s="195">
        <v>7.5</v>
      </c>
      <c r="G65" s="513">
        <v>3000.0</v>
      </c>
      <c r="H65" s="217">
        <f t="shared" si="34"/>
        <v>165510</v>
      </c>
      <c r="I65" s="217">
        <f>H65+P65</f>
        <v>72000</v>
      </c>
      <c r="J65" s="216">
        <v>55.17</v>
      </c>
      <c r="K65" s="515">
        <f>IFERROR(__xludf.DUMMYFUNCTION("GOOGLEFINANCE(E65,""changepct"")"),0.54)</f>
        <v>0.54</v>
      </c>
      <c r="L65" s="517">
        <f>IFERROR(__xludf.DUMMYFUNCTION("googlefinance(E65,""price"")"),24.0)</f>
        <v>24</v>
      </c>
      <c r="M65" s="216"/>
      <c r="N65" s="517">
        <f t="shared" si="36"/>
        <v>-31.17</v>
      </c>
      <c r="O65" s="518">
        <f>L65/J65-1</f>
        <v>-0.5649809679</v>
      </c>
      <c r="P65" s="495">
        <f t="shared" si="38"/>
        <v>-93510</v>
      </c>
      <c r="Q65" s="538">
        <v>0.012</v>
      </c>
      <c r="R65" s="217">
        <v>450.0</v>
      </c>
      <c r="S65" s="519"/>
      <c r="T65" s="520"/>
      <c r="U65" s="521"/>
      <c r="V65" s="522"/>
      <c r="W65" s="519" t="s">
        <v>132</v>
      </c>
      <c r="X65" s="520">
        <v>44813.0</v>
      </c>
      <c r="Y65" s="521">
        <v>55.17</v>
      </c>
      <c r="Z65" s="522">
        <v>165510.0</v>
      </c>
    </row>
    <row r="66">
      <c r="A66" s="528"/>
      <c r="B66" s="528"/>
      <c r="C66" s="512">
        <f>I66/E137</f>
        <v>0</v>
      </c>
      <c r="D66" s="104" t="s">
        <v>454</v>
      </c>
      <c r="E66" s="104" t="s">
        <v>132</v>
      </c>
      <c r="F66" s="195">
        <v>7.5</v>
      </c>
      <c r="G66" s="513">
        <v>2000.0</v>
      </c>
      <c r="H66" s="217">
        <f t="shared" si="34"/>
        <v>94300</v>
      </c>
      <c r="I66" s="217">
        <v>0.0</v>
      </c>
      <c r="J66" s="216">
        <v>47.15</v>
      </c>
      <c r="K66" s="515">
        <f>IFERROR(__xludf.DUMMYFUNCTION("GOOGLEFINANCE(E66,""changepct"")"),0.54)</f>
        <v>0.54</v>
      </c>
      <c r="L66" s="517">
        <f>IFERROR(__xludf.DUMMYFUNCTION("googlefinance(E66,""price"")"),24.0)</f>
        <v>24</v>
      </c>
      <c r="M66" s="216">
        <v>44.26</v>
      </c>
      <c r="N66" s="517">
        <f t="shared" si="36"/>
        <v>-23.15</v>
      </c>
      <c r="O66" s="518">
        <f>M66/J66-1</f>
        <v>-0.06129374337</v>
      </c>
      <c r="P66" s="495">
        <f t="shared" si="38"/>
        <v>-5780</v>
      </c>
      <c r="Q66" s="538">
        <v>0.012</v>
      </c>
      <c r="R66" s="217"/>
      <c r="S66" s="519" t="s">
        <v>132</v>
      </c>
      <c r="T66" s="520">
        <v>44747.0</v>
      </c>
      <c r="U66" s="521">
        <v>44.26</v>
      </c>
      <c r="V66" s="522">
        <v>88520.0</v>
      </c>
      <c r="W66" s="519"/>
      <c r="X66" s="520"/>
      <c r="Y66" s="521"/>
      <c r="Z66" s="522"/>
    </row>
    <row r="67">
      <c r="A67" s="13"/>
      <c r="B67" s="13"/>
      <c r="C67" s="504" t="s">
        <v>89</v>
      </c>
      <c r="D67" s="13"/>
      <c r="E67" s="13"/>
      <c r="F67" s="13"/>
      <c r="G67" s="564"/>
      <c r="H67" s="509">
        <f t="shared" ref="H67:I67" si="41">SUM(H57:H66)</f>
        <v>1222248</v>
      </c>
      <c r="I67" s="539">
        <f t="shared" si="41"/>
        <v>479923</v>
      </c>
      <c r="J67" s="506"/>
      <c r="K67" s="506"/>
      <c r="L67" s="506"/>
      <c r="M67" s="507"/>
      <c r="N67" s="507"/>
      <c r="O67" s="540">
        <f>P67/H67</f>
        <v>0.01896341823</v>
      </c>
      <c r="P67" s="539">
        <f>SUM(P57:P66)</f>
        <v>23178</v>
      </c>
      <c r="Q67" s="13"/>
      <c r="R67" s="509">
        <f>SUM(R57:R66)</f>
        <v>7241</v>
      </c>
      <c r="S67" s="510" t="s">
        <v>89</v>
      </c>
      <c r="T67" s="542"/>
      <c r="U67" s="543"/>
      <c r="V67" s="544">
        <f>SUM(V57:V66)</f>
        <v>765503</v>
      </c>
      <c r="W67" s="510" t="s">
        <v>89</v>
      </c>
      <c r="X67" s="542"/>
      <c r="Y67" s="543"/>
      <c r="Z67" s="570">
        <f>SUM(Z50:Z63)</f>
        <v>554410</v>
      </c>
    </row>
    <row r="68">
      <c r="A68" s="13"/>
      <c r="B68" s="504" t="s">
        <v>602</v>
      </c>
      <c r="C68" s="504" t="s">
        <v>2</v>
      </c>
      <c r="D68" s="13" t="s">
        <v>150</v>
      </c>
      <c r="E68" s="13" t="s">
        <v>4</v>
      </c>
      <c r="F68" s="13" t="s">
        <v>5</v>
      </c>
      <c r="G68" s="504" t="s">
        <v>6</v>
      </c>
      <c r="H68" s="504" t="s">
        <v>7</v>
      </c>
      <c r="I68" s="505" t="s">
        <v>8</v>
      </c>
      <c r="J68" s="505" t="s">
        <v>9</v>
      </c>
      <c r="K68" s="506" t="s">
        <v>10</v>
      </c>
      <c r="L68" s="506" t="s">
        <v>11</v>
      </c>
      <c r="M68" s="507" t="s">
        <v>476</v>
      </c>
      <c r="N68" s="507" t="s">
        <v>13</v>
      </c>
      <c r="O68" s="504" t="s">
        <v>14</v>
      </c>
      <c r="P68" s="508" t="s">
        <v>15</v>
      </c>
      <c r="Q68" s="13" t="s">
        <v>16</v>
      </c>
      <c r="R68" s="13" t="s">
        <v>17</v>
      </c>
      <c r="S68" s="510" t="s">
        <v>21</v>
      </c>
      <c r="T68" s="510" t="s">
        <v>22</v>
      </c>
      <c r="U68" s="511" t="s">
        <v>23</v>
      </c>
      <c r="V68" s="511" t="s">
        <v>24</v>
      </c>
      <c r="W68" s="510" t="s">
        <v>25</v>
      </c>
      <c r="X68" s="510" t="s">
        <v>26</v>
      </c>
      <c r="Y68" s="510" t="s">
        <v>27</v>
      </c>
      <c r="Z68" s="510" t="s">
        <v>28</v>
      </c>
    </row>
    <row r="69">
      <c r="A69" s="502" t="s">
        <v>29</v>
      </c>
      <c r="B69" s="527">
        <f>I75/E137</f>
        <v>0.03243809925</v>
      </c>
      <c r="C69" s="572">
        <f>I69/E137</f>
        <v>0.01881718076</v>
      </c>
      <c r="D69" s="571" t="s">
        <v>503</v>
      </c>
      <c r="E69" s="104" t="s">
        <v>118</v>
      </c>
      <c r="F69" s="195">
        <v>8.2</v>
      </c>
      <c r="G69" s="573">
        <v>400.0</v>
      </c>
      <c r="H69" s="574">
        <f t="shared" ref="H69:H74" si="42">G69*J69</f>
        <v>171448</v>
      </c>
      <c r="I69" s="575">
        <f>H69+P69</f>
        <v>193348</v>
      </c>
      <c r="J69" s="268">
        <v>428.62</v>
      </c>
      <c r="K69" s="568">
        <f>IFERROR(__xludf.DUMMYFUNCTION("GOOGLEFINANCE(E69,""changepct"")"),-1.15)</f>
        <v>-1.15</v>
      </c>
      <c r="L69" s="516">
        <f>IFERROR(__xludf.DUMMYFUNCTION("googlefinance(E69,""price"")"),483.37)</f>
        <v>483.37</v>
      </c>
      <c r="M69" s="576"/>
      <c r="N69" s="517">
        <f t="shared" ref="N69:N74" si="43">L69-J69</f>
        <v>54.75</v>
      </c>
      <c r="O69" s="577">
        <f>L69/J69-1</f>
        <v>0.1277355233</v>
      </c>
      <c r="P69" s="578">
        <f t="shared" ref="P69:P74" si="44">H69*O69</f>
        <v>21900</v>
      </c>
      <c r="Q69" s="572">
        <v>0.026</v>
      </c>
      <c r="R69" s="269">
        <v>1001.0</v>
      </c>
      <c r="S69" s="579"/>
      <c r="T69" s="580"/>
      <c r="U69" s="581"/>
      <c r="V69" s="582"/>
      <c r="W69" s="219"/>
      <c r="X69" s="580"/>
      <c r="Y69" s="581"/>
      <c r="Z69" s="582"/>
    </row>
    <row r="70">
      <c r="A70" s="563"/>
      <c r="B70" s="563"/>
      <c r="C70" s="572">
        <f>I70/E137</f>
        <v>0</v>
      </c>
      <c r="D70" s="571" t="s">
        <v>354</v>
      </c>
      <c r="E70" s="104" t="s">
        <v>355</v>
      </c>
      <c r="F70" s="195">
        <v>7.9</v>
      </c>
      <c r="G70" s="573">
        <v>1200.0</v>
      </c>
      <c r="H70" s="574">
        <f t="shared" si="42"/>
        <v>164736</v>
      </c>
      <c r="I70" s="583">
        <v>0.0</v>
      </c>
      <c r="J70" s="268">
        <v>137.28</v>
      </c>
      <c r="K70" s="568">
        <f>IFERROR(__xludf.DUMMYFUNCTION("GOOGLEFINANCE(E70,""changepct"")"),-2.31)</f>
        <v>-2.31</v>
      </c>
      <c r="L70" s="516">
        <f>IFERROR(__xludf.DUMMYFUNCTION("googlefinance(E70,""price"")"),176.55)</f>
        <v>176.55</v>
      </c>
      <c r="M70" s="268">
        <v>170.86</v>
      </c>
      <c r="N70" s="517">
        <f t="shared" si="43"/>
        <v>39.27</v>
      </c>
      <c r="O70" s="577">
        <f t="shared" ref="O70:O72" si="45">M70/J70-1</f>
        <v>0.2446095571</v>
      </c>
      <c r="P70" s="578">
        <f t="shared" si="44"/>
        <v>40296</v>
      </c>
      <c r="Q70" s="584"/>
      <c r="R70" s="574"/>
      <c r="S70" s="219" t="s">
        <v>355</v>
      </c>
      <c r="T70" s="585">
        <v>44788.0</v>
      </c>
      <c r="U70" s="586">
        <v>170.86</v>
      </c>
      <c r="V70" s="587">
        <v>205032.0</v>
      </c>
      <c r="W70" s="219"/>
      <c r="X70" s="580"/>
      <c r="Y70" s="581"/>
      <c r="Z70" s="582"/>
    </row>
    <row r="71">
      <c r="A71" s="563"/>
      <c r="B71" s="563"/>
      <c r="C71" s="572">
        <f>I71/E137</f>
        <v>0</v>
      </c>
      <c r="D71" s="571" t="s">
        <v>401</v>
      </c>
      <c r="E71" s="104" t="s">
        <v>402</v>
      </c>
      <c r="F71" s="195">
        <v>8.1</v>
      </c>
      <c r="G71" s="573">
        <v>1800.0</v>
      </c>
      <c r="H71" s="574">
        <f t="shared" si="42"/>
        <v>173484</v>
      </c>
      <c r="I71" s="583">
        <v>0.0</v>
      </c>
      <c r="J71" s="268">
        <v>96.38</v>
      </c>
      <c r="K71" s="568">
        <f>IFERROR(__xludf.DUMMYFUNCTION("GOOGLEFINANCE(E71,""changepct"")"),-1.28)</f>
        <v>-1.28</v>
      </c>
      <c r="L71" s="516">
        <f>IFERROR(__xludf.DUMMYFUNCTION("googlefinance(E71,""price"")"),115.22)</f>
        <v>115.22</v>
      </c>
      <c r="M71" s="268">
        <v>95.97</v>
      </c>
      <c r="N71" s="517">
        <f t="shared" si="43"/>
        <v>18.84</v>
      </c>
      <c r="O71" s="577">
        <f t="shared" si="45"/>
        <v>-0.004253994605</v>
      </c>
      <c r="P71" s="578">
        <f t="shared" si="44"/>
        <v>-738</v>
      </c>
      <c r="Q71" s="572">
        <v>0.023</v>
      </c>
      <c r="R71" s="574"/>
      <c r="S71" s="219" t="s">
        <v>402</v>
      </c>
      <c r="T71" s="585">
        <v>44799.0</v>
      </c>
      <c r="U71" s="586">
        <v>95.97</v>
      </c>
      <c r="V71" s="587">
        <v>172746.0</v>
      </c>
      <c r="W71" s="219"/>
      <c r="X71" s="580"/>
      <c r="Y71" s="581"/>
      <c r="Z71" s="582"/>
    </row>
    <row r="72">
      <c r="A72" s="563"/>
      <c r="B72" s="563"/>
      <c r="C72" s="572">
        <f>I72/E137</f>
        <v>0</v>
      </c>
      <c r="D72" s="571" t="s">
        <v>537</v>
      </c>
      <c r="E72" s="104" t="s">
        <v>538</v>
      </c>
      <c r="F72" s="195">
        <v>7.7</v>
      </c>
      <c r="G72" s="573">
        <v>4000.0</v>
      </c>
      <c r="H72" s="574">
        <f t="shared" si="42"/>
        <v>122640</v>
      </c>
      <c r="I72" s="583">
        <v>0.0</v>
      </c>
      <c r="J72" s="268">
        <v>30.66</v>
      </c>
      <c r="K72" s="568">
        <f>IFERROR(__xludf.DUMMYFUNCTION("GOOGLEFINANCE(E72,""changepct"")"),-0.32)</f>
        <v>-0.32</v>
      </c>
      <c r="L72" s="516">
        <f>IFERROR(__xludf.DUMMYFUNCTION("googlefinance(E72,""price"")"),33.87)</f>
        <v>33.87</v>
      </c>
      <c r="M72" s="268">
        <v>29.61</v>
      </c>
      <c r="N72" s="517">
        <f t="shared" si="43"/>
        <v>3.21</v>
      </c>
      <c r="O72" s="577">
        <f t="shared" si="45"/>
        <v>-0.03424657534</v>
      </c>
      <c r="P72" s="578">
        <f t="shared" si="44"/>
        <v>-4200</v>
      </c>
      <c r="Q72" s="572"/>
      <c r="R72" s="574"/>
      <c r="S72" s="219" t="s">
        <v>538</v>
      </c>
      <c r="T72" s="585">
        <v>44817.0</v>
      </c>
      <c r="U72" s="586">
        <v>29.61</v>
      </c>
      <c r="V72" s="587">
        <v>118440.0</v>
      </c>
      <c r="W72" s="219" t="s">
        <v>538</v>
      </c>
      <c r="X72" s="585">
        <v>44816.0</v>
      </c>
      <c r="Y72" s="586">
        <v>30.66</v>
      </c>
      <c r="Z72" s="587">
        <v>122640.0</v>
      </c>
    </row>
    <row r="73">
      <c r="A73" s="563"/>
      <c r="B73" s="563"/>
      <c r="C73" s="572">
        <f>I73/E137</f>
        <v>0.0136209185</v>
      </c>
      <c r="D73" s="571" t="s">
        <v>504</v>
      </c>
      <c r="E73" s="104" t="s">
        <v>120</v>
      </c>
      <c r="F73" s="195">
        <v>8.2</v>
      </c>
      <c r="G73" s="573">
        <v>300.0</v>
      </c>
      <c r="H73" s="574">
        <f t="shared" si="42"/>
        <v>146118</v>
      </c>
      <c r="I73" s="583">
        <f>H73+P73</f>
        <v>139956</v>
      </c>
      <c r="J73" s="268">
        <v>487.06</v>
      </c>
      <c r="K73" s="568">
        <f>IFERROR(__xludf.DUMMYFUNCTION("GOOGLEFINANCE(E73,""changepct"")"),-1.02)</f>
        <v>-1.02</v>
      </c>
      <c r="L73" s="516">
        <f>IFERROR(__xludf.DUMMYFUNCTION("googlefinance(E73,""price"")"),466.52)</f>
        <v>466.52</v>
      </c>
      <c r="M73" s="268"/>
      <c r="N73" s="517">
        <f t="shared" si="43"/>
        <v>-20.54</v>
      </c>
      <c r="O73" s="577">
        <f>L73/J73-1</f>
        <v>-0.04217139572</v>
      </c>
      <c r="P73" s="578">
        <f t="shared" si="44"/>
        <v>-6162</v>
      </c>
      <c r="Q73" s="572">
        <v>0.0142</v>
      </c>
      <c r="R73" s="269">
        <v>500.0</v>
      </c>
      <c r="S73" s="219"/>
      <c r="T73" s="585"/>
      <c r="U73" s="586"/>
      <c r="V73" s="587"/>
      <c r="W73" s="219" t="s">
        <v>120</v>
      </c>
      <c r="X73" s="585">
        <v>44816.0</v>
      </c>
      <c r="Y73" s="586">
        <v>487.06</v>
      </c>
      <c r="Z73" s="587">
        <v>146118.0</v>
      </c>
    </row>
    <row r="74">
      <c r="A74" s="563"/>
      <c r="B74" s="563"/>
      <c r="C74" s="572">
        <f>I74/E137</f>
        <v>0</v>
      </c>
      <c r="D74" s="571" t="s">
        <v>504</v>
      </c>
      <c r="E74" s="104" t="s">
        <v>120</v>
      </c>
      <c r="F74" s="195">
        <v>8.2</v>
      </c>
      <c r="G74" s="573">
        <v>350.0</v>
      </c>
      <c r="H74" s="574">
        <f t="shared" si="42"/>
        <v>167293</v>
      </c>
      <c r="I74" s="583">
        <v>0.0</v>
      </c>
      <c r="J74" s="268">
        <v>477.98</v>
      </c>
      <c r="K74" s="568">
        <f>IFERROR(__xludf.DUMMYFUNCTION("GOOGLEFINANCE(E74,""changepct"")"),-1.02)</f>
        <v>-1.02</v>
      </c>
      <c r="L74" s="516">
        <f>IFERROR(__xludf.DUMMYFUNCTION("googlefinance(E74,""price"")"),466.52)</f>
        <v>466.52</v>
      </c>
      <c r="M74" s="268">
        <v>472.68</v>
      </c>
      <c r="N74" s="517">
        <f t="shared" si="43"/>
        <v>-11.46</v>
      </c>
      <c r="O74" s="577">
        <f>M74/J74-1</f>
        <v>-0.01108833006</v>
      </c>
      <c r="P74" s="578">
        <f t="shared" si="44"/>
        <v>-1855</v>
      </c>
      <c r="Q74" s="572">
        <v>0.0142</v>
      </c>
      <c r="R74" s="574"/>
      <c r="S74" s="219" t="s">
        <v>120</v>
      </c>
      <c r="T74" s="585">
        <v>44747.0</v>
      </c>
      <c r="U74" s="586">
        <v>472.68</v>
      </c>
      <c r="V74" s="587">
        <v>165438.0</v>
      </c>
      <c r="W74" s="219"/>
      <c r="X74" s="580"/>
      <c r="Y74" s="581"/>
      <c r="Z74" s="582"/>
    </row>
    <row r="75">
      <c r="A75" s="13"/>
      <c r="B75" s="13"/>
      <c r="C75" s="504" t="s">
        <v>89</v>
      </c>
      <c r="D75" s="13"/>
      <c r="E75" s="13"/>
      <c r="F75" s="13"/>
      <c r="G75" s="564"/>
      <c r="H75" s="509">
        <f t="shared" ref="H75:I75" si="46">SUM(H69:H74)</f>
        <v>945719</v>
      </c>
      <c r="I75" s="539">
        <f t="shared" si="46"/>
        <v>333304</v>
      </c>
      <c r="J75" s="506"/>
      <c r="K75" s="506"/>
      <c r="L75" s="506"/>
      <c r="M75" s="507"/>
      <c r="N75" s="507"/>
      <c r="O75" s="540">
        <f>P75/H75</f>
        <v>0.05206726311</v>
      </c>
      <c r="P75" s="539">
        <f>SUM(P69:P74)</f>
        <v>49241</v>
      </c>
      <c r="Q75" s="13"/>
      <c r="R75" s="509">
        <f>SUM(R69:R74)</f>
        <v>1501</v>
      </c>
      <c r="S75" s="510" t="s">
        <v>89</v>
      </c>
      <c r="T75" s="542"/>
      <c r="U75" s="543"/>
      <c r="V75" s="544">
        <f>SUM(V69:V74)</f>
        <v>661656</v>
      </c>
      <c r="W75" s="510" t="s">
        <v>89</v>
      </c>
      <c r="X75" s="542"/>
      <c r="Y75" s="543"/>
      <c r="Z75" s="544">
        <f>SUM(Z69:Z74)</f>
        <v>268758</v>
      </c>
    </row>
    <row r="76">
      <c r="A76" s="13"/>
      <c r="B76" s="504" t="s">
        <v>603</v>
      </c>
      <c r="C76" s="504" t="s">
        <v>2</v>
      </c>
      <c r="D76" s="13" t="s">
        <v>150</v>
      </c>
      <c r="E76" s="13" t="s">
        <v>4</v>
      </c>
      <c r="F76" s="13" t="s">
        <v>5</v>
      </c>
      <c r="G76" s="504" t="s">
        <v>6</v>
      </c>
      <c r="H76" s="504" t="s">
        <v>7</v>
      </c>
      <c r="I76" s="505" t="s">
        <v>8</v>
      </c>
      <c r="J76" s="505" t="s">
        <v>9</v>
      </c>
      <c r="K76" s="506" t="s">
        <v>10</v>
      </c>
      <c r="L76" s="506" t="s">
        <v>11</v>
      </c>
      <c r="M76" s="507" t="s">
        <v>476</v>
      </c>
      <c r="N76" s="507" t="s">
        <v>13</v>
      </c>
      <c r="O76" s="504" t="s">
        <v>14</v>
      </c>
      <c r="P76" s="508" t="s">
        <v>15</v>
      </c>
      <c r="Q76" s="13" t="s">
        <v>16</v>
      </c>
      <c r="R76" s="13" t="s">
        <v>17</v>
      </c>
      <c r="S76" s="510" t="s">
        <v>21</v>
      </c>
      <c r="T76" s="510" t="s">
        <v>22</v>
      </c>
      <c r="U76" s="511" t="s">
        <v>23</v>
      </c>
      <c r="V76" s="511" t="s">
        <v>24</v>
      </c>
      <c r="W76" s="510" t="s">
        <v>25</v>
      </c>
      <c r="X76" s="510" t="s">
        <v>26</v>
      </c>
      <c r="Y76" s="510" t="s">
        <v>27</v>
      </c>
      <c r="Z76" s="510" t="s">
        <v>28</v>
      </c>
    </row>
    <row r="77">
      <c r="A77" s="502" t="s">
        <v>29</v>
      </c>
      <c r="B77" s="527">
        <f>I84/E137</f>
        <v>0.04145953929</v>
      </c>
      <c r="C77" s="572">
        <f>I77/E137</f>
        <v>0.01034152733</v>
      </c>
      <c r="D77" s="571" t="s">
        <v>604</v>
      </c>
      <c r="E77" s="104" t="s">
        <v>605</v>
      </c>
      <c r="F77" s="195">
        <v>7.8</v>
      </c>
      <c r="G77" s="573">
        <v>3500.0</v>
      </c>
      <c r="H77" s="574">
        <f t="shared" ref="H77:H83" si="47">G77*J77</f>
        <v>133700</v>
      </c>
      <c r="I77" s="575">
        <f t="shared" ref="I77:I78" si="48">H77+P77</f>
        <v>106260</v>
      </c>
      <c r="J77" s="268">
        <v>38.2</v>
      </c>
      <c r="K77" s="568">
        <f>IFERROR(__xludf.DUMMYFUNCTION("GOOGLEFINANCE(E77,""changepct"")"),-1.04)</f>
        <v>-1.04</v>
      </c>
      <c r="L77" s="516">
        <f>IFERROR(__xludf.DUMMYFUNCTION("googlefinance(E77,""price"")"),30.36)</f>
        <v>30.36</v>
      </c>
      <c r="M77" s="576"/>
      <c r="N77" s="517">
        <f t="shared" ref="N77:N83" si="49">L77-J77</f>
        <v>-7.84</v>
      </c>
      <c r="O77" s="577">
        <f t="shared" ref="O77:O78" si="50">L77/J77-1</f>
        <v>-0.2052356021</v>
      </c>
      <c r="P77" s="578">
        <f t="shared" ref="P77:P83" si="51">H77*O77</f>
        <v>-27440</v>
      </c>
      <c r="Q77" s="572">
        <v>0.0414</v>
      </c>
      <c r="R77" s="269">
        <v>1242.0</v>
      </c>
      <c r="S77" s="219"/>
      <c r="T77" s="580"/>
      <c r="U77" s="581"/>
      <c r="V77" s="582"/>
      <c r="W77" s="219"/>
      <c r="X77" s="580"/>
      <c r="Y77" s="581"/>
      <c r="Z77" s="582"/>
    </row>
    <row r="78">
      <c r="A78" s="563"/>
      <c r="B78" s="563"/>
      <c r="C78" s="572">
        <f>I78/E137</f>
        <v>0.01233469955</v>
      </c>
      <c r="D78" s="571" t="s">
        <v>606</v>
      </c>
      <c r="E78" s="104" t="s">
        <v>607</v>
      </c>
      <c r="F78" s="195">
        <v>7.9</v>
      </c>
      <c r="G78" s="573">
        <v>2000.0</v>
      </c>
      <c r="H78" s="574">
        <f t="shared" si="47"/>
        <v>151000</v>
      </c>
      <c r="I78" s="575">
        <f t="shared" si="48"/>
        <v>126740</v>
      </c>
      <c r="J78" s="268">
        <v>75.5</v>
      </c>
      <c r="K78" s="568">
        <f>IFERROR(__xludf.DUMMYFUNCTION("GOOGLEFINANCE(E78,""changepct"")"),-0.91)</f>
        <v>-0.91</v>
      </c>
      <c r="L78" s="516">
        <f>IFERROR(__xludf.DUMMYFUNCTION("googlefinance(E78,""price"")"),63.37)</f>
        <v>63.37</v>
      </c>
      <c r="M78" s="576"/>
      <c r="N78" s="517">
        <f t="shared" si="49"/>
        <v>-12.13</v>
      </c>
      <c r="O78" s="577">
        <f t="shared" si="50"/>
        <v>-0.1606622517</v>
      </c>
      <c r="P78" s="578">
        <f t="shared" si="51"/>
        <v>-24260</v>
      </c>
      <c r="Q78" s="572">
        <v>0.0285</v>
      </c>
      <c r="R78" s="269">
        <v>1090.0</v>
      </c>
      <c r="S78" s="219"/>
      <c r="T78" s="580"/>
      <c r="U78" s="581"/>
      <c r="V78" s="582"/>
      <c r="W78" s="219"/>
      <c r="X78" s="580"/>
      <c r="Y78" s="581"/>
      <c r="Z78" s="582"/>
    </row>
    <row r="79">
      <c r="A79" s="563"/>
      <c r="B79" s="563"/>
      <c r="C79" s="572">
        <f>I79/E137</f>
        <v>0</v>
      </c>
      <c r="D79" s="571" t="s">
        <v>608</v>
      </c>
      <c r="E79" s="104" t="s">
        <v>609</v>
      </c>
      <c r="F79" s="195">
        <v>7.9</v>
      </c>
      <c r="G79" s="573">
        <v>2000.0</v>
      </c>
      <c r="H79" s="574">
        <f t="shared" si="47"/>
        <v>142620</v>
      </c>
      <c r="I79" s="583">
        <v>0.0</v>
      </c>
      <c r="J79" s="268">
        <v>71.31</v>
      </c>
      <c r="K79" s="568">
        <f>IFERROR(__xludf.DUMMYFUNCTION("GOOGLEFINANCE(E79,""changepct"")"),-0.43)</f>
        <v>-0.43</v>
      </c>
      <c r="L79" s="516">
        <f>IFERROR(__xludf.DUMMYFUNCTION("googlefinance(E79,""price"")"),80.82)</f>
        <v>80.82</v>
      </c>
      <c r="M79" s="268">
        <v>75.22</v>
      </c>
      <c r="N79" s="517">
        <f t="shared" si="49"/>
        <v>9.51</v>
      </c>
      <c r="O79" s="577">
        <f>M79/J79-1</f>
        <v>0.05483101949</v>
      </c>
      <c r="P79" s="578">
        <f t="shared" si="51"/>
        <v>7820</v>
      </c>
      <c r="Q79" s="572">
        <v>0.032</v>
      </c>
      <c r="R79" s="574"/>
      <c r="S79" s="219" t="s">
        <v>609</v>
      </c>
      <c r="T79" s="585">
        <v>44799.0</v>
      </c>
      <c r="U79" s="586">
        <v>75.22</v>
      </c>
      <c r="V79" s="587">
        <v>150440.0</v>
      </c>
      <c r="W79" s="219"/>
      <c r="X79" s="580"/>
      <c r="Y79" s="581"/>
      <c r="Z79" s="582"/>
    </row>
    <row r="80">
      <c r="A80" s="563"/>
      <c r="B80" s="563"/>
      <c r="C80" s="572">
        <f>I80/E137</f>
        <v>0.0107210865</v>
      </c>
      <c r="D80" s="529" t="s">
        <v>610</v>
      </c>
      <c r="E80" s="529" t="s">
        <v>611</v>
      </c>
      <c r="F80" s="588">
        <v>8.0</v>
      </c>
      <c r="G80" s="573">
        <v>4000.0</v>
      </c>
      <c r="H80" s="574">
        <f t="shared" si="47"/>
        <v>136800</v>
      </c>
      <c r="I80" s="575">
        <f>H80+P80</f>
        <v>110160</v>
      </c>
      <c r="J80" s="268">
        <v>34.2</v>
      </c>
      <c r="K80" s="568">
        <f>IFERROR(__xludf.DUMMYFUNCTION("GOOGLEFINANCE(E80,""changepct"")"),-0.43)</f>
        <v>-0.43</v>
      </c>
      <c r="L80" s="516">
        <f>IFERROR(__xludf.DUMMYFUNCTION("googlefinance(E80,""price"")"),27.54)</f>
        <v>27.54</v>
      </c>
      <c r="M80" s="576"/>
      <c r="N80" s="517">
        <f t="shared" si="49"/>
        <v>-6.66</v>
      </c>
      <c r="O80" s="577">
        <f>L80/J80-1</f>
        <v>-0.1947368421</v>
      </c>
      <c r="P80" s="578">
        <f t="shared" si="51"/>
        <v>-26640</v>
      </c>
      <c r="Q80" s="572">
        <v>0.036</v>
      </c>
      <c r="R80" s="269">
        <v>1170.0</v>
      </c>
      <c r="S80" s="219"/>
      <c r="T80" s="580"/>
      <c r="U80" s="581"/>
      <c r="V80" s="582"/>
      <c r="W80" s="219"/>
      <c r="X80" s="580"/>
      <c r="Y80" s="581"/>
      <c r="Z80" s="582"/>
    </row>
    <row r="81">
      <c r="A81" s="563"/>
      <c r="B81" s="563"/>
      <c r="C81" s="572">
        <f>I81/E137</f>
        <v>0</v>
      </c>
      <c r="D81" s="529" t="s">
        <v>612</v>
      </c>
      <c r="E81" s="529" t="s">
        <v>613</v>
      </c>
      <c r="F81" s="588">
        <v>7.8</v>
      </c>
      <c r="G81" s="573">
        <v>2500.0</v>
      </c>
      <c r="H81" s="574">
        <f t="shared" si="47"/>
        <v>127900</v>
      </c>
      <c r="I81" s="583">
        <v>0.0</v>
      </c>
      <c r="J81" s="268">
        <v>51.16</v>
      </c>
      <c r="K81" s="568">
        <f>IFERROR(__xludf.DUMMYFUNCTION("GOOGLEFINANCE(E81,""changepct"")"),-1.47)</f>
        <v>-1.47</v>
      </c>
      <c r="L81" s="516">
        <f>IFERROR(__xludf.DUMMYFUNCTION("googlefinance(E81,""price"")"),39.44)</f>
        <v>39.44</v>
      </c>
      <c r="M81" s="268">
        <v>55.67</v>
      </c>
      <c r="N81" s="517">
        <f t="shared" si="49"/>
        <v>-11.72</v>
      </c>
      <c r="O81" s="577">
        <f t="shared" ref="O81:O82" si="52">M81/J81-1</f>
        <v>0.08815480844</v>
      </c>
      <c r="P81" s="578">
        <f t="shared" si="51"/>
        <v>11275</v>
      </c>
      <c r="Q81" s="572">
        <v>0.055</v>
      </c>
      <c r="R81" s="574"/>
      <c r="S81" s="219" t="s">
        <v>613</v>
      </c>
      <c r="T81" s="585">
        <v>44799.0</v>
      </c>
      <c r="U81" s="586">
        <v>55.67</v>
      </c>
      <c r="V81" s="587">
        <v>139175.0</v>
      </c>
      <c r="W81" s="219" t="s">
        <v>613</v>
      </c>
      <c r="X81" s="585">
        <v>44754.0</v>
      </c>
      <c r="Y81" s="586">
        <v>51.16</v>
      </c>
      <c r="Z81" s="587">
        <v>127900.0</v>
      </c>
    </row>
    <row r="82">
      <c r="A82" s="563"/>
      <c r="B82" s="563"/>
      <c r="C82" s="572">
        <f>I82/E137</f>
        <v>0</v>
      </c>
      <c r="D82" s="529" t="s">
        <v>452</v>
      </c>
      <c r="E82" s="529" t="s">
        <v>453</v>
      </c>
      <c r="F82" s="588">
        <v>8.0</v>
      </c>
      <c r="G82" s="573">
        <v>1200.0</v>
      </c>
      <c r="H82" s="574">
        <f t="shared" si="47"/>
        <v>155232</v>
      </c>
      <c r="I82" s="583">
        <v>0.0</v>
      </c>
      <c r="J82" s="268">
        <v>129.36</v>
      </c>
      <c r="K82" s="568">
        <f>IFERROR(__xludf.DUMMYFUNCTION("GOOGLEFINANCE(E82,""changepct"")"),-0.81)</f>
        <v>-0.81</v>
      </c>
      <c r="L82" s="516">
        <f>IFERROR(__xludf.DUMMYFUNCTION("googlefinance(E82,""price"")"),129.13)</f>
        <v>129.13</v>
      </c>
      <c r="M82" s="268">
        <v>141.23</v>
      </c>
      <c r="N82" s="517">
        <f t="shared" si="49"/>
        <v>-0.23</v>
      </c>
      <c r="O82" s="577">
        <f t="shared" si="52"/>
        <v>0.09175943105</v>
      </c>
      <c r="P82" s="578">
        <f t="shared" si="51"/>
        <v>14244</v>
      </c>
      <c r="Q82" s="572">
        <v>0.046</v>
      </c>
      <c r="R82" s="574"/>
      <c r="S82" s="219" t="s">
        <v>453</v>
      </c>
      <c r="T82" s="585">
        <v>44799.0</v>
      </c>
      <c r="U82" s="586">
        <v>141.23</v>
      </c>
      <c r="V82" s="587">
        <v>169476.0</v>
      </c>
      <c r="W82" s="219" t="s">
        <v>453</v>
      </c>
      <c r="X82" s="585">
        <v>44754.0</v>
      </c>
      <c r="Y82" s="586">
        <v>129.36</v>
      </c>
      <c r="Z82" s="587">
        <v>155232.0</v>
      </c>
    </row>
    <row r="83">
      <c r="A83" s="563"/>
      <c r="B83" s="563"/>
      <c r="C83" s="572">
        <f>I83/E137</f>
        <v>0.008062225902</v>
      </c>
      <c r="D83" s="529" t="s">
        <v>636</v>
      </c>
      <c r="E83" s="529" t="s">
        <v>637</v>
      </c>
      <c r="F83" s="588">
        <v>8.1</v>
      </c>
      <c r="G83" s="573">
        <v>2000.0</v>
      </c>
      <c r="H83" s="574">
        <f t="shared" si="47"/>
        <v>96240</v>
      </c>
      <c r="I83" s="575">
        <f>H83+P83</f>
        <v>82840</v>
      </c>
      <c r="J83" s="268">
        <v>48.12</v>
      </c>
      <c r="K83" s="568">
        <f>IFERROR(__xludf.DUMMYFUNCTION("GOOGLEFINANCE(E83,""changepct"")"),-0.93)</f>
        <v>-0.93</v>
      </c>
      <c r="L83" s="516">
        <f>IFERROR(__xludf.DUMMYFUNCTION("googlefinance(E83,""price"")"),41.42)</f>
        <v>41.42</v>
      </c>
      <c r="M83" s="576"/>
      <c r="N83" s="517">
        <f t="shared" si="49"/>
        <v>-6.7</v>
      </c>
      <c r="O83" s="577">
        <f>L83/J83-1</f>
        <v>-0.1392352452</v>
      </c>
      <c r="P83" s="578">
        <f t="shared" si="51"/>
        <v>-13400</v>
      </c>
      <c r="Q83" s="589">
        <v>0.03</v>
      </c>
      <c r="R83" s="269">
        <v>713.0</v>
      </c>
      <c r="S83" s="219"/>
      <c r="T83" s="580"/>
      <c r="U83" s="581"/>
      <c r="V83" s="582"/>
      <c r="W83" s="219"/>
      <c r="X83" s="580"/>
      <c r="Y83" s="581"/>
      <c r="Z83" s="582"/>
    </row>
    <row r="84">
      <c r="A84" s="13"/>
      <c r="B84" s="13"/>
      <c r="C84" s="504" t="s">
        <v>89</v>
      </c>
      <c r="D84" s="13"/>
      <c r="E84" s="13"/>
      <c r="F84" s="13"/>
      <c r="G84" s="564"/>
      <c r="H84" s="509">
        <f t="shared" ref="H84:I84" si="53">SUM(H77:H83)</f>
        <v>943492</v>
      </c>
      <c r="I84" s="539">
        <f t="shared" si="53"/>
        <v>426000</v>
      </c>
      <c r="J84" s="506"/>
      <c r="K84" s="506"/>
      <c r="L84" s="506"/>
      <c r="M84" s="507"/>
      <c r="N84" s="507"/>
      <c r="O84" s="540">
        <f>P84/H84</f>
        <v>-0.06189877604</v>
      </c>
      <c r="P84" s="539">
        <f>SUM(P77:P83)</f>
        <v>-58401</v>
      </c>
      <c r="Q84" s="13"/>
      <c r="R84" s="509">
        <f>SUM(R77:R83)</f>
        <v>4215</v>
      </c>
      <c r="S84" s="510" t="s">
        <v>89</v>
      </c>
      <c r="T84" s="542"/>
      <c r="U84" s="543"/>
      <c r="V84" s="544">
        <f>SUM(V77:V83)</f>
        <v>459091</v>
      </c>
      <c r="W84" s="510" t="s">
        <v>89</v>
      </c>
      <c r="X84" s="542"/>
      <c r="Y84" s="543"/>
      <c r="Z84" s="544">
        <f>SUM(Z77:Z83)</f>
        <v>283132</v>
      </c>
    </row>
    <row r="85">
      <c r="A85" s="173"/>
      <c r="B85" s="504" t="s">
        <v>614</v>
      </c>
      <c r="C85" s="504" t="s">
        <v>2</v>
      </c>
      <c r="D85" s="13" t="s">
        <v>3</v>
      </c>
      <c r="E85" s="13" t="s">
        <v>4</v>
      </c>
      <c r="F85" s="13" t="s">
        <v>5</v>
      </c>
      <c r="G85" s="504" t="s">
        <v>6</v>
      </c>
      <c r="H85" s="504" t="s">
        <v>7</v>
      </c>
      <c r="I85" s="505" t="s">
        <v>8</v>
      </c>
      <c r="J85" s="505" t="s">
        <v>9</v>
      </c>
      <c r="K85" s="506" t="s">
        <v>10</v>
      </c>
      <c r="L85" s="506" t="s">
        <v>11</v>
      </c>
      <c r="M85" s="507" t="s">
        <v>476</v>
      </c>
      <c r="N85" s="507" t="s">
        <v>13</v>
      </c>
      <c r="O85" s="504" t="s">
        <v>14</v>
      </c>
      <c r="P85" s="508" t="s">
        <v>15</v>
      </c>
      <c r="Q85" s="13" t="s">
        <v>16</v>
      </c>
      <c r="R85" s="13" t="s">
        <v>17</v>
      </c>
      <c r="S85" s="510" t="s">
        <v>21</v>
      </c>
      <c r="T85" s="510" t="s">
        <v>22</v>
      </c>
      <c r="U85" s="511" t="s">
        <v>23</v>
      </c>
      <c r="V85" s="511" t="s">
        <v>24</v>
      </c>
      <c r="W85" s="510" t="s">
        <v>25</v>
      </c>
      <c r="X85" s="510" t="s">
        <v>26</v>
      </c>
      <c r="Y85" s="510" t="s">
        <v>27</v>
      </c>
      <c r="Z85" s="510" t="s">
        <v>28</v>
      </c>
    </row>
    <row r="86">
      <c r="A86" s="502" t="s">
        <v>29</v>
      </c>
      <c r="B86" s="527">
        <f>I89/E137</f>
        <v>0</v>
      </c>
      <c r="C86" s="512">
        <f>I86/E137</f>
        <v>0</v>
      </c>
      <c r="D86" s="344" t="s">
        <v>539</v>
      </c>
      <c r="E86" s="344" t="s">
        <v>540</v>
      </c>
      <c r="F86" s="195">
        <v>7.2</v>
      </c>
      <c r="G86" s="513">
        <v>300.0</v>
      </c>
      <c r="H86" s="217">
        <f t="shared" ref="H86:H88" si="54">G86*J86</f>
        <v>88749</v>
      </c>
      <c r="I86" s="217">
        <v>0.0</v>
      </c>
      <c r="J86" s="216">
        <v>295.83</v>
      </c>
      <c r="K86" s="568">
        <f>IFERROR(__xludf.DUMMYFUNCTION("GOOGLEFINANCE(E86,""changepct"")"),-0.46)</f>
        <v>-0.46</v>
      </c>
      <c r="L86" s="516">
        <f>IFERROR(__xludf.DUMMYFUNCTION("googlefinance(E86,""price"")"),573.55)</f>
        <v>573.55</v>
      </c>
      <c r="M86" s="216">
        <v>356.26</v>
      </c>
      <c r="N86" s="517">
        <f t="shared" ref="N86:N88" si="55">L86-J86</f>
        <v>277.72</v>
      </c>
      <c r="O86" s="518">
        <f t="shared" ref="O86:O88" si="56">M86/J86-1</f>
        <v>0.2042727242</v>
      </c>
      <c r="P86" s="495">
        <f>H86*O86</f>
        <v>18129</v>
      </c>
      <c r="Q86" s="538">
        <v>0.021</v>
      </c>
      <c r="R86" s="217"/>
      <c r="S86" s="519" t="s">
        <v>540</v>
      </c>
      <c r="T86" s="520">
        <v>44788.0</v>
      </c>
      <c r="U86" s="521">
        <v>356.26</v>
      </c>
      <c r="V86" s="522">
        <v>106878.0</v>
      </c>
      <c r="W86" s="523"/>
      <c r="X86" s="524"/>
      <c r="Y86" s="525"/>
      <c r="Z86" s="526"/>
    </row>
    <row r="87">
      <c r="A87" s="528"/>
      <c r="B87" s="528"/>
      <c r="C87" s="512">
        <f>I87/E137</f>
        <v>0</v>
      </c>
      <c r="D87" s="344" t="s">
        <v>615</v>
      </c>
      <c r="E87" s="344" t="s">
        <v>616</v>
      </c>
      <c r="F87" s="195">
        <v>7.3</v>
      </c>
      <c r="G87" s="513">
        <v>1000.0</v>
      </c>
      <c r="H87" s="217">
        <f t="shared" si="54"/>
        <v>112350</v>
      </c>
      <c r="I87" s="217">
        <v>0.0</v>
      </c>
      <c r="J87" s="216">
        <v>112.35</v>
      </c>
      <c r="K87" s="568">
        <f>IFERROR(__xludf.DUMMYFUNCTION("GOOGLEFINANCE(E87,""changepct"")"),-0.77)</f>
        <v>-0.77</v>
      </c>
      <c r="L87" s="516">
        <f>IFERROR(__xludf.DUMMYFUNCTION("googlefinance(E87,""price"")"),239.32)</f>
        <v>239.32</v>
      </c>
      <c r="M87" s="216">
        <v>111.39</v>
      </c>
      <c r="N87" s="517">
        <f t="shared" si="55"/>
        <v>126.97</v>
      </c>
      <c r="O87" s="518">
        <f t="shared" si="56"/>
        <v>-0.008544726302</v>
      </c>
      <c r="P87" s="495">
        <f>H4*O87</f>
        <v>-1093.724967</v>
      </c>
      <c r="Q87" s="538">
        <v>0.0253</v>
      </c>
      <c r="R87" s="217"/>
      <c r="S87" s="519" t="s">
        <v>616</v>
      </c>
      <c r="T87" s="520">
        <v>44747.0</v>
      </c>
      <c r="U87" s="521">
        <v>111.39</v>
      </c>
      <c r="V87" s="522">
        <v>111256.0</v>
      </c>
      <c r="W87" s="519"/>
      <c r="X87" s="520"/>
      <c r="Y87" s="521"/>
      <c r="Z87" s="522"/>
    </row>
    <row r="88">
      <c r="A88" s="528"/>
      <c r="B88" s="528"/>
      <c r="C88" s="512">
        <f>I88/E137</f>
        <v>0</v>
      </c>
      <c r="D88" s="104" t="s">
        <v>381</v>
      </c>
      <c r="E88" s="104" t="s">
        <v>382</v>
      </c>
      <c r="F88" s="195">
        <v>7.1</v>
      </c>
      <c r="G88" s="513">
        <v>1200.0</v>
      </c>
      <c r="H88" s="217">
        <f t="shared" si="54"/>
        <v>84144</v>
      </c>
      <c r="I88" s="217">
        <v>0.0</v>
      </c>
      <c r="J88" s="216">
        <v>70.12</v>
      </c>
      <c r="K88" s="568">
        <f>IFERROR(__xludf.DUMMYFUNCTION("GOOGLEFINANCE(E88,""changepct"")"),-1.65)</f>
        <v>-1.65</v>
      </c>
      <c r="L88" s="516">
        <f>IFERROR(__xludf.DUMMYFUNCTION("googlefinance(E88,""price"")"),85.43)</f>
        <v>85.43</v>
      </c>
      <c r="M88" s="216">
        <v>101.76</v>
      </c>
      <c r="N88" s="517">
        <f t="shared" si="55"/>
        <v>15.31</v>
      </c>
      <c r="O88" s="518">
        <f t="shared" si="56"/>
        <v>0.4512264689</v>
      </c>
      <c r="P88" s="495">
        <f>H88*O88</f>
        <v>37968</v>
      </c>
      <c r="Q88" s="538"/>
      <c r="R88" s="217"/>
      <c r="S88" s="519" t="s">
        <v>382</v>
      </c>
      <c r="T88" s="520">
        <v>44788.0</v>
      </c>
      <c r="U88" s="521">
        <v>101.76</v>
      </c>
      <c r="V88" s="522">
        <v>122112.0</v>
      </c>
      <c r="W88" s="519"/>
      <c r="X88" s="520"/>
      <c r="Y88" s="521"/>
      <c r="Z88" s="522"/>
    </row>
    <row r="89">
      <c r="A89" s="13"/>
      <c r="B89" s="13"/>
      <c r="C89" s="504" t="s">
        <v>89</v>
      </c>
      <c r="D89" s="13"/>
      <c r="E89" s="13"/>
      <c r="F89" s="13"/>
      <c r="G89" s="509"/>
      <c r="H89" s="509">
        <f t="shared" ref="H89:I89" si="57">SUM(H86:H88)</f>
        <v>285243</v>
      </c>
      <c r="I89" s="539">
        <f t="shared" si="57"/>
        <v>0</v>
      </c>
      <c r="J89" s="506"/>
      <c r="K89" s="506"/>
      <c r="L89" s="506"/>
      <c r="M89" s="507"/>
      <c r="N89" s="507"/>
      <c r="O89" s="540">
        <f>P89/H89</f>
        <v>0.1928295349</v>
      </c>
      <c r="P89" s="539">
        <f>SUM(P86:P88)</f>
        <v>55003.27503</v>
      </c>
      <c r="Q89" s="13"/>
      <c r="R89" s="509">
        <f>SUM(R86:R88)</f>
        <v>0</v>
      </c>
      <c r="S89" s="510" t="s">
        <v>89</v>
      </c>
      <c r="T89" s="542"/>
      <c r="U89" s="543"/>
      <c r="V89" s="544">
        <f>SUM(V86:V88)</f>
        <v>340246</v>
      </c>
      <c r="W89" s="510" t="s">
        <v>89</v>
      </c>
      <c r="X89" s="542"/>
      <c r="Y89" s="543"/>
      <c r="Z89" s="544">
        <v>0.0</v>
      </c>
    </row>
    <row r="90">
      <c r="A90" s="13"/>
      <c r="B90" s="504" t="s">
        <v>542</v>
      </c>
      <c r="C90" s="504" t="s">
        <v>2</v>
      </c>
      <c r="D90" s="13" t="s">
        <v>150</v>
      </c>
      <c r="E90" s="13" t="s">
        <v>4</v>
      </c>
      <c r="F90" s="13" t="s">
        <v>5</v>
      </c>
      <c r="G90" s="504" t="s">
        <v>6</v>
      </c>
      <c r="H90" s="504" t="s">
        <v>7</v>
      </c>
      <c r="I90" s="505" t="s">
        <v>8</v>
      </c>
      <c r="J90" s="505" t="s">
        <v>9</v>
      </c>
      <c r="K90" s="506" t="s">
        <v>10</v>
      </c>
      <c r="L90" s="506" t="s">
        <v>11</v>
      </c>
      <c r="M90" s="507" t="s">
        <v>476</v>
      </c>
      <c r="N90" s="507" t="s">
        <v>13</v>
      </c>
      <c r="O90" s="504" t="s">
        <v>14</v>
      </c>
      <c r="P90" s="508" t="s">
        <v>15</v>
      </c>
      <c r="Q90" s="13" t="s">
        <v>16</v>
      </c>
      <c r="R90" s="13" t="s">
        <v>17</v>
      </c>
      <c r="S90" s="510" t="s">
        <v>21</v>
      </c>
      <c r="T90" s="510" t="s">
        <v>22</v>
      </c>
      <c r="U90" s="511" t="s">
        <v>23</v>
      </c>
      <c r="V90" s="511" t="s">
        <v>24</v>
      </c>
      <c r="W90" s="510" t="s">
        <v>25</v>
      </c>
      <c r="X90" s="510" t="s">
        <v>26</v>
      </c>
      <c r="Y90" s="510" t="s">
        <v>27</v>
      </c>
      <c r="Z90" s="510" t="s">
        <v>28</v>
      </c>
    </row>
    <row r="91">
      <c r="A91" s="502" t="s">
        <v>29</v>
      </c>
      <c r="B91" s="527">
        <f>I94/E137</f>
        <v>0.03785470047</v>
      </c>
      <c r="C91" s="590">
        <f>I91/E137</f>
        <v>0.0170898946</v>
      </c>
      <c r="D91" s="529" t="s">
        <v>543</v>
      </c>
      <c r="E91" s="529" t="s">
        <v>408</v>
      </c>
      <c r="F91" s="588">
        <v>7.7</v>
      </c>
      <c r="G91" s="588">
        <v>2000.0</v>
      </c>
      <c r="H91" s="574">
        <f t="shared" ref="H91:H93" si="58">G91*J91</f>
        <v>231880</v>
      </c>
      <c r="I91" s="575">
        <f>H91+P91</f>
        <v>175600</v>
      </c>
      <c r="J91" s="268">
        <v>115.94</v>
      </c>
      <c r="K91" s="515">
        <f>IFERROR(__xludf.DUMMYFUNCTION("GOOGLEFINANCE(E91,""changepct"")"),0.8)</f>
        <v>0.8</v>
      </c>
      <c r="L91" s="576">
        <f>IFERROR(__xludf.DUMMYFUNCTION("googlefinance(E91,""price"")"),87.8)</f>
        <v>87.8</v>
      </c>
      <c r="M91" s="591"/>
      <c r="N91" s="576">
        <f t="shared" ref="N91:N93" si="59">L91-J91</f>
        <v>-28.14</v>
      </c>
      <c r="O91" s="592">
        <f>L91/J91-1</f>
        <v>-0.2427117475</v>
      </c>
      <c r="P91" s="575">
        <f t="shared" ref="P91:P93" si="60">H91*O91</f>
        <v>-56280</v>
      </c>
      <c r="Q91" s="589">
        <v>0.02</v>
      </c>
      <c r="R91" s="269">
        <v>1025.0</v>
      </c>
      <c r="S91" s="579"/>
      <c r="T91" s="580"/>
      <c r="U91" s="581"/>
      <c r="V91" s="582"/>
      <c r="W91" s="579"/>
      <c r="X91" s="580"/>
      <c r="Y91" s="581"/>
      <c r="Z91" s="582"/>
    </row>
    <row r="92">
      <c r="A92" s="563"/>
      <c r="B92" s="563"/>
      <c r="C92" s="590">
        <f>I92/E137</f>
        <v>0</v>
      </c>
      <c r="D92" s="529" t="s">
        <v>638</v>
      </c>
      <c r="E92" s="529" t="s">
        <v>639</v>
      </c>
      <c r="F92" s="588">
        <v>7.6</v>
      </c>
      <c r="G92" s="588">
        <v>2000.0</v>
      </c>
      <c r="H92" s="574">
        <f t="shared" si="58"/>
        <v>206300</v>
      </c>
      <c r="I92" s="583">
        <v>0.0</v>
      </c>
      <c r="J92" s="268">
        <v>103.15</v>
      </c>
      <c r="K92" s="515">
        <f>IFERROR(__xludf.DUMMYFUNCTION("GOOGLEFINANCE(E92,""changepct"")"),0.59)</f>
        <v>0.59</v>
      </c>
      <c r="L92" s="576">
        <f>IFERROR(__xludf.DUMMYFUNCTION("googlefinance(E92,""price"")"),92.62)</f>
        <v>92.62</v>
      </c>
      <c r="M92" s="593">
        <v>104.03</v>
      </c>
      <c r="N92" s="576">
        <f t="shared" si="59"/>
        <v>-10.53</v>
      </c>
      <c r="O92" s="592">
        <f>M92/J92-1</f>
        <v>0.008531265148</v>
      </c>
      <c r="P92" s="575">
        <f t="shared" si="60"/>
        <v>1760</v>
      </c>
      <c r="Q92" s="572">
        <v>0.012</v>
      </c>
      <c r="R92" s="574"/>
      <c r="S92" s="219" t="s">
        <v>639</v>
      </c>
      <c r="T92" s="585">
        <v>44781.0</v>
      </c>
      <c r="U92" s="586">
        <v>104.03</v>
      </c>
      <c r="V92" s="587">
        <v>208060.0</v>
      </c>
      <c r="W92" s="579"/>
      <c r="X92" s="580"/>
      <c r="Y92" s="581"/>
      <c r="Z92" s="582"/>
    </row>
    <row r="93">
      <c r="A93" s="563"/>
      <c r="B93" s="563"/>
      <c r="C93" s="590">
        <f>I93/E137</f>
        <v>0.02076480587</v>
      </c>
      <c r="D93" s="529" t="s">
        <v>544</v>
      </c>
      <c r="E93" s="529" t="s">
        <v>545</v>
      </c>
      <c r="F93" s="588">
        <v>7.8</v>
      </c>
      <c r="G93" s="588">
        <v>2000.0</v>
      </c>
      <c r="H93" s="574">
        <f t="shared" si="58"/>
        <v>229520</v>
      </c>
      <c r="I93" s="575">
        <f>H93+P93</f>
        <v>213360</v>
      </c>
      <c r="J93" s="268">
        <v>114.76</v>
      </c>
      <c r="K93" s="515">
        <f>IFERROR(__xludf.DUMMYFUNCTION("GOOGLEFINANCE(E93,""changepct"")"),0.29)</f>
        <v>0.29</v>
      </c>
      <c r="L93" s="576">
        <f>IFERROR(__xludf.DUMMYFUNCTION("googlefinance(E93,""price"")"),106.68)</f>
        <v>106.68</v>
      </c>
      <c r="M93" s="591"/>
      <c r="N93" s="576">
        <f t="shared" si="59"/>
        <v>-8.08</v>
      </c>
      <c r="O93" s="592">
        <f>L93/J93-1</f>
        <v>-0.0704078076</v>
      </c>
      <c r="P93" s="575">
        <f t="shared" si="60"/>
        <v>-16160</v>
      </c>
      <c r="Q93" s="572">
        <v>0.059</v>
      </c>
      <c r="R93" s="269">
        <v>3010.0</v>
      </c>
      <c r="S93" s="579"/>
      <c r="T93" s="580"/>
      <c r="U93" s="581"/>
      <c r="V93" s="582"/>
      <c r="W93" s="579"/>
      <c r="X93" s="580"/>
      <c r="Y93" s="581"/>
      <c r="Z93" s="582"/>
    </row>
    <row r="94">
      <c r="A94" s="13"/>
      <c r="B94" s="13"/>
      <c r="C94" s="504" t="s">
        <v>89</v>
      </c>
      <c r="D94" s="13"/>
      <c r="E94" s="13"/>
      <c r="F94" s="13"/>
      <c r="G94" s="509"/>
      <c r="H94" s="509">
        <f t="shared" ref="H94:I94" si="61">SUM(H91:H93)</f>
        <v>667700</v>
      </c>
      <c r="I94" s="539">
        <f t="shared" si="61"/>
        <v>388960</v>
      </c>
      <c r="J94" s="506"/>
      <c r="K94" s="506"/>
      <c r="L94" s="506"/>
      <c r="M94" s="507"/>
      <c r="N94" s="507"/>
      <c r="O94" s="540">
        <f>P94/H94</f>
        <v>-0.1058559233</v>
      </c>
      <c r="P94" s="539">
        <f>SUM(P91:P93)</f>
        <v>-70680</v>
      </c>
      <c r="Q94" s="13"/>
      <c r="R94" s="509">
        <f>SUM(R91:R93)</f>
        <v>4035</v>
      </c>
      <c r="S94" s="510" t="s">
        <v>89</v>
      </c>
      <c r="T94" s="542"/>
      <c r="U94" s="543"/>
      <c r="V94" s="544">
        <f>SUM(V91:V93)</f>
        <v>208060</v>
      </c>
      <c r="W94" s="510" t="s">
        <v>89</v>
      </c>
      <c r="X94" s="542"/>
      <c r="Y94" s="543"/>
      <c r="Z94" s="570">
        <f>SUM(Z86:Z88)</f>
        <v>0</v>
      </c>
    </row>
    <row r="95">
      <c r="A95" s="173"/>
      <c r="B95" s="504" t="s">
        <v>409</v>
      </c>
      <c r="C95" s="504" t="s">
        <v>2</v>
      </c>
      <c r="D95" s="13" t="s">
        <v>150</v>
      </c>
      <c r="E95" s="13" t="s">
        <v>4</v>
      </c>
      <c r="F95" s="13" t="s">
        <v>5</v>
      </c>
      <c r="G95" s="504" t="s">
        <v>6</v>
      </c>
      <c r="H95" s="504" t="s">
        <v>7</v>
      </c>
      <c r="I95" s="505" t="s">
        <v>8</v>
      </c>
      <c r="J95" s="505" t="s">
        <v>9</v>
      </c>
      <c r="K95" s="506" t="s">
        <v>10</v>
      </c>
      <c r="L95" s="506" t="s">
        <v>11</v>
      </c>
      <c r="M95" s="507" t="s">
        <v>476</v>
      </c>
      <c r="N95" s="507" t="s">
        <v>13</v>
      </c>
      <c r="O95" s="504" t="s">
        <v>14</v>
      </c>
      <c r="P95" s="508" t="s">
        <v>15</v>
      </c>
      <c r="Q95" s="13" t="s">
        <v>16</v>
      </c>
      <c r="R95" s="13" t="s">
        <v>17</v>
      </c>
      <c r="S95" s="510" t="s">
        <v>21</v>
      </c>
      <c r="T95" s="510" t="s">
        <v>22</v>
      </c>
      <c r="U95" s="511" t="s">
        <v>23</v>
      </c>
      <c r="V95" s="511" t="s">
        <v>24</v>
      </c>
      <c r="W95" s="510" t="s">
        <v>25</v>
      </c>
      <c r="X95" s="510" t="s">
        <v>26</v>
      </c>
      <c r="Y95" s="510" t="s">
        <v>27</v>
      </c>
      <c r="Z95" s="510" t="s">
        <v>28</v>
      </c>
    </row>
    <row r="96">
      <c r="A96" s="502" t="s">
        <v>29</v>
      </c>
      <c r="B96" s="527" t="str">
        <f>I118/E137</f>
        <v>#N/A</v>
      </c>
      <c r="C96" s="512">
        <f>I96/E137</f>
        <v>0.04014568065</v>
      </c>
      <c r="D96" s="344" t="s">
        <v>151</v>
      </c>
      <c r="E96" s="344" t="s">
        <v>152</v>
      </c>
      <c r="F96" s="195">
        <v>8.5</v>
      </c>
      <c r="G96" s="513">
        <v>250.0</v>
      </c>
      <c r="H96" s="217">
        <f t="shared" ref="H96:H117" si="62">G96*J96</f>
        <v>450672.5</v>
      </c>
      <c r="I96" s="514">
        <f t="shared" ref="I96:I113" si="63">H96+P96</f>
        <v>412500</v>
      </c>
      <c r="J96" s="216">
        <v>1802.69</v>
      </c>
      <c r="K96" s="594"/>
      <c r="L96" s="122">
        <v>1650.0</v>
      </c>
      <c r="M96" s="517"/>
      <c r="N96" s="595">
        <f t="shared" ref="N96:N117" si="64">L96-J96</f>
        <v>-152.69</v>
      </c>
      <c r="O96" s="518">
        <f t="shared" ref="O96:O113" si="65">L96/J96-1</f>
        <v>-0.08470119655</v>
      </c>
      <c r="P96" s="495">
        <f t="shared" ref="P96:P117" si="66">H96*O96</f>
        <v>-38172.5</v>
      </c>
      <c r="Q96" s="512"/>
      <c r="R96" s="514"/>
      <c r="S96" s="523"/>
      <c r="T96" s="524"/>
      <c r="U96" s="525"/>
      <c r="V96" s="526"/>
      <c r="W96" s="523"/>
      <c r="X96" s="524"/>
      <c r="Y96" s="525"/>
      <c r="Z96" s="526"/>
    </row>
    <row r="97">
      <c r="A97" s="344" t="s">
        <v>153</v>
      </c>
      <c r="B97" s="596">
        <f>I96+I97</f>
        <v>600000</v>
      </c>
      <c r="C97" s="512">
        <f>I97/E137</f>
        <v>0.01824803666</v>
      </c>
      <c r="D97" s="344" t="s">
        <v>154</v>
      </c>
      <c r="E97" s="344" t="s">
        <v>155</v>
      </c>
      <c r="F97" s="195">
        <v>8.5</v>
      </c>
      <c r="G97" s="513">
        <v>10000.0</v>
      </c>
      <c r="H97" s="217">
        <f t="shared" si="62"/>
        <v>200600</v>
      </c>
      <c r="I97" s="514">
        <f t="shared" si="63"/>
        <v>187500</v>
      </c>
      <c r="J97" s="216">
        <v>20.06</v>
      </c>
      <c r="K97" s="594"/>
      <c r="L97" s="597">
        <v>18.75</v>
      </c>
      <c r="M97" s="517"/>
      <c r="N97" s="517">
        <f t="shared" si="64"/>
        <v>-1.31</v>
      </c>
      <c r="O97" s="518">
        <f t="shared" si="65"/>
        <v>-0.06530408774</v>
      </c>
      <c r="P97" s="514">
        <f t="shared" si="66"/>
        <v>-13100</v>
      </c>
      <c r="Q97" s="512"/>
      <c r="R97" s="514"/>
      <c r="S97" s="523"/>
      <c r="T97" s="524"/>
      <c r="U97" s="525"/>
      <c r="V97" s="526"/>
      <c r="W97" s="523"/>
      <c r="X97" s="524"/>
      <c r="Y97" s="525"/>
      <c r="Z97" s="526"/>
    </row>
    <row r="98">
      <c r="A98" s="344" t="s">
        <v>156</v>
      </c>
      <c r="B98" s="598">
        <f>B97/E137</f>
        <v>0.0583937173</v>
      </c>
      <c r="C98" s="512">
        <f>I98/E137</f>
        <v>0.01314637222</v>
      </c>
      <c r="D98" s="344" t="s">
        <v>570</v>
      </c>
      <c r="E98" s="344" t="s">
        <v>158</v>
      </c>
      <c r="F98" s="195">
        <v>8.0</v>
      </c>
      <c r="G98" s="513">
        <v>4000.0</v>
      </c>
      <c r="H98" s="217">
        <f t="shared" si="62"/>
        <v>108680</v>
      </c>
      <c r="I98" s="514">
        <f t="shared" si="63"/>
        <v>135080</v>
      </c>
      <c r="J98" s="216">
        <v>27.17</v>
      </c>
      <c r="K98" s="568">
        <f>IFERROR(__xludf.DUMMYFUNCTION("GOOGLEFINANCE(E98,""changepct"")"),-1.43)</f>
        <v>-1.43</v>
      </c>
      <c r="L98" s="516">
        <f>IFERROR(__xludf.DUMMYFUNCTION("googlefinance(E98,""price"")"),33.77)</f>
        <v>33.77</v>
      </c>
      <c r="M98" s="216"/>
      <c r="N98" s="517">
        <f t="shared" si="64"/>
        <v>6.6</v>
      </c>
      <c r="O98" s="518">
        <f t="shared" si="65"/>
        <v>0.2429149798</v>
      </c>
      <c r="P98" s="514">
        <f t="shared" si="66"/>
        <v>26400</v>
      </c>
      <c r="Q98" s="538">
        <v>0.0226</v>
      </c>
      <c r="R98" s="217">
        <v>554.0</v>
      </c>
      <c r="S98" s="519"/>
      <c r="T98" s="520"/>
      <c r="U98" s="521"/>
      <c r="V98" s="522"/>
      <c r="W98" s="523"/>
      <c r="X98" s="524"/>
      <c r="Y98" s="525"/>
      <c r="Z98" s="526"/>
    </row>
    <row r="99">
      <c r="A99" s="344" t="s">
        <v>159</v>
      </c>
      <c r="B99" s="596" t="str">
        <f>I99+I115+I117+I105+I103+I112+I114+I98+I100+I108+I109+I104+I110+I113+I106+I102+I116+I101+I111+I107</f>
        <v>#N/A</v>
      </c>
      <c r="C99" s="512">
        <f>I99/E137</f>
        <v>0.01647481411</v>
      </c>
      <c r="D99" s="344" t="s">
        <v>160</v>
      </c>
      <c r="E99" s="344" t="s">
        <v>161</v>
      </c>
      <c r="F99" s="195">
        <v>8.0</v>
      </c>
      <c r="G99" s="513">
        <v>4000.0</v>
      </c>
      <c r="H99" s="217">
        <f t="shared" si="62"/>
        <v>125080</v>
      </c>
      <c r="I99" s="514">
        <f t="shared" si="63"/>
        <v>169280</v>
      </c>
      <c r="J99" s="216">
        <v>31.27</v>
      </c>
      <c r="K99" s="568">
        <f>IFERROR(__xludf.DUMMYFUNCTION("GOOGLEFINANCE(E99,""changepct"")"),-1.7)</f>
        <v>-1.7</v>
      </c>
      <c r="L99" s="516">
        <f>IFERROR(__xludf.DUMMYFUNCTION("googlefinance(E99,""price"")"),42.32)</f>
        <v>42.32</v>
      </c>
      <c r="M99" s="216"/>
      <c r="N99" s="517">
        <f t="shared" si="64"/>
        <v>11.05</v>
      </c>
      <c r="O99" s="518">
        <f t="shared" si="65"/>
        <v>0.3533738407</v>
      </c>
      <c r="P99" s="514">
        <f t="shared" si="66"/>
        <v>44200</v>
      </c>
      <c r="Q99" s="538">
        <v>0.019</v>
      </c>
      <c r="R99" s="217">
        <v>570.0</v>
      </c>
      <c r="S99" s="523"/>
      <c r="T99" s="520"/>
      <c r="U99" s="521"/>
      <c r="V99" s="522"/>
      <c r="W99" s="523"/>
      <c r="X99" s="524"/>
      <c r="Y99" s="525"/>
      <c r="Z99" s="526"/>
    </row>
    <row r="100">
      <c r="A100" s="104" t="s">
        <v>162</v>
      </c>
      <c r="B100" s="599" t="str">
        <f>B99/E137</f>
        <v>#N/A</v>
      </c>
      <c r="C100" s="512">
        <f>I100/E137</f>
        <v>0.007922080981</v>
      </c>
      <c r="D100" s="344" t="s">
        <v>506</v>
      </c>
      <c r="E100" s="344" t="s">
        <v>169</v>
      </c>
      <c r="F100" s="195">
        <v>8.0</v>
      </c>
      <c r="G100" s="513">
        <v>2200.0</v>
      </c>
      <c r="H100" s="217">
        <f t="shared" si="62"/>
        <v>129976</v>
      </c>
      <c r="I100" s="514">
        <f t="shared" si="63"/>
        <v>81400</v>
      </c>
      <c r="J100" s="216">
        <v>59.08</v>
      </c>
      <c r="K100" s="568">
        <f>IFERROR(__xludf.DUMMYFUNCTION("GOOGLEFINANCE(E100,""changepct"")"),-2.22)</f>
        <v>-2.22</v>
      </c>
      <c r="L100" s="516">
        <f>IFERROR(__xludf.DUMMYFUNCTION("googlefinance(E100,""price"")"),37.0)</f>
        <v>37</v>
      </c>
      <c r="M100" s="216"/>
      <c r="N100" s="517">
        <f t="shared" si="64"/>
        <v>-22.08</v>
      </c>
      <c r="O100" s="518">
        <f t="shared" si="65"/>
        <v>-0.3737305349</v>
      </c>
      <c r="P100" s="514">
        <f t="shared" si="66"/>
        <v>-48576</v>
      </c>
      <c r="Q100" s="538">
        <v>0.054</v>
      </c>
      <c r="R100" s="217">
        <v>1283.0</v>
      </c>
      <c r="S100" s="519"/>
      <c r="T100" s="520"/>
      <c r="U100" s="521"/>
      <c r="V100" s="522"/>
      <c r="W100" s="523"/>
      <c r="X100" s="524"/>
      <c r="Y100" s="525"/>
      <c r="Z100" s="526"/>
    </row>
    <row r="101">
      <c r="A101" s="528"/>
      <c r="B101" s="528"/>
      <c r="C101" s="512">
        <f>I101/E137</f>
        <v>0.01008264852</v>
      </c>
      <c r="D101" s="344" t="s">
        <v>506</v>
      </c>
      <c r="E101" s="344" t="s">
        <v>169</v>
      </c>
      <c r="F101" s="195">
        <v>8.0</v>
      </c>
      <c r="G101" s="513">
        <v>2800.0</v>
      </c>
      <c r="H101" s="217">
        <f t="shared" si="62"/>
        <v>116648</v>
      </c>
      <c r="I101" s="514">
        <f t="shared" si="63"/>
        <v>103600</v>
      </c>
      <c r="J101" s="216">
        <v>41.66</v>
      </c>
      <c r="K101" s="568">
        <f>IFERROR(__xludf.DUMMYFUNCTION("GOOGLEFINANCE(E101,""changepct"")"),-2.22)</f>
        <v>-2.22</v>
      </c>
      <c r="L101" s="516">
        <f>IFERROR(__xludf.DUMMYFUNCTION("googlefinance(E101,""price"")"),37.0)</f>
        <v>37</v>
      </c>
      <c r="M101" s="517"/>
      <c r="N101" s="517">
        <f t="shared" si="64"/>
        <v>-4.66</v>
      </c>
      <c r="O101" s="518">
        <f t="shared" si="65"/>
        <v>-0.1118578973</v>
      </c>
      <c r="P101" s="514">
        <f t="shared" si="66"/>
        <v>-13048</v>
      </c>
      <c r="Q101" s="538">
        <v>0.054</v>
      </c>
      <c r="R101" s="217">
        <v>1620.0</v>
      </c>
      <c r="S101" s="523"/>
      <c r="T101" s="524"/>
      <c r="U101" s="525"/>
      <c r="V101" s="526"/>
      <c r="W101" s="519" t="s">
        <v>169</v>
      </c>
      <c r="X101" s="520">
        <v>44806.0</v>
      </c>
      <c r="Y101" s="521">
        <v>41.66</v>
      </c>
      <c r="Z101" s="522">
        <v>116648.0</v>
      </c>
    </row>
    <row r="102">
      <c r="A102" s="528"/>
      <c r="B102" s="528"/>
      <c r="C102" s="512">
        <f>I102/E137</f>
        <v>0.01971955833</v>
      </c>
      <c r="D102" s="344" t="s">
        <v>570</v>
      </c>
      <c r="E102" s="344" t="s">
        <v>158</v>
      </c>
      <c r="F102" s="195">
        <v>8.0</v>
      </c>
      <c r="G102" s="513">
        <v>6000.0</v>
      </c>
      <c r="H102" s="217">
        <f t="shared" si="62"/>
        <v>161520</v>
      </c>
      <c r="I102" s="514">
        <f t="shared" si="63"/>
        <v>202620</v>
      </c>
      <c r="J102" s="216">
        <v>26.92</v>
      </c>
      <c r="K102" s="568">
        <f>IFERROR(__xludf.DUMMYFUNCTION("GOOGLEFINANCE(E102,""changepct"")"),-1.43)</f>
        <v>-1.43</v>
      </c>
      <c r="L102" s="516">
        <f>IFERROR(__xludf.DUMMYFUNCTION("googlefinance(E102,""price"")"),33.77)</f>
        <v>33.77</v>
      </c>
      <c r="M102" s="517"/>
      <c r="N102" s="517">
        <f t="shared" si="64"/>
        <v>6.85</v>
      </c>
      <c r="O102" s="518">
        <f t="shared" si="65"/>
        <v>0.2544576523</v>
      </c>
      <c r="P102" s="514">
        <f t="shared" si="66"/>
        <v>41100</v>
      </c>
      <c r="Q102" s="538">
        <v>0.0226</v>
      </c>
      <c r="R102" s="217">
        <v>820.0</v>
      </c>
      <c r="S102" s="523"/>
      <c r="T102" s="524"/>
      <c r="U102" s="525"/>
      <c r="V102" s="526"/>
      <c r="W102" s="519" t="s">
        <v>158</v>
      </c>
      <c r="X102" s="520">
        <v>44781.0</v>
      </c>
      <c r="Y102" s="521">
        <v>26.92</v>
      </c>
      <c r="Z102" s="522">
        <v>161520.0</v>
      </c>
    </row>
    <row r="103">
      <c r="A103" s="528"/>
      <c r="B103" s="528"/>
      <c r="C103" s="512">
        <f>I103/E137</f>
        <v>0.02272975446</v>
      </c>
      <c r="D103" s="104" t="s">
        <v>165</v>
      </c>
      <c r="E103" s="104" t="s">
        <v>164</v>
      </c>
      <c r="F103" s="195">
        <v>8.0</v>
      </c>
      <c r="G103" s="513">
        <v>3000.0</v>
      </c>
      <c r="H103" s="217">
        <f t="shared" si="62"/>
        <v>135240</v>
      </c>
      <c r="I103" s="514">
        <f t="shared" si="63"/>
        <v>233550</v>
      </c>
      <c r="J103" s="216">
        <v>45.08</v>
      </c>
      <c r="K103" s="568">
        <f>IFERROR(__xludf.DUMMYFUNCTION("GOOGLEFINANCE(E103,""changepct"")"),-1.02)</f>
        <v>-1.02</v>
      </c>
      <c r="L103" s="516">
        <f>IFERROR(__xludf.DUMMYFUNCTION("googlefinance(E103,""price"")"),77.85)</f>
        <v>77.85</v>
      </c>
      <c r="M103" s="517"/>
      <c r="N103" s="517">
        <f t="shared" si="64"/>
        <v>32.77</v>
      </c>
      <c r="O103" s="518">
        <f t="shared" si="65"/>
        <v>0.7269299024</v>
      </c>
      <c r="P103" s="514">
        <f t="shared" si="66"/>
        <v>98310</v>
      </c>
      <c r="Q103" s="538">
        <v>0.03</v>
      </c>
      <c r="R103" s="217">
        <v>953.0</v>
      </c>
      <c r="S103" s="523"/>
      <c r="T103" s="524"/>
      <c r="U103" s="525"/>
      <c r="V103" s="526"/>
      <c r="W103" s="519"/>
      <c r="X103" s="520"/>
      <c r="Y103" s="521"/>
      <c r="Z103" s="522"/>
    </row>
    <row r="104">
      <c r="A104" s="528"/>
      <c r="B104" s="528"/>
      <c r="C104" s="512">
        <f>I104/E137</f>
        <v>0.03569802584</v>
      </c>
      <c r="D104" s="344" t="s">
        <v>166</v>
      </c>
      <c r="E104" s="344" t="s">
        <v>167</v>
      </c>
      <c r="F104" s="195">
        <v>7.7</v>
      </c>
      <c r="G104" s="513">
        <v>40000.0</v>
      </c>
      <c r="H104" s="217">
        <f t="shared" si="62"/>
        <v>141200</v>
      </c>
      <c r="I104" s="514">
        <f t="shared" si="63"/>
        <v>366800</v>
      </c>
      <c r="J104" s="216">
        <v>3.53</v>
      </c>
      <c r="K104" s="568">
        <f>IFERROR(__xludf.DUMMYFUNCTION("GOOGLEFINANCE(E104,""changepct"")"),-1.5)</f>
        <v>-1.5</v>
      </c>
      <c r="L104" s="516">
        <f>IFERROR(__xludf.DUMMYFUNCTION("googlefinance(E104,""price"")"),9.17)</f>
        <v>9.17</v>
      </c>
      <c r="M104" s="517"/>
      <c r="N104" s="517">
        <f t="shared" si="64"/>
        <v>5.64</v>
      </c>
      <c r="O104" s="518">
        <f t="shared" si="65"/>
        <v>1.597733711</v>
      </c>
      <c r="P104" s="514">
        <f t="shared" si="66"/>
        <v>225600</v>
      </c>
      <c r="Q104" s="538">
        <v>0.03</v>
      </c>
      <c r="R104" s="217">
        <v>1125.0</v>
      </c>
      <c r="S104" s="523"/>
      <c r="T104" s="524"/>
      <c r="U104" s="525"/>
      <c r="V104" s="526"/>
      <c r="W104" s="519"/>
      <c r="X104" s="520"/>
      <c r="Y104" s="521"/>
      <c r="Z104" s="522"/>
    </row>
    <row r="105">
      <c r="A105" s="528"/>
      <c r="B105" s="528"/>
      <c r="C105" s="512" t="str">
        <f>I105/E137</f>
        <v>#N/A</v>
      </c>
      <c r="D105" s="104" t="s">
        <v>617</v>
      </c>
      <c r="E105" s="104" t="s">
        <v>618</v>
      </c>
      <c r="F105" s="195">
        <v>7.9</v>
      </c>
      <c r="G105" s="513">
        <v>25000.0</v>
      </c>
      <c r="H105" s="217">
        <f t="shared" si="62"/>
        <v>113250</v>
      </c>
      <c r="I105" s="514" t="str">
        <f t="shared" si="63"/>
        <v>#N/A</v>
      </c>
      <c r="J105" s="216">
        <v>4.53</v>
      </c>
      <c r="K105" s="568" t="str">
        <f>IFERROR(__xludf.DUMMYFUNCTION("GOOGLEFINANCE(E105,""changepct"")"),"#N/A")</f>
        <v>#N/A</v>
      </c>
      <c r="L105" s="516" t="str">
        <f>IFERROR(__xludf.DUMMYFUNCTION("googlefinance(E105,""price"")"),"#N/A")</f>
        <v>#N/A</v>
      </c>
      <c r="M105" s="216"/>
      <c r="N105" s="528" t="str">
        <f t="shared" si="64"/>
        <v>#N/A</v>
      </c>
      <c r="O105" s="518" t="str">
        <f t="shared" si="65"/>
        <v>#N/A</v>
      </c>
      <c r="P105" s="528" t="str">
        <f t="shared" si="66"/>
        <v>#N/A</v>
      </c>
      <c r="Q105" s="538">
        <v>0.03</v>
      </c>
      <c r="R105" s="217">
        <v>855.0</v>
      </c>
      <c r="S105" s="523"/>
      <c r="T105" s="520"/>
      <c r="U105" s="521"/>
      <c r="V105" s="522"/>
      <c r="W105" s="519"/>
      <c r="X105" s="520"/>
      <c r="Y105" s="521"/>
      <c r="Z105" s="522"/>
    </row>
    <row r="106">
      <c r="A106" s="528"/>
      <c r="B106" s="528"/>
      <c r="C106" s="512">
        <f>I106/E137</f>
        <v>0.03165523415</v>
      </c>
      <c r="D106" s="104" t="s">
        <v>547</v>
      </c>
      <c r="E106" s="104" t="s">
        <v>548</v>
      </c>
      <c r="F106" s="195">
        <v>8.1</v>
      </c>
      <c r="G106" s="513">
        <v>18000.0</v>
      </c>
      <c r="H106" s="217">
        <f t="shared" si="62"/>
        <v>128160</v>
      </c>
      <c r="I106" s="514">
        <f t="shared" si="63"/>
        <v>325260</v>
      </c>
      <c r="J106" s="216">
        <v>7.12</v>
      </c>
      <c r="K106" s="568">
        <f>IFERROR(__xludf.DUMMYFUNCTION("GOOGLEFINANCE(E106,""changepct"")"),-1.53)</f>
        <v>-1.53</v>
      </c>
      <c r="L106" s="516">
        <f>IFERROR(__xludf.DUMMYFUNCTION("googlefinance(E106,""price"")"),18.07)</f>
        <v>18.07</v>
      </c>
      <c r="M106" s="216"/>
      <c r="N106" s="517">
        <f t="shared" si="64"/>
        <v>10.95</v>
      </c>
      <c r="O106" s="518">
        <f t="shared" si="65"/>
        <v>1.537921348</v>
      </c>
      <c r="P106" s="514">
        <f t="shared" si="66"/>
        <v>197100</v>
      </c>
      <c r="Q106" s="538">
        <v>0.014</v>
      </c>
      <c r="R106" s="217">
        <v>469.0</v>
      </c>
      <c r="S106" s="523"/>
      <c r="T106" s="520"/>
      <c r="U106" s="521"/>
      <c r="V106" s="522"/>
      <c r="W106" s="519" t="s">
        <v>548</v>
      </c>
      <c r="X106" s="520">
        <v>44755.0</v>
      </c>
      <c r="Y106" s="521">
        <v>7.12</v>
      </c>
      <c r="Z106" s="522">
        <v>128160.0</v>
      </c>
    </row>
    <row r="107">
      <c r="A107" s="528"/>
      <c r="B107" s="528"/>
      <c r="C107" s="512">
        <f>I107/E137</f>
        <v>0.01128458587</v>
      </c>
      <c r="D107" s="104" t="s">
        <v>571</v>
      </c>
      <c r="E107" s="104" t="s">
        <v>172</v>
      </c>
      <c r="F107" s="195">
        <v>8.1</v>
      </c>
      <c r="G107" s="513">
        <v>7500.0</v>
      </c>
      <c r="H107" s="217">
        <f t="shared" si="62"/>
        <v>111225</v>
      </c>
      <c r="I107" s="514">
        <f t="shared" si="63"/>
        <v>115950</v>
      </c>
      <c r="J107" s="216">
        <v>14.83</v>
      </c>
      <c r="K107" s="568">
        <f>IFERROR(__xludf.DUMMYFUNCTION("GOOGLEFINANCE(E107,""changepct"")"),-1.4)</f>
        <v>-1.4</v>
      </c>
      <c r="L107" s="516">
        <f>IFERROR(__xludf.DUMMYFUNCTION("googlefinance(E107,""price"")"),15.46)</f>
        <v>15.46</v>
      </c>
      <c r="M107" s="216"/>
      <c r="N107" s="517">
        <f t="shared" si="64"/>
        <v>0.63</v>
      </c>
      <c r="O107" s="518">
        <f t="shared" si="65"/>
        <v>0.04248145651</v>
      </c>
      <c r="P107" s="514">
        <f t="shared" si="66"/>
        <v>4725</v>
      </c>
      <c r="Q107" s="538">
        <v>0.0274</v>
      </c>
      <c r="R107" s="217">
        <v>802.0</v>
      </c>
      <c r="S107" s="523"/>
      <c r="T107" s="520"/>
      <c r="U107" s="521"/>
      <c r="V107" s="522"/>
      <c r="W107" s="519" t="s">
        <v>172</v>
      </c>
      <c r="X107" s="520">
        <v>44806.0</v>
      </c>
      <c r="Y107" s="521">
        <v>14.83</v>
      </c>
      <c r="Z107" s="522">
        <v>111225.0</v>
      </c>
    </row>
    <row r="108">
      <c r="A108" s="528"/>
      <c r="B108" s="528"/>
      <c r="C108" s="512">
        <f>I108/E137</f>
        <v>0.007523057246</v>
      </c>
      <c r="D108" s="104" t="s">
        <v>571</v>
      </c>
      <c r="E108" s="104" t="s">
        <v>172</v>
      </c>
      <c r="F108" s="195">
        <v>8.1</v>
      </c>
      <c r="G108" s="513">
        <v>5000.0</v>
      </c>
      <c r="H108" s="217">
        <f t="shared" si="62"/>
        <v>87300</v>
      </c>
      <c r="I108" s="514">
        <f t="shared" si="63"/>
        <v>77300</v>
      </c>
      <c r="J108" s="216">
        <v>17.46</v>
      </c>
      <c r="K108" s="568">
        <f>IFERROR(__xludf.DUMMYFUNCTION("GOOGLEFINANCE(E108,""changepct"")"),-1.4)</f>
        <v>-1.4</v>
      </c>
      <c r="L108" s="516">
        <f>IFERROR(__xludf.DUMMYFUNCTION("googlefinance(E108,""price"")"),15.46)</f>
        <v>15.46</v>
      </c>
      <c r="M108" s="216"/>
      <c r="N108" s="517">
        <f t="shared" si="64"/>
        <v>-2</v>
      </c>
      <c r="O108" s="518">
        <f t="shared" si="65"/>
        <v>-0.1145475372</v>
      </c>
      <c r="P108" s="514">
        <f t="shared" si="66"/>
        <v>-10000</v>
      </c>
      <c r="Q108" s="538">
        <v>0.0274</v>
      </c>
      <c r="R108" s="217">
        <v>550.0</v>
      </c>
      <c r="S108" s="523"/>
      <c r="T108" s="520"/>
      <c r="U108" s="521"/>
      <c r="V108" s="522"/>
      <c r="W108" s="519"/>
      <c r="X108" s="520"/>
      <c r="Y108" s="521"/>
      <c r="Z108" s="522"/>
    </row>
    <row r="109">
      <c r="A109" s="528"/>
      <c r="B109" s="528"/>
      <c r="C109" s="512">
        <f>I109/E137</f>
        <v>0.007968017372</v>
      </c>
      <c r="D109" s="104" t="s">
        <v>640</v>
      </c>
      <c r="E109" s="104" t="s">
        <v>641</v>
      </c>
      <c r="F109" s="195">
        <v>8.0</v>
      </c>
      <c r="G109" s="513">
        <v>700.0</v>
      </c>
      <c r="H109" s="217">
        <f t="shared" si="62"/>
        <v>90937</v>
      </c>
      <c r="I109" s="514">
        <f t="shared" si="63"/>
        <v>81872</v>
      </c>
      <c r="J109" s="216">
        <v>129.91</v>
      </c>
      <c r="K109" s="568">
        <f>IFERROR(__xludf.DUMMYFUNCTION("GOOGLEFINANCE(E109,""changepct"")"),-1.41)</f>
        <v>-1.41</v>
      </c>
      <c r="L109" s="516">
        <f>IFERROR(__xludf.DUMMYFUNCTION("googlefinance(E109,""price"")"),116.96)</f>
        <v>116.96</v>
      </c>
      <c r="M109" s="216"/>
      <c r="N109" s="517">
        <f t="shared" si="64"/>
        <v>-12.95</v>
      </c>
      <c r="O109" s="518">
        <f t="shared" si="65"/>
        <v>-0.09968439689</v>
      </c>
      <c r="P109" s="514">
        <f t="shared" si="66"/>
        <v>-9065</v>
      </c>
      <c r="Q109" s="538">
        <v>0.019</v>
      </c>
      <c r="R109" s="217">
        <v>399.0</v>
      </c>
      <c r="S109" s="523"/>
      <c r="T109" s="520"/>
      <c r="U109" s="521"/>
      <c r="V109" s="522"/>
      <c r="W109" s="519"/>
      <c r="X109" s="520"/>
      <c r="Y109" s="521"/>
      <c r="Z109" s="522"/>
    </row>
    <row r="110">
      <c r="A110" s="528"/>
      <c r="B110" s="528"/>
      <c r="C110" s="512">
        <f>I110/E137</f>
        <v>0.01049140454</v>
      </c>
      <c r="D110" s="104" t="s">
        <v>549</v>
      </c>
      <c r="E110" s="104" t="s">
        <v>550</v>
      </c>
      <c r="F110" s="195">
        <v>7.5</v>
      </c>
      <c r="G110" s="513">
        <v>20000.0</v>
      </c>
      <c r="H110" s="217">
        <f t="shared" si="62"/>
        <v>140000</v>
      </c>
      <c r="I110" s="514">
        <f t="shared" si="63"/>
        <v>107800</v>
      </c>
      <c r="J110" s="216">
        <v>7.0</v>
      </c>
      <c r="K110" s="568">
        <f>IFERROR(__xludf.DUMMYFUNCTION("GOOGLEFINANCE(E110,""changepct"")"),-2.71)</f>
        <v>-2.71</v>
      </c>
      <c r="L110" s="516">
        <f>IFERROR(__xludf.DUMMYFUNCTION("googlefinance(E110,""price"")"),5.39)</f>
        <v>5.39</v>
      </c>
      <c r="M110" s="216"/>
      <c r="N110" s="517">
        <f t="shared" si="64"/>
        <v>-1.61</v>
      </c>
      <c r="O110" s="518">
        <f t="shared" si="65"/>
        <v>-0.23</v>
      </c>
      <c r="P110" s="514">
        <f t="shared" si="66"/>
        <v>-32200</v>
      </c>
      <c r="Q110" s="538">
        <v>0.0035</v>
      </c>
      <c r="R110" s="217">
        <v>134.0</v>
      </c>
      <c r="S110" s="523"/>
      <c r="T110" s="520"/>
      <c r="U110" s="521"/>
      <c r="V110" s="522"/>
      <c r="W110" s="519"/>
      <c r="X110" s="520"/>
      <c r="Y110" s="521"/>
      <c r="Z110" s="522"/>
    </row>
    <row r="111">
      <c r="A111" s="528"/>
      <c r="B111" s="528"/>
      <c r="C111" s="512">
        <f>I111/E137</f>
        <v>0.0135843251</v>
      </c>
      <c r="D111" s="104" t="s">
        <v>357</v>
      </c>
      <c r="E111" s="104" t="s">
        <v>174</v>
      </c>
      <c r="F111" s="195">
        <v>7.8</v>
      </c>
      <c r="G111" s="513">
        <v>7000.0</v>
      </c>
      <c r="H111" s="217">
        <f t="shared" si="62"/>
        <v>104300</v>
      </c>
      <c r="I111" s="514">
        <f t="shared" si="63"/>
        <v>139580</v>
      </c>
      <c r="J111" s="216">
        <v>14.9</v>
      </c>
      <c r="K111" s="568">
        <f>IFERROR(__xludf.DUMMYFUNCTION("GOOGLEFINANCE(E111,""changepct"")"),-3.11)</f>
        <v>-3.11</v>
      </c>
      <c r="L111" s="516">
        <f>IFERROR(__xludf.DUMMYFUNCTION("googlefinance(E111,""price"")"),19.94)</f>
        <v>19.94</v>
      </c>
      <c r="M111" s="216"/>
      <c r="N111" s="517">
        <f t="shared" si="64"/>
        <v>5.04</v>
      </c>
      <c r="O111" s="518">
        <f t="shared" si="65"/>
        <v>0.3382550336</v>
      </c>
      <c r="P111" s="514">
        <f t="shared" si="66"/>
        <v>35280</v>
      </c>
      <c r="Q111" s="538">
        <v>0.03</v>
      </c>
      <c r="R111" s="217">
        <v>833.0</v>
      </c>
      <c r="S111" s="523"/>
      <c r="T111" s="520"/>
      <c r="U111" s="521"/>
      <c r="V111" s="522"/>
      <c r="W111" s="519" t="s">
        <v>174</v>
      </c>
      <c r="X111" s="520">
        <v>44806.0</v>
      </c>
      <c r="Y111" s="521">
        <v>14.9</v>
      </c>
      <c r="Z111" s="522">
        <v>104300.0</v>
      </c>
    </row>
    <row r="112">
      <c r="A112" s="528"/>
      <c r="B112" s="528"/>
      <c r="C112" s="512">
        <f>I112/E137</f>
        <v>0.0135843251</v>
      </c>
      <c r="D112" s="104" t="s">
        <v>357</v>
      </c>
      <c r="E112" s="104" t="s">
        <v>174</v>
      </c>
      <c r="F112" s="195">
        <v>7.8</v>
      </c>
      <c r="G112" s="513">
        <v>7000.0</v>
      </c>
      <c r="H112" s="217">
        <f t="shared" si="62"/>
        <v>132580</v>
      </c>
      <c r="I112" s="514">
        <f t="shared" si="63"/>
        <v>139580</v>
      </c>
      <c r="J112" s="216">
        <v>18.94</v>
      </c>
      <c r="K112" s="568">
        <f>IFERROR(__xludf.DUMMYFUNCTION("GOOGLEFINANCE(E112,""changepct"")"),-3.11)</f>
        <v>-3.11</v>
      </c>
      <c r="L112" s="516">
        <f>IFERROR(__xludf.DUMMYFUNCTION("googlefinance(E112,""price"")"),19.94)</f>
        <v>19.94</v>
      </c>
      <c r="M112" s="216"/>
      <c r="N112" s="517">
        <f t="shared" si="64"/>
        <v>1</v>
      </c>
      <c r="O112" s="518">
        <f t="shared" si="65"/>
        <v>0.05279831045</v>
      </c>
      <c r="P112" s="514">
        <f t="shared" si="66"/>
        <v>7000</v>
      </c>
      <c r="Q112" s="538">
        <v>0.03</v>
      </c>
      <c r="R112" s="217">
        <v>833.0</v>
      </c>
      <c r="S112" s="523"/>
      <c r="T112" s="520"/>
      <c r="U112" s="521"/>
      <c r="V112" s="522"/>
      <c r="W112" s="519"/>
      <c r="X112" s="520"/>
      <c r="Y112" s="521"/>
      <c r="Z112" s="522"/>
    </row>
    <row r="113">
      <c r="A113" s="528"/>
      <c r="B113" s="528"/>
      <c r="C113" s="512">
        <f>I113/E137</f>
        <v>0.01638916999</v>
      </c>
      <c r="D113" s="104" t="s">
        <v>572</v>
      </c>
      <c r="E113" s="104" t="s">
        <v>573</v>
      </c>
      <c r="F113" s="195">
        <v>7.3</v>
      </c>
      <c r="G113" s="513">
        <v>40000.0</v>
      </c>
      <c r="H113" s="217">
        <f t="shared" si="62"/>
        <v>103200</v>
      </c>
      <c r="I113" s="514">
        <f t="shared" si="63"/>
        <v>168400</v>
      </c>
      <c r="J113" s="216">
        <v>2.58</v>
      </c>
      <c r="K113" s="568">
        <f>IFERROR(__xludf.DUMMYFUNCTION("GOOGLEFINANCE(E113,""changepct"")"),-2.55)</f>
        <v>-2.55</v>
      </c>
      <c r="L113" s="516">
        <f>IFERROR(__xludf.DUMMYFUNCTION("googlefinance(E113,""price"")"),4.21)</f>
        <v>4.21</v>
      </c>
      <c r="M113" s="216"/>
      <c r="N113" s="517">
        <f t="shared" si="64"/>
        <v>1.63</v>
      </c>
      <c r="O113" s="518">
        <f t="shared" si="65"/>
        <v>0.6317829457</v>
      </c>
      <c r="P113" s="514">
        <f t="shared" si="66"/>
        <v>65200</v>
      </c>
      <c r="Q113" s="195"/>
      <c r="R113" s="217"/>
      <c r="S113" s="519"/>
      <c r="T113" s="520"/>
      <c r="U113" s="521"/>
      <c r="V113" s="522"/>
      <c r="W113" s="519" t="s">
        <v>573</v>
      </c>
      <c r="X113" s="520">
        <v>44755.0</v>
      </c>
      <c r="Y113" s="521">
        <v>2.58</v>
      </c>
      <c r="Z113" s="522">
        <v>103200.0</v>
      </c>
    </row>
    <row r="114">
      <c r="A114" s="528"/>
      <c r="B114" s="528"/>
      <c r="C114" s="512">
        <f>I114/E137</f>
        <v>0</v>
      </c>
      <c r="D114" s="104" t="s">
        <v>572</v>
      </c>
      <c r="E114" s="104" t="s">
        <v>573</v>
      </c>
      <c r="F114" s="195">
        <v>7.3</v>
      </c>
      <c r="G114" s="513">
        <v>40000.0</v>
      </c>
      <c r="H114" s="217">
        <f t="shared" si="62"/>
        <v>110000</v>
      </c>
      <c r="I114" s="217">
        <v>0.0</v>
      </c>
      <c r="J114" s="216">
        <v>2.75</v>
      </c>
      <c r="K114" s="568">
        <f>IFERROR(__xludf.DUMMYFUNCTION("GOOGLEFINANCE(E114,""changepct"")"),-2.55)</f>
        <v>-2.55</v>
      </c>
      <c r="L114" s="516">
        <f>IFERROR(__xludf.DUMMYFUNCTION("googlefinance(E114,""price"")"),4.21)</f>
        <v>4.21</v>
      </c>
      <c r="M114" s="216">
        <v>2.77</v>
      </c>
      <c r="N114" s="517">
        <f t="shared" si="64"/>
        <v>1.46</v>
      </c>
      <c r="O114" s="518">
        <f>M114/J114-1</f>
        <v>0.007272727273</v>
      </c>
      <c r="P114" s="514">
        <f t="shared" si="66"/>
        <v>800</v>
      </c>
      <c r="Q114" s="195"/>
      <c r="R114" s="217"/>
      <c r="S114" s="519" t="s">
        <v>573</v>
      </c>
      <c r="T114" s="520">
        <v>44747.0</v>
      </c>
      <c r="U114" s="521">
        <v>2.77</v>
      </c>
      <c r="V114" s="522">
        <v>110800.0</v>
      </c>
      <c r="W114" s="519"/>
      <c r="X114" s="520"/>
      <c r="Y114" s="521"/>
      <c r="Z114" s="522"/>
    </row>
    <row r="115">
      <c r="A115" s="528"/>
      <c r="B115" s="528"/>
      <c r="C115" s="512">
        <f>I115/E137</f>
        <v>0.01432105917</v>
      </c>
      <c r="D115" s="344" t="s">
        <v>507</v>
      </c>
      <c r="E115" s="344" t="s">
        <v>508</v>
      </c>
      <c r="F115" s="195">
        <v>7.9</v>
      </c>
      <c r="G115" s="513">
        <v>15000.0</v>
      </c>
      <c r="H115" s="217">
        <f t="shared" si="62"/>
        <v>140550</v>
      </c>
      <c r="I115" s="514">
        <f t="shared" ref="I115:I117" si="67">H115+P115</f>
        <v>147150</v>
      </c>
      <c r="J115" s="216">
        <v>9.37</v>
      </c>
      <c r="K115" s="568">
        <f>IFERROR(__xludf.DUMMYFUNCTION("GOOGLEFINANCE(E115,""changepct"")"),-2.77)</f>
        <v>-2.77</v>
      </c>
      <c r="L115" s="516">
        <f>IFERROR(__xludf.DUMMYFUNCTION("googlefinance(E115,""price"")"),9.81)</f>
        <v>9.81</v>
      </c>
      <c r="M115" s="216"/>
      <c r="N115" s="517">
        <f t="shared" si="64"/>
        <v>0.44</v>
      </c>
      <c r="O115" s="518">
        <f t="shared" ref="O115:O117" si="68">L115/J115-1</f>
        <v>0.0469583778</v>
      </c>
      <c r="P115" s="514">
        <f t="shared" si="66"/>
        <v>6600</v>
      </c>
      <c r="Q115" s="538">
        <v>0.035</v>
      </c>
      <c r="R115" s="217">
        <v>1199.0</v>
      </c>
      <c r="S115" s="523"/>
      <c r="T115" s="520"/>
      <c r="U115" s="521"/>
      <c r="V115" s="522"/>
      <c r="W115" s="519"/>
      <c r="X115" s="520"/>
      <c r="Y115" s="521"/>
      <c r="Z115" s="522"/>
    </row>
    <row r="116">
      <c r="A116" s="528"/>
      <c r="B116" s="528"/>
      <c r="C116" s="512">
        <f>I116/E137</f>
        <v>0.01670060315</v>
      </c>
      <c r="D116" s="600" t="s">
        <v>179</v>
      </c>
      <c r="E116" s="344" t="s">
        <v>180</v>
      </c>
      <c r="F116" s="195">
        <v>8.0</v>
      </c>
      <c r="G116" s="513">
        <v>15000.0</v>
      </c>
      <c r="H116" s="217">
        <f t="shared" si="62"/>
        <v>154350</v>
      </c>
      <c r="I116" s="514">
        <f t="shared" si="67"/>
        <v>171600</v>
      </c>
      <c r="J116" s="216">
        <v>10.29</v>
      </c>
      <c r="K116" s="568">
        <f>IFERROR(__xludf.DUMMYFUNCTION("GOOGLEFINANCE(E116,""changepct"")"),-2.8)</f>
        <v>-2.8</v>
      </c>
      <c r="L116" s="516">
        <f>IFERROR(__xludf.DUMMYFUNCTION("googlefinance(E116,""price"")"),11.44)</f>
        <v>11.44</v>
      </c>
      <c r="M116" s="216"/>
      <c r="N116" s="517">
        <f t="shared" si="64"/>
        <v>1.15</v>
      </c>
      <c r="O116" s="518">
        <f t="shared" si="68"/>
        <v>0.1117589893</v>
      </c>
      <c r="P116" s="514">
        <f t="shared" si="66"/>
        <v>17250</v>
      </c>
      <c r="Q116" s="538">
        <v>0.013</v>
      </c>
      <c r="R116" s="217">
        <v>436.0</v>
      </c>
      <c r="S116" s="519"/>
      <c r="T116" s="520"/>
      <c r="U116" s="521"/>
      <c r="V116" s="522"/>
      <c r="W116" s="519" t="s">
        <v>180</v>
      </c>
      <c r="X116" s="520">
        <v>44781.0</v>
      </c>
      <c r="Y116" s="521">
        <v>10.29</v>
      </c>
      <c r="Z116" s="522">
        <v>154350.0</v>
      </c>
    </row>
    <row r="117">
      <c r="A117" s="528"/>
      <c r="B117" s="528"/>
      <c r="C117" s="512">
        <f>I117/E137</f>
        <v>0.01670060315</v>
      </c>
      <c r="D117" s="600" t="s">
        <v>179</v>
      </c>
      <c r="E117" s="344" t="s">
        <v>180</v>
      </c>
      <c r="F117" s="195">
        <v>8.0</v>
      </c>
      <c r="G117" s="513">
        <v>15000.0</v>
      </c>
      <c r="H117" s="217">
        <f t="shared" si="62"/>
        <v>145500</v>
      </c>
      <c r="I117" s="514">
        <f t="shared" si="67"/>
        <v>171600</v>
      </c>
      <c r="J117" s="216">
        <v>9.7</v>
      </c>
      <c r="K117" s="568">
        <f>IFERROR(__xludf.DUMMYFUNCTION("GOOGLEFINANCE(E117,""changepct"")"),-2.8)</f>
        <v>-2.8</v>
      </c>
      <c r="L117" s="516">
        <f>IFERROR(__xludf.DUMMYFUNCTION("googlefinance(E117,""price"")"),11.44)</f>
        <v>11.44</v>
      </c>
      <c r="M117" s="216"/>
      <c r="N117" s="517">
        <f t="shared" si="64"/>
        <v>1.74</v>
      </c>
      <c r="O117" s="518">
        <f t="shared" si="68"/>
        <v>0.1793814433</v>
      </c>
      <c r="P117" s="514">
        <f t="shared" si="66"/>
        <v>26100</v>
      </c>
      <c r="Q117" s="538">
        <v>0.013</v>
      </c>
      <c r="R117" s="217">
        <v>436.0</v>
      </c>
      <c r="S117" s="519"/>
      <c r="T117" s="520"/>
      <c r="U117" s="521"/>
      <c r="V117" s="522"/>
      <c r="W117" s="519"/>
      <c r="X117" s="520"/>
      <c r="Y117" s="521"/>
      <c r="Z117" s="522"/>
    </row>
    <row r="118">
      <c r="A118" s="173"/>
      <c r="B118" s="173"/>
      <c r="C118" s="504" t="s">
        <v>89</v>
      </c>
      <c r="D118" s="13"/>
      <c r="E118" s="13"/>
      <c r="F118" s="13"/>
      <c r="G118" s="509"/>
      <c r="H118" s="509">
        <f t="shared" ref="H118:I118" si="69">SUM(H96:H117)</f>
        <v>3130968.5</v>
      </c>
      <c r="I118" s="539" t="str">
        <f t="shared" si="69"/>
        <v>#N/A</v>
      </c>
      <c r="J118" s="506"/>
      <c r="K118" s="506"/>
      <c r="L118" s="507"/>
      <c r="M118" s="507"/>
      <c r="N118" s="507"/>
      <c r="O118" s="540" t="str">
        <f>P118/H118</f>
        <v>#N/A</v>
      </c>
      <c r="P118" s="507" t="str">
        <f>SUM(P96:P117)</f>
        <v>#N/A</v>
      </c>
      <c r="Q118" s="13"/>
      <c r="R118" s="509">
        <f>SUM(R96:R117)</f>
        <v>13871</v>
      </c>
      <c r="S118" s="510" t="s">
        <v>89</v>
      </c>
      <c r="T118" s="542"/>
      <c r="U118" s="543"/>
      <c r="V118" s="544">
        <f>SUM(V96:V117)</f>
        <v>110800</v>
      </c>
      <c r="W118" s="510" t="s">
        <v>89</v>
      </c>
      <c r="X118" s="542"/>
      <c r="Y118" s="542"/>
      <c r="Z118" s="570">
        <f>SUM(Z96:Z117)</f>
        <v>879403</v>
      </c>
    </row>
    <row r="119">
      <c r="A119" s="173"/>
      <c r="B119" s="504" t="s">
        <v>181</v>
      </c>
      <c r="C119" s="504" t="s">
        <v>2</v>
      </c>
      <c r="D119" s="13" t="s">
        <v>182</v>
      </c>
      <c r="E119" s="13" t="s">
        <v>4</v>
      </c>
      <c r="F119" s="13" t="s">
        <v>5</v>
      </c>
      <c r="G119" s="504" t="s">
        <v>6</v>
      </c>
      <c r="H119" s="504" t="s">
        <v>7</v>
      </c>
      <c r="I119" s="505" t="s">
        <v>8</v>
      </c>
      <c r="J119" s="505" t="s">
        <v>9</v>
      </c>
      <c r="K119" s="506" t="s">
        <v>10</v>
      </c>
      <c r="L119" s="506" t="s">
        <v>11</v>
      </c>
      <c r="M119" s="507" t="s">
        <v>476</v>
      </c>
      <c r="N119" s="507" t="s">
        <v>13</v>
      </c>
      <c r="O119" s="504" t="s">
        <v>14</v>
      </c>
      <c r="P119" s="508" t="s">
        <v>15</v>
      </c>
      <c r="Q119" s="13" t="s">
        <v>16</v>
      </c>
      <c r="R119" s="13" t="s">
        <v>17</v>
      </c>
      <c r="S119" s="510" t="s">
        <v>21</v>
      </c>
      <c r="T119" s="510" t="s">
        <v>22</v>
      </c>
      <c r="U119" s="511" t="s">
        <v>23</v>
      </c>
      <c r="V119" s="511" t="s">
        <v>24</v>
      </c>
      <c r="W119" s="510" t="s">
        <v>25</v>
      </c>
      <c r="X119" s="510" t="s">
        <v>26</v>
      </c>
      <c r="Y119" s="510" t="s">
        <v>27</v>
      </c>
      <c r="Z119" s="510" t="s">
        <v>28</v>
      </c>
    </row>
    <row r="120">
      <c r="A120" s="502" t="s">
        <v>29</v>
      </c>
      <c r="B120" s="527">
        <f>I130/E137</f>
        <v>0</v>
      </c>
      <c r="C120" s="512">
        <f>I120/E137</f>
        <v>0</v>
      </c>
      <c r="D120" s="601" t="s">
        <v>413</v>
      </c>
      <c r="E120" s="344" t="s">
        <v>185</v>
      </c>
      <c r="F120" s="195">
        <v>7.2</v>
      </c>
      <c r="G120" s="217"/>
      <c r="H120" s="522">
        <v>255640.0</v>
      </c>
      <c r="I120" s="217">
        <v>0.0</v>
      </c>
      <c r="J120" s="217">
        <v>21888.0</v>
      </c>
      <c r="K120" s="568"/>
      <c r="L120" s="452"/>
      <c r="M120" s="602">
        <v>24249.0</v>
      </c>
      <c r="N120" s="603">
        <f t="shared" ref="N120:N122" si="70">L120-J120</f>
        <v>-21888</v>
      </c>
      <c r="O120" s="604">
        <f t="shared" ref="O120:O122" si="71">M120/J120-1</f>
        <v>0.1078673246</v>
      </c>
      <c r="P120" s="578">
        <f t="shared" ref="P120:P122" si="72">H120*O120</f>
        <v>27575.20285</v>
      </c>
      <c r="Q120" s="528"/>
      <c r="R120" s="528"/>
      <c r="S120" s="519" t="s">
        <v>186</v>
      </c>
      <c r="T120" s="520">
        <v>44788.0</v>
      </c>
      <c r="U120" s="522">
        <v>24249.0</v>
      </c>
      <c r="V120" s="522">
        <v>283215.0</v>
      </c>
      <c r="W120" s="519" t="s">
        <v>186</v>
      </c>
      <c r="X120" s="520">
        <v>44769.0</v>
      </c>
      <c r="Y120" s="522">
        <v>21888.0</v>
      </c>
      <c r="Z120" s="522">
        <v>255640.0</v>
      </c>
    </row>
    <row r="121">
      <c r="A121" s="528"/>
      <c r="B121" s="528"/>
      <c r="C121" s="512">
        <f>I121/E137</f>
        <v>0</v>
      </c>
      <c r="D121" s="104" t="s">
        <v>414</v>
      </c>
      <c r="E121" s="529" t="s">
        <v>188</v>
      </c>
      <c r="F121" s="195">
        <v>7.4</v>
      </c>
      <c r="G121" s="217"/>
      <c r="H121" s="522">
        <v>355000.0</v>
      </c>
      <c r="I121" s="217">
        <v>0.0</v>
      </c>
      <c r="J121" s="217">
        <v>1598.0</v>
      </c>
      <c r="K121" s="568"/>
      <c r="L121" s="452"/>
      <c r="M121" s="602">
        <v>1611.0</v>
      </c>
      <c r="N121" s="603">
        <f t="shared" si="70"/>
        <v>-1598</v>
      </c>
      <c r="O121" s="604">
        <f t="shared" si="71"/>
        <v>0.008135168961</v>
      </c>
      <c r="P121" s="578">
        <f t="shared" si="72"/>
        <v>2887.984981</v>
      </c>
      <c r="Q121" s="528"/>
      <c r="R121" s="528"/>
      <c r="S121" s="519" t="s">
        <v>189</v>
      </c>
      <c r="T121" s="520">
        <v>44817.0</v>
      </c>
      <c r="U121" s="522">
        <v>1611.0</v>
      </c>
      <c r="V121" s="522">
        <v>357888.0</v>
      </c>
      <c r="W121" s="519" t="s">
        <v>189</v>
      </c>
      <c r="X121" s="520">
        <v>44809.0</v>
      </c>
      <c r="Y121" s="522">
        <v>1598.0</v>
      </c>
      <c r="Z121" s="522">
        <v>355000.0</v>
      </c>
    </row>
    <row r="122">
      <c r="A122" s="528"/>
      <c r="B122" s="528"/>
      <c r="C122" s="512">
        <f>I122/E137</f>
        <v>0</v>
      </c>
      <c r="D122" s="104" t="s">
        <v>414</v>
      </c>
      <c r="E122" s="529" t="s">
        <v>188</v>
      </c>
      <c r="F122" s="195">
        <v>7.4</v>
      </c>
      <c r="G122" s="217"/>
      <c r="H122" s="522">
        <v>173248.0</v>
      </c>
      <c r="I122" s="217">
        <v>0.0</v>
      </c>
      <c r="J122" s="217">
        <v>1538.0</v>
      </c>
      <c r="K122" s="568"/>
      <c r="L122" s="452"/>
      <c r="M122" s="602">
        <v>1914.0</v>
      </c>
      <c r="N122" s="603">
        <f t="shared" si="70"/>
        <v>-1538</v>
      </c>
      <c r="O122" s="604">
        <f t="shared" si="71"/>
        <v>0.244473342</v>
      </c>
      <c r="P122" s="578">
        <f t="shared" si="72"/>
        <v>42354.51756</v>
      </c>
      <c r="Q122" s="528"/>
      <c r="R122" s="528"/>
      <c r="S122" s="519" t="s">
        <v>189</v>
      </c>
      <c r="T122" s="520">
        <v>44788.0</v>
      </c>
      <c r="U122" s="522">
        <v>1914.0</v>
      </c>
      <c r="V122" s="522">
        <v>215603.0</v>
      </c>
      <c r="W122" s="519" t="s">
        <v>189</v>
      </c>
      <c r="X122" s="520">
        <v>44769.0</v>
      </c>
      <c r="Y122" s="522">
        <v>1538.0</v>
      </c>
      <c r="Z122" s="522">
        <v>173248.0</v>
      </c>
    </row>
    <row r="123">
      <c r="A123" s="528"/>
      <c r="B123" s="528"/>
      <c r="C123" s="512">
        <f>I123/E137</f>
        <v>0</v>
      </c>
      <c r="D123" s="104" t="s">
        <v>574</v>
      </c>
      <c r="E123" s="529" t="s">
        <v>213</v>
      </c>
      <c r="F123" s="195">
        <v>7.0</v>
      </c>
      <c r="G123" s="217"/>
      <c r="H123" s="217"/>
      <c r="I123" s="217"/>
      <c r="J123" s="216"/>
      <c r="K123" s="568"/>
      <c r="L123" s="452"/>
      <c r="M123" s="605"/>
      <c r="N123" s="606"/>
      <c r="O123" s="604"/>
      <c r="P123" s="606"/>
      <c r="Q123" s="528"/>
      <c r="R123" s="528"/>
      <c r="S123" s="519"/>
      <c r="T123" s="520"/>
      <c r="U123" s="521"/>
      <c r="V123" s="522"/>
      <c r="W123" s="519"/>
      <c r="X123" s="520"/>
      <c r="Y123" s="531"/>
      <c r="Z123" s="522"/>
    </row>
    <row r="124">
      <c r="A124" s="528"/>
      <c r="B124" s="528"/>
      <c r="C124" s="512">
        <f>I124/E137</f>
        <v>0</v>
      </c>
      <c r="D124" s="344" t="s">
        <v>209</v>
      </c>
      <c r="E124" s="344" t="s">
        <v>210</v>
      </c>
      <c r="F124" s="195">
        <v>7.1</v>
      </c>
      <c r="G124" s="217"/>
      <c r="H124" s="522">
        <v>155000.0</v>
      </c>
      <c r="I124" s="217">
        <v>0.0</v>
      </c>
      <c r="J124" s="216">
        <v>8.03</v>
      </c>
      <c r="K124" s="568"/>
      <c r="L124" s="452"/>
      <c r="M124" s="605">
        <v>7.54</v>
      </c>
      <c r="N124" s="603">
        <f t="shared" ref="N124:N129" si="73">L124-J124</f>
        <v>-8.03</v>
      </c>
      <c r="O124" s="604">
        <f t="shared" ref="O124:O129" si="74">M124/J124-1</f>
        <v>-0.06102117061</v>
      </c>
      <c r="P124" s="578">
        <f t="shared" ref="P124:P129" si="75">H124*O124</f>
        <v>-9458.281445</v>
      </c>
      <c r="Q124" s="528"/>
      <c r="R124" s="528"/>
      <c r="S124" s="519" t="s">
        <v>211</v>
      </c>
      <c r="T124" s="520">
        <v>44817.0</v>
      </c>
      <c r="U124" s="521">
        <v>7.54</v>
      </c>
      <c r="V124" s="522">
        <v>145542.0</v>
      </c>
      <c r="W124" s="519" t="s">
        <v>211</v>
      </c>
      <c r="X124" s="520">
        <v>44813.0</v>
      </c>
      <c r="Y124" s="531">
        <v>8.03</v>
      </c>
      <c r="Z124" s="522">
        <v>155000.0</v>
      </c>
    </row>
    <row r="125">
      <c r="A125" s="528"/>
      <c r="B125" s="528"/>
      <c r="C125" s="512">
        <f>I125/E137</f>
        <v>0</v>
      </c>
      <c r="D125" s="344" t="s">
        <v>209</v>
      </c>
      <c r="E125" s="344" t="s">
        <v>210</v>
      </c>
      <c r="F125" s="195">
        <v>7.1</v>
      </c>
      <c r="G125" s="217"/>
      <c r="H125" s="522">
        <v>120247.0</v>
      </c>
      <c r="I125" s="217">
        <v>0.0</v>
      </c>
      <c r="J125" s="216">
        <v>6.49</v>
      </c>
      <c r="K125" s="568"/>
      <c r="L125" s="452"/>
      <c r="M125" s="605">
        <v>8.68</v>
      </c>
      <c r="N125" s="603">
        <f t="shared" si="73"/>
        <v>-6.49</v>
      </c>
      <c r="O125" s="604">
        <f t="shared" si="74"/>
        <v>0.3374422188</v>
      </c>
      <c r="P125" s="578">
        <f t="shared" si="75"/>
        <v>40576.41448</v>
      </c>
      <c r="Q125" s="528"/>
      <c r="R125" s="528"/>
      <c r="S125" s="519" t="s">
        <v>211</v>
      </c>
      <c r="T125" s="520">
        <v>44782.0</v>
      </c>
      <c r="U125" s="521">
        <v>8.68</v>
      </c>
      <c r="V125" s="522">
        <v>160823.0</v>
      </c>
      <c r="W125" s="519" t="s">
        <v>211</v>
      </c>
      <c r="X125" s="520">
        <v>44769.0</v>
      </c>
      <c r="Y125" s="531">
        <v>6.49</v>
      </c>
      <c r="Z125" s="522">
        <v>120247.0</v>
      </c>
    </row>
    <row r="126">
      <c r="A126" s="528"/>
      <c r="B126" s="528"/>
      <c r="C126" s="512">
        <f>I126/E137</f>
        <v>0</v>
      </c>
      <c r="D126" s="104" t="s">
        <v>509</v>
      </c>
      <c r="E126" s="104" t="s">
        <v>510</v>
      </c>
      <c r="F126" s="195">
        <v>7.2</v>
      </c>
      <c r="G126" s="217"/>
      <c r="H126" s="522">
        <v>247650.0</v>
      </c>
      <c r="I126" s="217">
        <v>0.0</v>
      </c>
      <c r="J126" s="216">
        <v>33.9</v>
      </c>
      <c r="K126" s="568"/>
      <c r="L126" s="452"/>
      <c r="M126" s="605">
        <v>36.69</v>
      </c>
      <c r="N126" s="603">
        <f t="shared" si="73"/>
        <v>-33.9</v>
      </c>
      <c r="O126" s="604">
        <f t="shared" si="74"/>
        <v>0.08230088496</v>
      </c>
      <c r="P126" s="578">
        <f t="shared" si="75"/>
        <v>20381.81416</v>
      </c>
      <c r="Q126" s="528"/>
      <c r="R126" s="528"/>
      <c r="S126" s="519" t="s">
        <v>511</v>
      </c>
      <c r="T126" s="520">
        <v>44817.0</v>
      </c>
      <c r="U126" s="521">
        <v>36.69</v>
      </c>
      <c r="V126" s="522">
        <v>268032.0</v>
      </c>
      <c r="W126" s="519" t="s">
        <v>511</v>
      </c>
      <c r="X126" s="520">
        <v>44813.0</v>
      </c>
      <c r="Y126" s="531">
        <v>33.9</v>
      </c>
      <c r="Z126" s="522">
        <v>247650.0</v>
      </c>
    </row>
    <row r="127">
      <c r="A127" s="528"/>
      <c r="B127" s="528"/>
      <c r="C127" s="512">
        <f>I127/E137</f>
        <v>0</v>
      </c>
      <c r="D127" s="104" t="s">
        <v>509</v>
      </c>
      <c r="E127" s="104" t="s">
        <v>510</v>
      </c>
      <c r="F127" s="195">
        <v>7.2</v>
      </c>
      <c r="G127" s="217"/>
      <c r="H127" s="522">
        <v>135681.0</v>
      </c>
      <c r="I127" s="217">
        <v>0.0</v>
      </c>
      <c r="J127" s="216">
        <v>37.64</v>
      </c>
      <c r="K127" s="568"/>
      <c r="L127" s="452"/>
      <c r="M127" s="605">
        <v>40.35</v>
      </c>
      <c r="N127" s="603">
        <f t="shared" si="73"/>
        <v>-37.64</v>
      </c>
      <c r="O127" s="604">
        <f t="shared" si="74"/>
        <v>0.0719978746</v>
      </c>
      <c r="P127" s="578">
        <f t="shared" si="75"/>
        <v>9768.743624</v>
      </c>
      <c r="Q127" s="528"/>
      <c r="R127" s="528"/>
      <c r="S127" s="519" t="s">
        <v>511</v>
      </c>
      <c r="T127" s="520">
        <v>44782.0</v>
      </c>
      <c r="U127" s="521">
        <v>40.35</v>
      </c>
      <c r="V127" s="522">
        <v>145450.0</v>
      </c>
      <c r="W127" s="519" t="s">
        <v>511</v>
      </c>
      <c r="X127" s="520">
        <v>44769.0</v>
      </c>
      <c r="Y127" s="531">
        <v>37.64</v>
      </c>
      <c r="Z127" s="522">
        <v>135681.0</v>
      </c>
    </row>
    <row r="128">
      <c r="A128" s="528"/>
      <c r="B128" s="528"/>
      <c r="C128" s="512">
        <f>I128/E137</f>
        <v>0</v>
      </c>
      <c r="D128" s="104" t="s">
        <v>417</v>
      </c>
      <c r="E128" s="104" t="s">
        <v>418</v>
      </c>
      <c r="F128" s="195">
        <v>7.0</v>
      </c>
      <c r="G128" s="217"/>
      <c r="H128" s="217">
        <v>180442.0</v>
      </c>
      <c r="I128" s="217">
        <v>0.0</v>
      </c>
      <c r="J128" s="216">
        <v>65.3</v>
      </c>
      <c r="K128" s="568"/>
      <c r="L128" s="452"/>
      <c r="M128" s="216">
        <v>60.8</v>
      </c>
      <c r="N128" s="603">
        <f t="shared" si="73"/>
        <v>-65.3</v>
      </c>
      <c r="O128" s="604">
        <f t="shared" si="74"/>
        <v>-0.06891271057</v>
      </c>
      <c r="P128" s="578">
        <f t="shared" si="75"/>
        <v>-12434.74732</v>
      </c>
      <c r="Q128" s="528"/>
      <c r="R128" s="528"/>
      <c r="S128" s="519" t="s">
        <v>419</v>
      </c>
      <c r="T128" s="520">
        <v>44817.0</v>
      </c>
      <c r="U128" s="521">
        <v>60.8</v>
      </c>
      <c r="V128" s="522">
        <v>168007.0</v>
      </c>
      <c r="W128" s="519" t="s">
        <v>419</v>
      </c>
      <c r="X128" s="520">
        <v>44816.0</v>
      </c>
      <c r="Y128" s="531">
        <v>65.3</v>
      </c>
      <c r="Z128" s="522">
        <v>180442.0</v>
      </c>
    </row>
    <row r="129">
      <c r="A129" s="528"/>
      <c r="B129" s="528"/>
      <c r="C129" s="512">
        <f>I129/E137</f>
        <v>0</v>
      </c>
      <c r="D129" s="104" t="s">
        <v>622</v>
      </c>
      <c r="E129" s="104" t="s">
        <v>195</v>
      </c>
      <c r="F129" s="195">
        <v>7.1</v>
      </c>
      <c r="G129" s="217"/>
      <c r="H129" s="217">
        <v>160000.0</v>
      </c>
      <c r="I129" s="217">
        <v>0.0</v>
      </c>
      <c r="J129" s="216">
        <v>8.0</v>
      </c>
      <c r="K129" s="568"/>
      <c r="L129" s="452"/>
      <c r="M129" s="216">
        <v>7.49</v>
      </c>
      <c r="N129" s="603">
        <f t="shared" si="73"/>
        <v>-8</v>
      </c>
      <c r="O129" s="604">
        <f t="shared" si="74"/>
        <v>-0.06375</v>
      </c>
      <c r="P129" s="578">
        <f t="shared" si="75"/>
        <v>-10200</v>
      </c>
      <c r="Q129" s="528"/>
      <c r="R129" s="528"/>
      <c r="S129" s="519" t="s">
        <v>196</v>
      </c>
      <c r="T129" s="520">
        <v>44817.0</v>
      </c>
      <c r="U129" s="521">
        <v>7.49</v>
      </c>
      <c r="V129" s="522">
        <v>149800.0</v>
      </c>
      <c r="W129" s="519" t="s">
        <v>196</v>
      </c>
      <c r="X129" s="520">
        <v>44816.0</v>
      </c>
      <c r="Y129" s="531">
        <v>8.0</v>
      </c>
      <c r="Z129" s="522">
        <v>160000.0</v>
      </c>
    </row>
    <row r="130">
      <c r="A130" s="13"/>
      <c r="B130" s="13"/>
      <c r="C130" s="504" t="s">
        <v>89</v>
      </c>
      <c r="D130" s="173"/>
      <c r="E130" s="173"/>
      <c r="F130" s="173"/>
      <c r="G130" s="509"/>
      <c r="H130" s="509">
        <f t="shared" ref="H130:I130" si="76">SUM(H120:H129)</f>
        <v>1782908</v>
      </c>
      <c r="I130" s="193">
        <f t="shared" si="76"/>
        <v>0</v>
      </c>
      <c r="J130" s="607"/>
      <c r="K130" s="173"/>
      <c r="L130" s="13"/>
      <c r="M130" s="173"/>
      <c r="N130" s="173"/>
      <c r="O130" s="541">
        <f>F135</f>
        <v>0.06251135785</v>
      </c>
      <c r="P130" s="193">
        <f>SUM(P120:P129)</f>
        <v>111451.6489</v>
      </c>
      <c r="Q130" s="173"/>
      <c r="R130" s="173"/>
      <c r="S130" s="510" t="s">
        <v>89</v>
      </c>
      <c r="T130" s="542"/>
      <c r="U130" s="543"/>
      <c r="V130" s="570">
        <f>SUM(V120:V129)</f>
        <v>1894360</v>
      </c>
      <c r="W130" s="510" t="s">
        <v>89</v>
      </c>
      <c r="X130" s="542"/>
      <c r="Y130" s="608"/>
      <c r="Z130" s="544">
        <f>SUM(Z120:Z129)</f>
        <v>1782908</v>
      </c>
    </row>
    <row r="131">
      <c r="A131" s="13" t="s">
        <v>227</v>
      </c>
      <c r="B131" s="13" t="s">
        <v>228</v>
      </c>
      <c r="C131" s="504" t="s">
        <v>229</v>
      </c>
      <c r="D131" s="504" t="s">
        <v>642</v>
      </c>
      <c r="E131" s="504" t="s">
        <v>643</v>
      </c>
      <c r="F131" s="504" t="s">
        <v>14</v>
      </c>
      <c r="G131" s="504" t="s">
        <v>644</v>
      </c>
      <c r="H131" s="13" t="s">
        <v>233</v>
      </c>
      <c r="I131" s="13" t="s">
        <v>234</v>
      </c>
      <c r="J131" s="609" t="s">
        <v>627</v>
      </c>
      <c r="K131" s="609" t="s">
        <v>423</v>
      </c>
      <c r="L131" s="173"/>
      <c r="M131" s="173"/>
      <c r="N131" s="173"/>
      <c r="O131" s="173"/>
      <c r="P131" s="173"/>
      <c r="Q131" s="173"/>
      <c r="R131" s="610"/>
      <c r="S131" s="610"/>
      <c r="T131" s="610"/>
      <c r="U131" s="610"/>
      <c r="V131" s="610"/>
      <c r="W131" s="610"/>
      <c r="X131" s="610"/>
      <c r="Y131" s="610"/>
      <c r="Z131" s="610"/>
    </row>
    <row r="132">
      <c r="A132" s="344" t="s">
        <v>374</v>
      </c>
      <c r="B132" s="512">
        <f>E132/E137</f>
        <v>0.3710582051</v>
      </c>
      <c r="C132" s="514">
        <f>H29+H36+H43+H55+H84+H89+H75+H67</f>
        <v>9415511.4</v>
      </c>
      <c r="D132" s="611">
        <v>7001254.0</v>
      </c>
      <c r="E132" s="217">
        <v>3812652.0</v>
      </c>
      <c r="F132" s="518">
        <f t="shared" ref="F132:F135" si="77">G132/C132</f>
        <v>-0.006988467987</v>
      </c>
      <c r="G132" s="612">
        <v>-65800.0</v>
      </c>
      <c r="H132" s="612">
        <v>185040.0</v>
      </c>
      <c r="I132" s="612">
        <f>R118+R94+R89+R84+R75+R67+R55+R43+R36+R29</f>
        <v>40253</v>
      </c>
      <c r="J132" s="612">
        <v>258280.0</v>
      </c>
      <c r="K132" s="612">
        <f>G132+H132+I132+J132</f>
        <v>417773</v>
      </c>
      <c r="L132" s="528"/>
      <c r="M132" s="528"/>
      <c r="N132" s="528"/>
      <c r="O132" s="528"/>
      <c r="P132" s="528"/>
      <c r="Q132" s="528"/>
      <c r="R132" s="610"/>
      <c r="S132" s="610"/>
      <c r="T132" s="610"/>
      <c r="U132" s="610"/>
      <c r="V132" s="610"/>
      <c r="W132" s="610"/>
      <c r="X132" s="610"/>
      <c r="Y132" s="610"/>
      <c r="Z132" s="610"/>
    </row>
    <row r="133">
      <c r="A133" s="344" t="s">
        <v>409</v>
      </c>
      <c r="B133" s="512">
        <f>E133/E137</f>
        <v>0.2774203758</v>
      </c>
      <c r="C133" s="514">
        <f>H118</f>
        <v>3130968.5</v>
      </c>
      <c r="D133" s="217">
        <v>2251566.0</v>
      </c>
      <c r="E133" s="217">
        <v>2850516.0</v>
      </c>
      <c r="F133" s="518">
        <f t="shared" si="77"/>
        <v>-0.05418547009</v>
      </c>
      <c r="G133" s="612">
        <v>-169653.0</v>
      </c>
      <c r="H133" s="613"/>
      <c r="I133" s="518"/>
      <c r="J133" s="518"/>
      <c r="K133" s="518">
        <f>K132/C132</f>
        <v>0.04437071788</v>
      </c>
      <c r="L133" s="528"/>
      <c r="M133" s="528"/>
      <c r="N133" s="528"/>
      <c r="O133" s="528"/>
      <c r="P133" s="528"/>
      <c r="Q133" s="528"/>
      <c r="R133" s="610"/>
      <c r="S133" s="610"/>
      <c r="T133" s="610"/>
      <c r="U133" s="610"/>
      <c r="V133" s="610"/>
      <c r="W133" s="610"/>
      <c r="X133" s="610"/>
      <c r="Y133" s="610"/>
      <c r="Z133" s="610"/>
    </row>
    <row r="134">
      <c r="A134" s="104" t="s">
        <v>542</v>
      </c>
      <c r="B134" s="512">
        <f>E134/E137</f>
        <v>0.04035979094</v>
      </c>
      <c r="C134" s="514">
        <f>H94</f>
        <v>667700</v>
      </c>
      <c r="D134" s="217">
        <v>667700.0</v>
      </c>
      <c r="E134" s="217">
        <v>414700.0</v>
      </c>
      <c r="F134" s="518">
        <f t="shared" si="77"/>
        <v>-0.0673056762</v>
      </c>
      <c r="G134" s="612">
        <v>-44940.0</v>
      </c>
      <c r="H134" s="614"/>
      <c r="I134" s="614"/>
      <c r="J134" s="614"/>
      <c r="K134" s="614"/>
      <c r="L134" s="528"/>
      <c r="M134" s="528"/>
      <c r="N134" s="528"/>
      <c r="O134" s="528"/>
      <c r="P134" s="528"/>
      <c r="Q134" s="528"/>
      <c r="R134" s="610"/>
      <c r="S134" s="610"/>
      <c r="T134" s="610"/>
      <c r="U134" s="610"/>
      <c r="V134" s="610"/>
      <c r="W134" s="610"/>
      <c r="X134" s="610"/>
      <c r="Y134" s="610"/>
      <c r="Z134" s="610"/>
    </row>
    <row r="135">
      <c r="A135" s="344" t="s">
        <v>240</v>
      </c>
      <c r="B135" s="512">
        <f>E135/E137</f>
        <v>0</v>
      </c>
      <c r="C135" s="514">
        <f>H130</f>
        <v>1782908</v>
      </c>
      <c r="D135" s="217">
        <v>0.0</v>
      </c>
      <c r="E135" s="217">
        <v>0.0</v>
      </c>
      <c r="F135" s="518">
        <f t="shared" si="77"/>
        <v>0.06251135785</v>
      </c>
      <c r="G135" s="612">
        <v>111452.0</v>
      </c>
      <c r="H135" s="614"/>
      <c r="I135" s="614"/>
      <c r="J135" s="614"/>
      <c r="K135" s="614"/>
      <c r="L135" s="528"/>
      <c r="M135" s="528"/>
      <c r="N135" s="528"/>
      <c r="O135" s="528"/>
      <c r="P135" s="528"/>
      <c r="Q135" s="528"/>
      <c r="R135" s="610"/>
      <c r="S135" s="610"/>
      <c r="T135" s="610"/>
      <c r="U135" s="610"/>
      <c r="V135" s="610"/>
      <c r="W135" s="610"/>
      <c r="X135" s="610"/>
      <c r="Y135" s="610"/>
      <c r="Z135" s="610"/>
    </row>
    <row r="136">
      <c r="A136" s="344" t="s">
        <v>461</v>
      </c>
      <c r="B136" s="512">
        <f>E136/E137</f>
        <v>0.3093699143</v>
      </c>
      <c r="C136" s="217" t="s">
        <v>128</v>
      </c>
      <c r="D136" s="217">
        <f>D137-D134-D133-D132</f>
        <v>39926</v>
      </c>
      <c r="E136" s="217">
        <v>3178800.0</v>
      </c>
      <c r="F136" s="588" t="s">
        <v>128</v>
      </c>
      <c r="G136" s="612">
        <v>483573.0</v>
      </c>
      <c r="H136" s="224"/>
      <c r="I136" s="224"/>
      <c r="J136" s="224"/>
      <c r="K136" s="224"/>
      <c r="L136" s="528"/>
      <c r="M136" s="528"/>
      <c r="N136" s="528"/>
      <c r="O136" s="528"/>
      <c r="P136" s="528"/>
      <c r="Q136" s="528"/>
      <c r="R136" s="610"/>
      <c r="S136" s="610"/>
      <c r="T136" s="610"/>
      <c r="U136" s="610"/>
      <c r="V136" s="610"/>
      <c r="W136" s="610"/>
      <c r="X136" s="610"/>
      <c r="Y136" s="610"/>
      <c r="Z136" s="610"/>
    </row>
    <row r="137">
      <c r="A137" s="13" t="s">
        <v>246</v>
      </c>
      <c r="B137" s="615">
        <v>1.0</v>
      </c>
      <c r="C137" s="616" t="s">
        <v>128</v>
      </c>
      <c r="D137" s="193">
        <v>9960446.0</v>
      </c>
      <c r="E137" s="193">
        <v>1.0275078E7</v>
      </c>
      <c r="F137" s="518">
        <f>G137/D137</f>
        <v>0.03158814374</v>
      </c>
      <c r="G137" s="193">
        <v>314632.0</v>
      </c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610"/>
      <c r="S137" s="610"/>
      <c r="T137" s="610"/>
      <c r="U137" s="610"/>
      <c r="V137" s="610"/>
      <c r="W137" s="610"/>
      <c r="X137" s="610"/>
      <c r="Y137" s="610"/>
      <c r="Z137" s="610"/>
    </row>
    <row r="138">
      <c r="A138" s="610"/>
      <c r="B138" s="610"/>
      <c r="C138" s="610"/>
      <c r="D138" s="610"/>
      <c r="E138" s="610"/>
      <c r="F138" s="610"/>
      <c r="G138" s="610"/>
      <c r="H138" s="610"/>
      <c r="I138" s="610"/>
      <c r="J138" s="610"/>
      <c r="K138" s="610"/>
      <c r="L138" s="610"/>
      <c r="M138" s="610"/>
      <c r="N138" s="610"/>
      <c r="O138" s="610"/>
      <c r="P138" s="610"/>
      <c r="Q138" s="610"/>
      <c r="R138" s="610"/>
      <c r="S138" s="610"/>
      <c r="T138" s="610"/>
      <c r="U138" s="610"/>
      <c r="V138" s="610"/>
      <c r="W138" s="610"/>
      <c r="X138" s="610"/>
      <c r="Y138" s="610"/>
      <c r="Z138" s="610"/>
    </row>
    <row r="139">
      <c r="A139" s="201" t="s">
        <v>248</v>
      </c>
      <c r="B139" s="617"/>
      <c r="C139" s="618" t="s">
        <v>645</v>
      </c>
      <c r="D139" s="618" t="s">
        <v>646</v>
      </c>
      <c r="E139" s="619" t="s">
        <v>15</v>
      </c>
      <c r="F139" s="620" t="s">
        <v>578</v>
      </c>
      <c r="G139" s="610"/>
      <c r="H139" s="610"/>
      <c r="I139" s="610"/>
      <c r="J139" s="610"/>
      <c r="K139" s="610"/>
      <c r="L139" s="610"/>
      <c r="M139" s="610"/>
      <c r="N139" s="610"/>
      <c r="O139" s="610"/>
      <c r="P139" s="610"/>
      <c r="Q139" s="610"/>
      <c r="R139" s="610"/>
      <c r="S139" s="610"/>
      <c r="T139" s="610"/>
      <c r="U139" s="610"/>
      <c r="V139" s="610"/>
      <c r="W139" s="610"/>
      <c r="X139" s="610"/>
      <c r="Y139" s="610"/>
      <c r="Z139" s="610"/>
    </row>
    <row r="140">
      <c r="A140" s="89" t="s">
        <v>265</v>
      </c>
      <c r="B140" s="16" t="s">
        <v>266</v>
      </c>
      <c r="C140" s="621">
        <v>30753.0</v>
      </c>
      <c r="D140" s="621">
        <v>28726.0</v>
      </c>
      <c r="E140" s="206">
        <f t="shared" ref="E140:E144" si="78">D140-C140</f>
        <v>-2027</v>
      </c>
      <c r="F140" s="622">
        <f t="shared" ref="F140:F144" si="79">D140/C140-1</f>
        <v>-0.06591226872</v>
      </c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610"/>
    </row>
    <row r="141">
      <c r="A141" s="89" t="s">
        <v>267</v>
      </c>
      <c r="B141" s="16" t="s">
        <v>268</v>
      </c>
      <c r="C141" s="621">
        <v>3785.0</v>
      </c>
      <c r="D141" s="621">
        <v>3586.0</v>
      </c>
      <c r="E141" s="206">
        <f t="shared" si="78"/>
        <v>-199</v>
      </c>
      <c r="F141" s="622">
        <f t="shared" si="79"/>
        <v>-0.05257595773</v>
      </c>
      <c r="G141" s="610"/>
      <c r="H141" s="610"/>
      <c r="I141" s="610"/>
      <c r="J141" s="610"/>
      <c r="K141" s="610"/>
      <c r="L141" s="610"/>
      <c r="M141" s="610"/>
      <c r="N141" s="610"/>
      <c r="O141" s="610"/>
      <c r="P141" s="610"/>
      <c r="Q141" s="610"/>
      <c r="R141" s="610"/>
      <c r="S141" s="610"/>
      <c r="T141" s="610"/>
      <c r="U141" s="610"/>
      <c r="V141" s="610"/>
      <c r="W141" s="610"/>
      <c r="X141" s="610"/>
      <c r="Y141" s="610"/>
      <c r="Z141" s="610"/>
    </row>
    <row r="142">
      <c r="A142" s="89" t="s">
        <v>269</v>
      </c>
      <c r="B142" s="16" t="s">
        <v>270</v>
      </c>
      <c r="C142" s="621">
        <v>11020.0</v>
      </c>
      <c r="D142" s="621">
        <v>10576.0</v>
      </c>
      <c r="E142" s="206">
        <f t="shared" si="78"/>
        <v>-444</v>
      </c>
      <c r="F142" s="622">
        <f t="shared" si="79"/>
        <v>-0.04029038113</v>
      </c>
      <c r="G142" s="610"/>
      <c r="H142" s="623"/>
      <c r="I142" s="610"/>
      <c r="J142" s="610"/>
      <c r="K142" s="610"/>
      <c r="L142" s="610"/>
      <c r="M142" s="610"/>
      <c r="N142" s="610"/>
      <c r="O142" s="610"/>
      <c r="P142" s="610"/>
      <c r="Q142" s="610"/>
      <c r="R142" s="610"/>
      <c r="S142" s="610"/>
      <c r="T142" s="610"/>
      <c r="U142" s="610"/>
      <c r="V142" s="610"/>
      <c r="W142" s="610"/>
      <c r="X142" s="610"/>
      <c r="Y142" s="610"/>
      <c r="Z142" s="610"/>
    </row>
    <row r="143">
      <c r="A143" s="89" t="s">
        <v>271</v>
      </c>
      <c r="B143" s="16" t="s">
        <v>272</v>
      </c>
      <c r="C143" s="621">
        <v>1708.0</v>
      </c>
      <c r="D143" s="621">
        <v>1665.0</v>
      </c>
      <c r="E143" s="206">
        <f t="shared" si="78"/>
        <v>-43</v>
      </c>
      <c r="F143" s="622">
        <f t="shared" si="79"/>
        <v>-0.02517564403</v>
      </c>
      <c r="G143" s="610"/>
      <c r="H143" s="610"/>
      <c r="I143" s="610"/>
      <c r="J143" s="610"/>
      <c r="K143" s="610"/>
      <c r="L143" s="610"/>
      <c r="M143" s="610"/>
      <c r="N143" s="610"/>
      <c r="O143" s="610"/>
      <c r="P143" s="610"/>
      <c r="Q143" s="610"/>
      <c r="R143" s="610"/>
      <c r="S143" s="610"/>
      <c r="T143" s="610"/>
      <c r="U143" s="610"/>
      <c r="V143" s="610"/>
      <c r="W143" s="610"/>
      <c r="X143" s="610"/>
      <c r="Y143" s="610"/>
      <c r="Z143" s="610"/>
    </row>
    <row r="144">
      <c r="A144" s="89" t="s">
        <v>273</v>
      </c>
      <c r="B144" s="16" t="s">
        <v>274</v>
      </c>
      <c r="C144" s="621">
        <v>14472.0</v>
      </c>
      <c r="D144" s="621">
        <v>13472.0</v>
      </c>
      <c r="E144" s="206">
        <f t="shared" si="78"/>
        <v>-1000</v>
      </c>
      <c r="F144" s="622">
        <f t="shared" si="79"/>
        <v>-0.0690989497</v>
      </c>
      <c r="G144" s="610"/>
      <c r="H144" s="610"/>
      <c r="I144" s="610"/>
      <c r="J144" s="610"/>
      <c r="K144" s="610"/>
      <c r="L144" s="610"/>
      <c r="M144" s="610"/>
      <c r="N144" s="610"/>
      <c r="O144" s="610"/>
      <c r="P144" s="610"/>
      <c r="Q144" s="610"/>
      <c r="R144" s="610"/>
      <c r="S144" s="610"/>
      <c r="T144" s="610"/>
      <c r="U144" s="610"/>
      <c r="V144" s="610"/>
      <c r="W144" s="610"/>
      <c r="X144" s="610"/>
      <c r="Y144" s="610"/>
      <c r="Z144" s="610"/>
    </row>
    <row r="145">
      <c r="A145" s="610"/>
      <c r="B145" s="610"/>
      <c r="C145" s="610"/>
      <c r="D145" s="610"/>
      <c r="E145" s="610"/>
      <c r="F145" s="610"/>
      <c r="G145" s="610"/>
      <c r="H145" s="610"/>
      <c r="I145" s="610"/>
      <c r="J145" s="610"/>
      <c r="K145" s="610"/>
      <c r="L145" s="610"/>
      <c r="M145" s="610"/>
      <c r="N145" s="610"/>
      <c r="O145" s="610"/>
      <c r="P145" s="610"/>
      <c r="Q145" s="610"/>
      <c r="R145" s="610"/>
      <c r="S145" s="610"/>
      <c r="T145" s="610"/>
      <c r="U145" s="610"/>
      <c r="V145" s="610"/>
      <c r="W145" s="610"/>
      <c r="X145" s="610"/>
      <c r="Y145" s="610"/>
      <c r="Z145" s="610"/>
    </row>
    <row r="146">
      <c r="A146" s="610"/>
      <c r="B146" s="610"/>
      <c r="C146" s="610"/>
      <c r="D146" s="610"/>
      <c r="E146" s="610"/>
      <c r="F146" s="610"/>
      <c r="G146" s="610"/>
      <c r="H146" s="610"/>
      <c r="I146" s="610"/>
      <c r="J146" s="610"/>
      <c r="K146" s="610"/>
      <c r="L146" s="610"/>
      <c r="M146" s="610"/>
      <c r="N146" s="610"/>
      <c r="O146" s="610"/>
      <c r="P146" s="610"/>
      <c r="Q146" s="610"/>
      <c r="R146" s="610"/>
      <c r="S146" s="610"/>
      <c r="T146" s="610"/>
      <c r="U146" s="610"/>
      <c r="V146" s="610"/>
      <c r="W146" s="610"/>
      <c r="X146" s="610"/>
      <c r="Y146" s="610"/>
      <c r="Z146" s="610"/>
    </row>
    <row r="147">
      <c r="A147" s="610"/>
      <c r="B147" s="610"/>
      <c r="C147" s="610"/>
      <c r="D147" s="610"/>
      <c r="E147" s="610"/>
      <c r="F147" s="610"/>
      <c r="G147" s="610"/>
      <c r="H147" s="610"/>
      <c r="I147" s="624"/>
      <c r="J147" s="624"/>
      <c r="K147" s="610"/>
      <c r="L147" s="610"/>
      <c r="M147" s="610"/>
      <c r="N147" s="610"/>
      <c r="O147" s="610"/>
      <c r="P147" s="610"/>
      <c r="Q147" s="610"/>
      <c r="R147" s="610"/>
      <c r="S147" s="610"/>
      <c r="T147" s="610"/>
      <c r="U147" s="610"/>
      <c r="V147" s="610"/>
      <c r="W147" s="610"/>
      <c r="X147" s="610"/>
      <c r="Y147" s="610"/>
      <c r="Z147" s="610"/>
    </row>
    <row r="148">
      <c r="A148" s="610"/>
      <c r="B148" s="610"/>
      <c r="C148" s="610"/>
      <c r="D148" s="610"/>
      <c r="E148" s="610"/>
      <c r="F148" s="610"/>
      <c r="G148" s="610"/>
      <c r="H148" s="610"/>
      <c r="I148" s="624"/>
      <c r="J148" s="624"/>
      <c r="K148" s="610"/>
      <c r="L148" s="610"/>
      <c r="M148" s="610"/>
      <c r="N148" s="610"/>
      <c r="O148" s="610"/>
      <c r="P148" s="610"/>
      <c r="Q148" s="610"/>
      <c r="R148" s="610"/>
      <c r="S148" s="610"/>
      <c r="T148" s="610"/>
      <c r="U148" s="610"/>
      <c r="V148" s="610"/>
      <c r="W148" s="610"/>
      <c r="X148" s="610"/>
      <c r="Y148" s="610"/>
      <c r="Z148" s="610"/>
    </row>
    <row r="149">
      <c r="A149" s="610"/>
      <c r="B149" s="610"/>
      <c r="C149" s="610"/>
      <c r="D149" s="610"/>
      <c r="E149" s="610"/>
      <c r="F149" s="610"/>
      <c r="G149" s="610"/>
      <c r="H149" s="610"/>
      <c r="I149" s="624"/>
      <c r="J149" s="624"/>
      <c r="K149" s="610"/>
      <c r="L149" s="610"/>
      <c r="M149" s="610"/>
      <c r="N149" s="610"/>
      <c r="O149" s="610"/>
      <c r="P149" s="610"/>
      <c r="Q149" s="610"/>
      <c r="R149" s="610"/>
      <c r="S149" s="610"/>
      <c r="T149" s="610"/>
      <c r="U149" s="610"/>
      <c r="V149" s="610"/>
      <c r="W149" s="610"/>
      <c r="X149" s="610"/>
      <c r="Y149" s="610"/>
      <c r="Z149" s="610"/>
    </row>
    <row r="150">
      <c r="A150" s="610"/>
      <c r="B150" s="610"/>
      <c r="C150" s="610"/>
      <c r="D150" s="610"/>
      <c r="E150" s="610"/>
      <c r="F150" s="610"/>
      <c r="G150" s="610"/>
      <c r="H150" s="610"/>
      <c r="I150" s="624"/>
      <c r="J150" s="624"/>
      <c r="K150" s="624"/>
      <c r="L150" s="610"/>
      <c r="M150" s="610"/>
      <c r="N150" s="610"/>
      <c r="O150" s="610"/>
      <c r="P150" s="610"/>
      <c r="Q150" s="610"/>
      <c r="R150" s="610"/>
      <c r="S150" s="610"/>
      <c r="T150" s="610"/>
      <c r="U150" s="610"/>
      <c r="V150" s="610"/>
      <c r="W150" s="610"/>
      <c r="X150" s="610"/>
      <c r="Y150" s="610"/>
      <c r="Z150" s="610"/>
    </row>
    <row r="151">
      <c r="A151" s="610"/>
      <c r="B151" s="610"/>
      <c r="C151" s="610"/>
      <c r="D151" s="610"/>
      <c r="E151" s="610"/>
      <c r="F151" s="610"/>
      <c r="G151" s="610"/>
      <c r="H151" s="610"/>
      <c r="I151" s="624"/>
      <c r="J151" s="624"/>
      <c r="K151" s="624"/>
      <c r="L151" s="610"/>
      <c r="M151" s="610"/>
      <c r="N151" s="610"/>
      <c r="O151" s="610"/>
      <c r="P151" s="610"/>
      <c r="Q151" s="610"/>
      <c r="R151" s="610"/>
      <c r="S151" s="610"/>
      <c r="T151" s="610"/>
      <c r="U151" s="610"/>
      <c r="V151" s="610"/>
      <c r="W151" s="610"/>
      <c r="X151" s="610"/>
      <c r="Y151" s="610"/>
      <c r="Z151" s="610"/>
    </row>
    <row r="152">
      <c r="A152" s="610"/>
      <c r="B152" s="610"/>
      <c r="C152" s="610"/>
      <c r="D152" s="610"/>
      <c r="E152" s="610"/>
      <c r="F152" s="610"/>
      <c r="G152" s="610"/>
      <c r="H152" s="610"/>
      <c r="I152" s="624"/>
      <c r="J152" s="624"/>
      <c r="K152" s="624"/>
      <c r="L152" s="610"/>
      <c r="M152" s="610"/>
      <c r="N152" s="610"/>
      <c r="O152" s="610"/>
      <c r="P152" s="610"/>
      <c r="Q152" s="610"/>
      <c r="R152" s="610"/>
      <c r="S152" s="610"/>
      <c r="T152" s="610"/>
      <c r="U152" s="610"/>
      <c r="V152" s="610"/>
      <c r="W152" s="610"/>
      <c r="X152" s="610"/>
      <c r="Y152" s="610"/>
      <c r="Z152" s="610"/>
    </row>
    <row r="153">
      <c r="A153" s="610"/>
      <c r="B153" s="610"/>
      <c r="C153" s="610"/>
      <c r="D153" s="610"/>
      <c r="E153" s="610"/>
      <c r="F153" s="610"/>
      <c r="G153" s="610"/>
      <c r="H153" s="610"/>
      <c r="I153" s="624"/>
      <c r="J153" s="624"/>
      <c r="K153" s="624"/>
      <c r="L153" s="610"/>
      <c r="M153" s="610"/>
      <c r="N153" s="610"/>
      <c r="O153" s="610"/>
      <c r="P153" s="610"/>
      <c r="Q153" s="610"/>
      <c r="R153" s="610"/>
      <c r="S153" s="610"/>
      <c r="T153" s="610"/>
      <c r="U153" s="610"/>
      <c r="V153" s="610"/>
      <c r="W153" s="610"/>
      <c r="X153" s="610"/>
      <c r="Y153" s="610"/>
      <c r="Z153" s="610"/>
    </row>
    <row r="154">
      <c r="A154" s="610"/>
      <c r="B154" s="610"/>
      <c r="C154" s="610"/>
      <c r="D154" s="610"/>
      <c r="E154" s="610"/>
      <c r="F154" s="610"/>
      <c r="G154" s="610"/>
      <c r="H154" s="610"/>
      <c r="I154" s="610"/>
      <c r="J154" s="624"/>
      <c r="K154" s="624"/>
      <c r="L154" s="610"/>
      <c r="M154" s="610"/>
      <c r="N154" s="610"/>
      <c r="O154" s="610"/>
      <c r="P154" s="610"/>
      <c r="Q154" s="610"/>
      <c r="R154" s="610"/>
      <c r="S154" s="610"/>
      <c r="T154" s="610"/>
      <c r="U154" s="610"/>
      <c r="V154" s="610"/>
      <c r="W154" s="610"/>
      <c r="X154" s="610"/>
      <c r="Y154" s="610"/>
      <c r="Z154" s="610"/>
    </row>
    <row r="155">
      <c r="A155" s="610"/>
      <c r="B155" s="610"/>
      <c r="C155" s="610"/>
      <c r="D155" s="610"/>
      <c r="E155" s="610"/>
      <c r="F155" s="610"/>
      <c r="G155" s="610"/>
      <c r="H155" s="610"/>
      <c r="I155" s="610"/>
      <c r="J155" s="610"/>
      <c r="K155" s="610"/>
      <c r="L155" s="610"/>
      <c r="M155" s="610"/>
      <c r="N155" s="610"/>
      <c r="O155" s="610"/>
      <c r="P155" s="610"/>
      <c r="Q155" s="610"/>
      <c r="R155" s="610"/>
      <c r="S155" s="610"/>
      <c r="T155" s="610"/>
      <c r="U155" s="610"/>
      <c r="V155" s="610"/>
      <c r="W155" s="610"/>
      <c r="X155" s="610"/>
      <c r="Y155" s="610"/>
      <c r="Z155" s="610"/>
    </row>
    <row r="156">
      <c r="A156" s="610"/>
      <c r="B156" s="610"/>
      <c r="C156" s="610"/>
      <c r="D156" s="610"/>
      <c r="E156" s="610"/>
      <c r="F156" s="610"/>
      <c r="G156" s="610"/>
      <c r="H156" s="610"/>
      <c r="I156" s="610"/>
      <c r="J156" s="610"/>
      <c r="K156" s="610"/>
      <c r="L156" s="610"/>
      <c r="M156" s="610"/>
      <c r="N156" s="610"/>
      <c r="O156" s="610"/>
      <c r="P156" s="610"/>
      <c r="Q156" s="610"/>
      <c r="R156" s="610"/>
      <c r="S156" s="610"/>
      <c r="T156" s="610"/>
      <c r="U156" s="610"/>
      <c r="V156" s="610"/>
      <c r="W156" s="610"/>
      <c r="X156" s="610"/>
      <c r="Y156" s="610"/>
      <c r="Z156" s="610"/>
    </row>
    <row r="157">
      <c r="A157" s="610"/>
      <c r="B157" s="610"/>
      <c r="C157" s="610"/>
      <c r="D157" s="610"/>
      <c r="E157" s="610"/>
      <c r="F157" s="610"/>
      <c r="G157" s="610"/>
      <c r="H157" s="610"/>
      <c r="I157" s="610"/>
      <c r="J157" s="610"/>
      <c r="K157" s="610"/>
      <c r="L157" s="610"/>
      <c r="M157" s="610"/>
      <c r="N157" s="610"/>
      <c r="O157" s="610"/>
      <c r="P157" s="610"/>
      <c r="Q157" s="610"/>
      <c r="R157" s="610"/>
      <c r="S157" s="610"/>
      <c r="T157" s="610"/>
      <c r="U157" s="610"/>
      <c r="V157" s="610"/>
      <c r="W157" s="610"/>
      <c r="X157" s="610"/>
      <c r="Y157" s="610"/>
      <c r="Z157" s="610"/>
    </row>
    <row r="158">
      <c r="A158" s="610"/>
      <c r="B158" s="610"/>
      <c r="C158" s="610"/>
      <c r="D158" s="610"/>
      <c r="E158" s="610"/>
      <c r="F158" s="610"/>
      <c r="G158" s="610"/>
      <c r="H158" s="610"/>
      <c r="I158" s="610"/>
      <c r="J158" s="610"/>
      <c r="K158" s="610"/>
      <c r="L158" s="610"/>
      <c r="M158" s="610"/>
      <c r="N158" s="610"/>
      <c r="O158" s="610"/>
      <c r="P158" s="610"/>
      <c r="Q158" s="610"/>
      <c r="R158" s="610"/>
      <c r="S158" s="610"/>
      <c r="T158" s="610"/>
      <c r="U158" s="610"/>
      <c r="V158" s="610"/>
      <c r="W158" s="610"/>
      <c r="X158" s="610"/>
      <c r="Y158" s="610"/>
      <c r="Z158" s="610"/>
    </row>
    <row r="159">
      <c r="A159" s="610"/>
      <c r="B159" s="610"/>
      <c r="C159" s="610"/>
      <c r="D159" s="610"/>
      <c r="E159" s="610"/>
      <c r="F159" s="610"/>
      <c r="G159" s="610"/>
      <c r="H159" s="610"/>
      <c r="I159" s="610"/>
      <c r="J159" s="610"/>
      <c r="K159" s="610"/>
      <c r="L159" s="610"/>
      <c r="M159" s="610"/>
      <c r="N159" s="610"/>
      <c r="O159" s="610"/>
      <c r="P159" s="610"/>
      <c r="Q159" s="610"/>
      <c r="R159" s="610"/>
      <c r="S159" s="610"/>
      <c r="T159" s="610"/>
      <c r="U159" s="610"/>
      <c r="V159" s="610"/>
      <c r="W159" s="610"/>
      <c r="X159" s="610"/>
      <c r="Y159" s="610"/>
      <c r="Z159" s="610"/>
    </row>
    <row r="160">
      <c r="A160" s="610"/>
      <c r="B160" s="610"/>
      <c r="C160" s="610"/>
      <c r="D160" s="610"/>
      <c r="E160" s="610"/>
      <c r="F160" s="610"/>
      <c r="G160" s="610"/>
      <c r="H160" s="610"/>
      <c r="I160" s="610"/>
      <c r="J160" s="610"/>
      <c r="K160" s="610"/>
      <c r="L160" s="610"/>
      <c r="M160" s="610"/>
      <c r="N160" s="610"/>
      <c r="O160" s="610"/>
      <c r="P160" s="610"/>
      <c r="Q160" s="610"/>
      <c r="R160" s="610"/>
      <c r="S160" s="610"/>
      <c r="T160" s="610"/>
      <c r="U160" s="610"/>
      <c r="V160" s="610"/>
      <c r="W160" s="610"/>
      <c r="X160" s="610"/>
      <c r="Y160" s="610"/>
      <c r="Z160" s="610"/>
    </row>
    <row r="161">
      <c r="A161" s="610"/>
      <c r="B161" s="610"/>
      <c r="C161" s="610"/>
      <c r="D161" s="610"/>
      <c r="E161" s="610"/>
      <c r="F161" s="610"/>
      <c r="G161" s="610"/>
      <c r="H161" s="610"/>
      <c r="I161" s="610"/>
      <c r="J161" s="610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</row>
    <row r="162">
      <c r="A162" s="610"/>
      <c r="B162" s="610"/>
      <c r="C162" s="610"/>
      <c r="D162" s="610"/>
      <c r="E162" s="610"/>
      <c r="F162" s="610"/>
      <c r="G162" s="610"/>
      <c r="H162" s="610"/>
      <c r="I162" s="610"/>
      <c r="J162" s="610"/>
      <c r="K162" s="610"/>
      <c r="L162" s="610"/>
      <c r="M162" s="610"/>
      <c r="N162" s="610"/>
      <c r="O162" s="610"/>
      <c r="P162" s="610"/>
      <c r="Q162" s="610"/>
      <c r="R162" s="610"/>
      <c r="S162" s="610"/>
      <c r="T162" s="610"/>
      <c r="U162" s="610"/>
      <c r="V162" s="610"/>
      <c r="W162" s="610"/>
      <c r="X162" s="610"/>
      <c r="Y162" s="610"/>
      <c r="Z162" s="610"/>
    </row>
    <row r="163">
      <c r="A163" s="610"/>
      <c r="B163" s="610"/>
      <c r="C163" s="610"/>
      <c r="D163" s="610"/>
      <c r="E163" s="610"/>
      <c r="F163" s="610"/>
      <c r="G163" s="610"/>
      <c r="H163" s="610"/>
      <c r="I163" s="610"/>
      <c r="J163" s="610"/>
      <c r="K163" s="610"/>
      <c r="L163" s="610"/>
      <c r="M163" s="610"/>
      <c r="N163" s="610"/>
      <c r="O163" s="610"/>
      <c r="P163" s="610"/>
      <c r="Q163" s="610"/>
      <c r="R163" s="610"/>
      <c r="S163" s="610"/>
      <c r="T163" s="610"/>
      <c r="U163" s="610"/>
      <c r="V163" s="610"/>
      <c r="W163" s="610"/>
      <c r="X163" s="610"/>
      <c r="Y163" s="610"/>
      <c r="Z163" s="610"/>
    </row>
    <row r="164">
      <c r="A164" s="610"/>
      <c r="B164" s="610"/>
      <c r="C164" s="610"/>
      <c r="D164" s="610"/>
      <c r="E164" s="610"/>
      <c r="F164" s="610"/>
      <c r="G164" s="610"/>
      <c r="H164" s="610"/>
      <c r="I164" s="610"/>
      <c r="J164" s="610"/>
      <c r="K164" s="610"/>
      <c r="L164" s="610"/>
      <c r="M164" s="610"/>
      <c r="N164" s="610"/>
      <c r="O164" s="610"/>
      <c r="P164" s="610"/>
      <c r="Q164" s="610"/>
      <c r="R164" s="610"/>
      <c r="S164" s="610"/>
      <c r="T164" s="610"/>
      <c r="U164" s="610"/>
      <c r="V164" s="610"/>
      <c r="W164" s="610"/>
      <c r="X164" s="610"/>
      <c r="Y164" s="610"/>
      <c r="Z164" s="610"/>
    </row>
    <row r="165">
      <c r="A165" s="610"/>
      <c r="B165" s="610"/>
      <c r="C165" s="610"/>
      <c r="D165" s="610"/>
      <c r="E165" s="610"/>
      <c r="F165" s="610"/>
      <c r="G165" s="610"/>
      <c r="H165" s="610"/>
      <c r="I165" s="610"/>
      <c r="J165" s="610"/>
      <c r="K165" s="610"/>
      <c r="L165" s="610"/>
      <c r="M165" s="610"/>
      <c r="N165" s="610"/>
      <c r="O165" s="610"/>
      <c r="P165" s="610"/>
      <c r="Q165" s="610"/>
      <c r="R165" s="610"/>
      <c r="S165" s="610"/>
      <c r="T165" s="610"/>
      <c r="U165" s="610"/>
      <c r="V165" s="610"/>
      <c r="W165" s="610"/>
      <c r="X165" s="610"/>
      <c r="Y165" s="610"/>
      <c r="Z165" s="610"/>
    </row>
    <row r="166">
      <c r="A166" s="610"/>
      <c r="B166" s="610"/>
      <c r="C166" s="610"/>
      <c r="D166" s="610"/>
      <c r="E166" s="610"/>
      <c r="F166" s="610"/>
      <c r="G166" s="610"/>
      <c r="H166" s="610"/>
      <c r="I166" s="610"/>
      <c r="J166" s="610"/>
      <c r="K166" s="610"/>
      <c r="L166" s="610"/>
      <c r="M166" s="610"/>
      <c r="N166" s="610"/>
      <c r="O166" s="610"/>
      <c r="P166" s="610"/>
      <c r="Q166" s="610"/>
      <c r="R166" s="610"/>
      <c r="S166" s="610"/>
      <c r="T166" s="610"/>
      <c r="U166" s="610"/>
      <c r="V166" s="610"/>
      <c r="W166" s="610"/>
      <c r="X166" s="610"/>
      <c r="Y166" s="610"/>
      <c r="Z166" s="610"/>
    </row>
    <row r="167">
      <c r="A167" s="610"/>
      <c r="B167" s="610"/>
      <c r="C167" s="610"/>
      <c r="D167" s="610"/>
      <c r="E167" s="610"/>
      <c r="F167" s="610"/>
      <c r="G167" s="610"/>
      <c r="H167" s="610"/>
      <c r="I167" s="610"/>
      <c r="J167" s="610"/>
      <c r="K167" s="610"/>
      <c r="L167" s="610"/>
      <c r="M167" s="610"/>
      <c r="N167" s="610"/>
      <c r="O167" s="610"/>
      <c r="P167" s="610"/>
      <c r="Q167" s="610"/>
      <c r="R167" s="610"/>
      <c r="S167" s="610"/>
      <c r="T167" s="610"/>
      <c r="U167" s="610"/>
      <c r="V167" s="610"/>
      <c r="W167" s="610"/>
      <c r="X167" s="610"/>
      <c r="Y167" s="610"/>
      <c r="Z167" s="610"/>
    </row>
    <row r="168">
      <c r="A168" s="610"/>
      <c r="B168" s="610"/>
      <c r="C168" s="610"/>
      <c r="D168" s="610"/>
      <c r="E168" s="610"/>
      <c r="F168" s="610"/>
      <c r="G168" s="610"/>
      <c r="H168" s="610"/>
      <c r="I168" s="610"/>
      <c r="J168" s="610"/>
      <c r="K168" s="610"/>
      <c r="L168" s="610"/>
      <c r="M168" s="610"/>
      <c r="N168" s="610"/>
      <c r="O168" s="610"/>
      <c r="P168" s="610"/>
      <c r="Q168" s="610"/>
      <c r="R168" s="610"/>
      <c r="S168" s="610"/>
      <c r="T168" s="610"/>
      <c r="U168" s="610"/>
      <c r="V168" s="610"/>
      <c r="W168" s="610"/>
      <c r="X168" s="610"/>
      <c r="Y168" s="610"/>
      <c r="Z168" s="610"/>
    </row>
    <row r="169">
      <c r="A169" s="610"/>
      <c r="B169" s="610"/>
      <c r="C169" s="610"/>
      <c r="D169" s="610"/>
      <c r="E169" s="610"/>
      <c r="F169" s="610"/>
      <c r="G169" s="610"/>
      <c r="H169" s="610"/>
      <c r="I169" s="610"/>
      <c r="J169" s="610"/>
      <c r="K169" s="610"/>
      <c r="L169" s="610"/>
      <c r="M169" s="610"/>
      <c r="N169" s="610"/>
      <c r="O169" s="610"/>
      <c r="P169" s="610"/>
      <c r="Q169" s="610"/>
      <c r="R169" s="610"/>
      <c r="S169" s="610"/>
      <c r="T169" s="610"/>
      <c r="U169" s="610"/>
      <c r="V169" s="610"/>
      <c r="W169" s="610"/>
      <c r="X169" s="610"/>
      <c r="Y169" s="610"/>
      <c r="Z169" s="610"/>
    </row>
    <row r="170">
      <c r="A170" s="610"/>
      <c r="B170" s="610"/>
      <c r="C170" s="610"/>
      <c r="D170" s="610"/>
      <c r="E170" s="610"/>
      <c r="F170" s="610"/>
      <c r="G170" s="610"/>
      <c r="H170" s="610"/>
      <c r="I170" s="610"/>
      <c r="J170" s="610"/>
      <c r="K170" s="610"/>
      <c r="L170" s="610"/>
      <c r="M170" s="610"/>
      <c r="N170" s="610"/>
      <c r="O170" s="610"/>
      <c r="P170" s="610"/>
      <c r="Q170" s="610"/>
      <c r="R170" s="610"/>
      <c r="S170" s="610"/>
      <c r="T170" s="610"/>
      <c r="U170" s="610"/>
      <c r="V170" s="610"/>
      <c r="W170" s="610"/>
      <c r="X170" s="610"/>
      <c r="Y170" s="610"/>
      <c r="Z170" s="610"/>
    </row>
    <row r="171">
      <c r="A171" s="610"/>
      <c r="B171" s="610"/>
      <c r="C171" s="610"/>
      <c r="D171" s="610"/>
      <c r="E171" s="610"/>
      <c r="F171" s="610"/>
      <c r="G171" s="610"/>
      <c r="H171" s="610"/>
      <c r="I171" s="610"/>
      <c r="J171" s="610"/>
      <c r="K171" s="610"/>
      <c r="L171" s="610"/>
      <c r="M171" s="610"/>
      <c r="N171" s="610"/>
      <c r="O171" s="610"/>
      <c r="P171" s="610"/>
      <c r="Q171" s="610"/>
      <c r="R171" s="610"/>
      <c r="S171" s="610"/>
      <c r="T171" s="610"/>
      <c r="U171" s="610"/>
      <c r="V171" s="610"/>
      <c r="W171" s="610"/>
      <c r="X171" s="610"/>
      <c r="Y171" s="610"/>
      <c r="Z171" s="610"/>
    </row>
    <row r="172">
      <c r="A172" s="610"/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</row>
    <row r="173">
      <c r="A173" s="610"/>
      <c r="B173" s="610"/>
      <c r="C173" s="610"/>
      <c r="D173" s="610"/>
      <c r="E173" s="610"/>
      <c r="F173" s="610"/>
      <c r="G173" s="610"/>
      <c r="H173" s="610"/>
      <c r="I173" s="610"/>
      <c r="J173" s="610"/>
      <c r="K173" s="610"/>
      <c r="L173" s="610"/>
      <c r="M173" s="610"/>
      <c r="N173" s="610"/>
      <c r="O173" s="610"/>
      <c r="P173" s="610"/>
      <c r="Q173" s="610"/>
      <c r="R173" s="610"/>
      <c r="S173" s="610"/>
      <c r="T173" s="610"/>
      <c r="U173" s="610"/>
      <c r="V173" s="610"/>
      <c r="W173" s="610"/>
      <c r="X173" s="610"/>
      <c r="Y173" s="610"/>
      <c r="Z173" s="610"/>
    </row>
    <row r="174">
      <c r="A174" s="610"/>
      <c r="B174" s="610"/>
      <c r="C174" s="610"/>
      <c r="D174" s="610"/>
      <c r="E174" s="610"/>
      <c r="F174" s="610"/>
      <c r="G174" s="610"/>
      <c r="H174" s="610"/>
      <c r="I174" s="610"/>
      <c r="J174" s="610"/>
      <c r="K174" s="610"/>
      <c r="L174" s="610"/>
      <c r="M174" s="610"/>
      <c r="N174" s="610"/>
      <c r="O174" s="610"/>
      <c r="P174" s="610"/>
      <c r="Q174" s="610"/>
      <c r="R174" s="610"/>
      <c r="S174" s="610"/>
      <c r="T174" s="610"/>
      <c r="U174" s="610"/>
      <c r="V174" s="610"/>
      <c r="W174" s="610"/>
      <c r="X174" s="610"/>
      <c r="Y174" s="610"/>
      <c r="Z174" s="610"/>
    </row>
    <row r="175">
      <c r="A175" s="610"/>
      <c r="B175" s="610"/>
      <c r="C175" s="610"/>
      <c r="D175" s="610"/>
      <c r="E175" s="610"/>
      <c r="F175" s="610"/>
      <c r="G175" s="610"/>
      <c r="H175" s="610"/>
      <c r="I175" s="610"/>
      <c r="J175" s="610"/>
      <c r="K175" s="610"/>
      <c r="L175" s="610"/>
      <c r="M175" s="610"/>
      <c r="N175" s="610"/>
      <c r="O175" s="610"/>
      <c r="P175" s="610"/>
      <c r="Q175" s="610"/>
      <c r="R175" s="610"/>
      <c r="S175" s="610"/>
      <c r="T175" s="610"/>
      <c r="U175" s="610"/>
      <c r="V175" s="610"/>
      <c r="W175" s="610"/>
      <c r="X175" s="610"/>
      <c r="Y175" s="610"/>
      <c r="Z175" s="6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25.63"/>
    <col customWidth="1" min="3" max="3" width="19.88"/>
    <col customWidth="1" min="4" max="4" width="20.13"/>
    <col customWidth="1" min="5" max="5" width="24.13"/>
    <col customWidth="1" min="6" max="6" width="10.63"/>
    <col customWidth="1" min="8" max="8" width="22.63"/>
    <col customWidth="1" min="9" max="9" width="23.75"/>
    <col customWidth="1" min="10" max="10" width="16.5"/>
    <col customWidth="1" min="11" max="11" width="18.13"/>
    <col customWidth="1" min="12" max="12" width="11.25"/>
    <col customWidth="1" min="13" max="13" width="8.63"/>
    <col customWidth="1" min="14" max="14" width="11.13"/>
    <col customWidth="1" min="15" max="15" width="10.63"/>
    <col customWidth="1" min="16" max="16" width="8.88"/>
    <col customWidth="1" min="17" max="17" width="7.75"/>
    <col customWidth="1" min="18" max="18" width="9.63"/>
    <col customWidth="1" min="19" max="19" width="13.25"/>
  </cols>
  <sheetData>
    <row r="1">
      <c r="A1" s="502" t="s">
        <v>557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9"/>
      <c r="T1" s="229"/>
      <c r="U1" s="229"/>
      <c r="V1" s="229"/>
      <c r="W1" s="229"/>
      <c r="X1" s="229"/>
      <c r="Y1" s="229"/>
      <c r="Z1" s="229"/>
    </row>
    <row r="2">
      <c r="A2" s="13" t="s">
        <v>374</v>
      </c>
      <c r="B2" s="504" t="s">
        <v>647</v>
      </c>
      <c r="C2" s="504" t="s">
        <v>2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7</v>
      </c>
      <c r="I2" s="505" t="s">
        <v>8</v>
      </c>
      <c r="J2" s="505" t="s">
        <v>9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14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04" t="s">
        <v>29</v>
      </c>
      <c r="B3" s="504" t="s">
        <v>29</v>
      </c>
      <c r="C3" s="512">
        <f>I3/E147</f>
        <v>0</v>
      </c>
      <c r="D3" s="344" t="s">
        <v>30</v>
      </c>
      <c r="E3" s="344" t="s">
        <v>31</v>
      </c>
      <c r="F3" s="195">
        <v>7.3</v>
      </c>
      <c r="G3" s="513">
        <v>100.0</v>
      </c>
      <c r="H3" s="217">
        <f t="shared" ref="H3:H32" si="1">G3*J3</f>
        <v>279040</v>
      </c>
      <c r="I3" s="217">
        <v>0.0</v>
      </c>
      <c r="J3" s="216">
        <v>2790.4</v>
      </c>
      <c r="K3" s="515">
        <f>IFERROR(__xludf.DUMMYFUNCTION("GOOGLEFINANCE(E3,""changepct"")"),-0.7)</f>
        <v>-0.7</v>
      </c>
      <c r="L3" s="516">
        <f>IFERROR(__xludf.DUMMYFUNCTION("googlefinance(E3,""price"")"),192.69)</f>
        <v>192.69</v>
      </c>
      <c r="M3" s="216">
        <v>2262.41</v>
      </c>
      <c r="N3" s="517">
        <f t="shared" ref="N3:N32" si="2">L3-J3</f>
        <v>-2597.71</v>
      </c>
      <c r="O3" s="518">
        <f>M3/J3-1</f>
        <v>-0.1892165998</v>
      </c>
      <c r="P3" s="514">
        <f t="shared" ref="P3:P32" si="3">H3*O3</f>
        <v>-52799</v>
      </c>
      <c r="Q3" s="512"/>
      <c r="R3" s="514"/>
      <c r="S3" s="519" t="s">
        <v>31</v>
      </c>
      <c r="T3" s="520">
        <v>44722.0</v>
      </c>
      <c r="U3" s="521">
        <v>2262.41</v>
      </c>
      <c r="V3" s="522">
        <v>226241.0</v>
      </c>
      <c r="W3" s="523"/>
      <c r="X3" s="524"/>
      <c r="Y3" s="525"/>
      <c r="Z3" s="526"/>
    </row>
    <row r="4">
      <c r="A4" s="527">
        <f>B143</f>
        <v>0.642482676</v>
      </c>
      <c r="B4" s="527">
        <f>I33/E147</f>
        <v>0.3034850749</v>
      </c>
      <c r="C4" s="512">
        <f>I4/E147</f>
        <v>0.0474870302</v>
      </c>
      <c r="D4" s="344" t="s">
        <v>632</v>
      </c>
      <c r="E4" s="104" t="s">
        <v>59</v>
      </c>
      <c r="F4" s="195">
        <v>7.2</v>
      </c>
      <c r="G4" s="513">
        <v>800.0</v>
      </c>
      <c r="H4" s="217">
        <f t="shared" si="1"/>
        <v>177840</v>
      </c>
      <c r="I4" s="514">
        <f t="shared" ref="I4:I6" si="4">H4+P4</f>
        <v>472992</v>
      </c>
      <c r="J4" s="216">
        <v>222.3</v>
      </c>
      <c r="K4" s="515">
        <f>IFERROR(__xludf.DUMMYFUNCTION("GOOGLEFINANCE(E4,""changepct"")"),-1.43)</f>
        <v>-1.43</v>
      </c>
      <c r="L4" s="516">
        <f>IFERROR(__xludf.DUMMYFUNCTION("googlefinance(E4,""price"")"),591.24)</f>
        <v>591.24</v>
      </c>
      <c r="M4" s="517"/>
      <c r="N4" s="517">
        <f t="shared" si="2"/>
        <v>368.94</v>
      </c>
      <c r="O4" s="518">
        <f t="shared" ref="O4:O6" si="5">L4/J4-1</f>
        <v>1.659649123</v>
      </c>
      <c r="P4" s="514">
        <f t="shared" si="3"/>
        <v>295152</v>
      </c>
      <c r="Q4" s="512"/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528"/>
      <c r="B5" s="528"/>
      <c r="C5" s="512">
        <f>I5/E147</f>
        <v>0.0009672759633</v>
      </c>
      <c r="D5" s="344" t="s">
        <v>30</v>
      </c>
      <c r="E5" s="344" t="s">
        <v>31</v>
      </c>
      <c r="F5" s="195">
        <v>7.3</v>
      </c>
      <c r="G5" s="513">
        <v>50.0</v>
      </c>
      <c r="H5" s="217">
        <f t="shared" si="1"/>
        <v>107950</v>
      </c>
      <c r="I5" s="514">
        <f t="shared" si="4"/>
        <v>9634.5</v>
      </c>
      <c r="J5" s="216">
        <v>2159.0</v>
      </c>
      <c r="K5" s="515">
        <f>IFERROR(__xludf.DUMMYFUNCTION("GOOGLEFINANCE(E5,""changepct"")"),-0.7)</f>
        <v>-0.7</v>
      </c>
      <c r="L5" s="516">
        <f>IFERROR(__xludf.DUMMYFUNCTION("googlefinance(E5,""price"")"),192.69)</f>
        <v>192.69</v>
      </c>
      <c r="M5" s="216"/>
      <c r="N5" s="517">
        <f t="shared" si="2"/>
        <v>-1966.31</v>
      </c>
      <c r="O5" s="518">
        <f t="shared" si="5"/>
        <v>-0.9107503474</v>
      </c>
      <c r="P5" s="514">
        <f t="shared" si="3"/>
        <v>-98315.5</v>
      </c>
      <c r="Q5" s="512"/>
      <c r="R5" s="514"/>
      <c r="S5" s="519"/>
      <c r="T5" s="520"/>
      <c r="U5" s="531"/>
      <c r="V5" s="522"/>
      <c r="W5" s="519" t="s">
        <v>31</v>
      </c>
      <c r="X5" s="520">
        <v>44725.0</v>
      </c>
      <c r="Y5" s="521">
        <v>2159.0</v>
      </c>
      <c r="Z5" s="522">
        <v>107950.0</v>
      </c>
    </row>
    <row r="6">
      <c r="A6" s="528"/>
      <c r="B6" s="528"/>
      <c r="C6" s="512">
        <f>I6/E147</f>
        <v>0.01756547849</v>
      </c>
      <c r="D6" s="529" t="s">
        <v>298</v>
      </c>
      <c r="E6" s="529" t="s">
        <v>299</v>
      </c>
      <c r="F6" s="530">
        <v>7.5</v>
      </c>
      <c r="G6" s="513">
        <v>2000.0</v>
      </c>
      <c r="H6" s="217">
        <f t="shared" si="1"/>
        <v>128380</v>
      </c>
      <c r="I6" s="514">
        <f t="shared" si="4"/>
        <v>174960</v>
      </c>
      <c r="J6" s="216">
        <v>64.19</v>
      </c>
      <c r="K6" s="515">
        <f>IFERROR(__xludf.DUMMYFUNCTION("GOOGLEFINANCE(E6,""changepct"")"),-1.67)</f>
        <v>-1.67</v>
      </c>
      <c r="L6" s="516">
        <f>IFERROR(__xludf.DUMMYFUNCTION("googlefinance(E6,""price"")"),87.48)</f>
        <v>87.48</v>
      </c>
      <c r="M6" s="216"/>
      <c r="N6" s="517">
        <f t="shared" si="2"/>
        <v>23.29</v>
      </c>
      <c r="O6" s="518">
        <f t="shared" si="5"/>
        <v>0.3628291011</v>
      </c>
      <c r="P6" s="514">
        <f t="shared" si="3"/>
        <v>46580</v>
      </c>
      <c r="Q6" s="512"/>
      <c r="R6" s="514"/>
      <c r="S6" s="519"/>
      <c r="T6" s="520"/>
      <c r="U6" s="531"/>
      <c r="V6" s="522"/>
      <c r="W6" s="519" t="s">
        <v>299</v>
      </c>
      <c r="X6" s="520">
        <v>44735.0</v>
      </c>
      <c r="Y6" s="521">
        <v>64.19</v>
      </c>
      <c r="Z6" s="522">
        <v>128380.0</v>
      </c>
    </row>
    <row r="7">
      <c r="A7" s="528"/>
      <c r="B7" s="528"/>
      <c r="C7" s="512">
        <f>I7/E147</f>
        <v>0</v>
      </c>
      <c r="D7" s="529" t="s">
        <v>648</v>
      </c>
      <c r="E7" s="529" t="s">
        <v>36</v>
      </c>
      <c r="F7" s="530">
        <v>6.9</v>
      </c>
      <c r="G7" s="513">
        <v>150.0</v>
      </c>
      <c r="H7" s="217">
        <f t="shared" si="1"/>
        <v>160726.5</v>
      </c>
      <c r="I7" s="217">
        <v>0.0</v>
      </c>
      <c r="J7" s="216">
        <v>1071.51</v>
      </c>
      <c r="K7" s="515">
        <f>IFERROR(__xludf.DUMMYFUNCTION("GOOGLEFINANCE(E7,""changepct"")"),-3.3)</f>
        <v>-3.3</v>
      </c>
      <c r="L7" s="516">
        <f>IFERROR(__xludf.DUMMYFUNCTION("googlefinance(E7,""price"")"),417.41)</f>
        <v>417.41</v>
      </c>
      <c r="M7" s="216">
        <v>923.97</v>
      </c>
      <c r="N7" s="517">
        <f t="shared" si="2"/>
        <v>-654.1</v>
      </c>
      <c r="O7" s="518">
        <f>M7/J7-1</f>
        <v>-0.1376935353</v>
      </c>
      <c r="P7" s="514">
        <f t="shared" si="3"/>
        <v>-22131</v>
      </c>
      <c r="Q7" s="512"/>
      <c r="R7" s="514"/>
      <c r="S7" s="519" t="s">
        <v>36</v>
      </c>
      <c r="T7" s="520">
        <v>44686.0</v>
      </c>
      <c r="U7" s="531">
        <v>923.97</v>
      </c>
      <c r="V7" s="522">
        <v>138596.0</v>
      </c>
      <c r="W7" s="519"/>
      <c r="X7" s="520"/>
      <c r="Y7" s="521"/>
      <c r="Z7" s="522"/>
    </row>
    <row r="8">
      <c r="A8" s="528"/>
      <c r="B8" s="528"/>
      <c r="C8" s="512">
        <f>I8/E147</f>
        <v>0</v>
      </c>
      <c r="D8" s="534" t="s">
        <v>558</v>
      </c>
      <c r="E8" s="535" t="s">
        <v>40</v>
      </c>
      <c r="F8" s="533">
        <v>7.0</v>
      </c>
      <c r="G8" s="513">
        <v>1000.0</v>
      </c>
      <c r="H8" s="217">
        <f t="shared" si="1"/>
        <v>89130</v>
      </c>
      <c r="I8" s="217">
        <v>0.0</v>
      </c>
      <c r="J8" s="216">
        <v>89.13</v>
      </c>
      <c r="K8" s="515">
        <f>IFERROR(__xludf.DUMMYFUNCTION("GOOGLEFINANCE(E8,""changepct"")"),-2.2)</f>
        <v>-2.2</v>
      </c>
      <c r="L8" s="516">
        <f>IFERROR(__xludf.DUMMYFUNCTION("googlefinance(E8,""price"")"),122.44)</f>
        <v>122.44</v>
      </c>
      <c r="M8" s="216">
        <v>99.01</v>
      </c>
      <c r="N8" s="517">
        <f t="shared" si="2"/>
        <v>33.31</v>
      </c>
      <c r="O8" s="518">
        <f>L8/J8-1</f>
        <v>0.3737237743</v>
      </c>
      <c r="P8" s="514">
        <f t="shared" si="3"/>
        <v>33310</v>
      </c>
      <c r="Q8" s="512"/>
      <c r="R8" s="514"/>
      <c r="S8" s="519" t="s">
        <v>40</v>
      </c>
      <c r="T8" s="520">
        <v>44722.0</v>
      </c>
      <c r="U8" s="521">
        <v>99.01</v>
      </c>
      <c r="V8" s="522">
        <v>95640.0</v>
      </c>
      <c r="W8" s="519" t="s">
        <v>40</v>
      </c>
      <c r="X8" s="520">
        <v>44694.0</v>
      </c>
      <c r="Y8" s="521">
        <v>89.13</v>
      </c>
      <c r="Z8" s="522">
        <v>89130.0</v>
      </c>
    </row>
    <row r="9">
      <c r="A9" s="528"/>
      <c r="B9" s="528"/>
      <c r="C9" s="512">
        <f>I9/E147</f>
        <v>0</v>
      </c>
      <c r="D9" s="534" t="s">
        <v>558</v>
      </c>
      <c r="E9" s="535" t="s">
        <v>40</v>
      </c>
      <c r="F9" s="533">
        <v>7.0</v>
      </c>
      <c r="G9" s="513">
        <v>1500.0</v>
      </c>
      <c r="H9" s="217">
        <f t="shared" si="1"/>
        <v>163005</v>
      </c>
      <c r="I9" s="217">
        <v>0.0</v>
      </c>
      <c r="J9" s="216">
        <v>108.67</v>
      </c>
      <c r="K9" s="515">
        <f>IFERROR(__xludf.DUMMYFUNCTION("GOOGLEFINANCE(E9,""changepct"")"),-2.2)</f>
        <v>-2.2</v>
      </c>
      <c r="L9" s="516">
        <f>IFERROR(__xludf.DUMMYFUNCTION("googlefinance(E9,""price"")"),122.44)</f>
        <v>122.44</v>
      </c>
      <c r="M9" s="216">
        <v>98.36</v>
      </c>
      <c r="N9" s="517">
        <f t="shared" si="2"/>
        <v>13.77</v>
      </c>
      <c r="O9" s="518">
        <f>M9/J9-1</f>
        <v>-0.09487439036</v>
      </c>
      <c r="P9" s="514">
        <f t="shared" si="3"/>
        <v>-15465</v>
      </c>
      <c r="Q9" s="512"/>
      <c r="R9" s="514"/>
      <c r="S9" s="519" t="s">
        <v>40</v>
      </c>
      <c r="T9" s="520">
        <v>44699.0</v>
      </c>
      <c r="U9" s="521">
        <v>98.36</v>
      </c>
      <c r="V9" s="522">
        <v>147540.0</v>
      </c>
      <c r="W9" s="519"/>
      <c r="X9" s="520"/>
      <c r="Y9" s="521"/>
      <c r="Z9" s="522"/>
    </row>
    <row r="10">
      <c r="A10" s="528"/>
      <c r="B10" s="528"/>
      <c r="C10" s="512">
        <f>I10/E147</f>
        <v>0.04520028521</v>
      </c>
      <c r="D10" s="529" t="s">
        <v>581</v>
      </c>
      <c r="E10" s="536" t="s">
        <v>582</v>
      </c>
      <c r="F10" s="537">
        <v>7.1</v>
      </c>
      <c r="G10" s="513">
        <v>500.0</v>
      </c>
      <c r="H10" s="217">
        <f t="shared" si="1"/>
        <v>187295</v>
      </c>
      <c r="I10" s="217">
        <f t="shared" ref="I10:I11" si="6">H10+P10</f>
        <v>450215</v>
      </c>
      <c r="J10" s="216">
        <v>374.59</v>
      </c>
      <c r="K10" s="515">
        <f>IFERROR(__xludf.DUMMYFUNCTION("GOOGLEFINANCE(E10,""changepct"")"),-0.78)</f>
        <v>-0.78</v>
      </c>
      <c r="L10" s="516">
        <f>IFERROR(__xludf.DUMMYFUNCTION("googlefinance(E10,""price"")"),900.43)</f>
        <v>900.43</v>
      </c>
      <c r="M10" s="216"/>
      <c r="N10" s="517">
        <f t="shared" si="2"/>
        <v>525.84</v>
      </c>
      <c r="O10" s="518">
        <f t="shared" ref="O10:O11" si="7">L10/J10-1</f>
        <v>1.403774794</v>
      </c>
      <c r="P10" s="514">
        <f t="shared" si="3"/>
        <v>262920</v>
      </c>
      <c r="Q10" s="512"/>
      <c r="R10" s="514"/>
      <c r="S10" s="519"/>
      <c r="T10" s="520"/>
      <c r="U10" s="521"/>
      <c r="V10" s="522"/>
      <c r="W10" s="529"/>
      <c r="X10" s="520"/>
      <c r="Y10" s="521"/>
      <c r="Z10" s="522"/>
    </row>
    <row r="11">
      <c r="A11" s="528"/>
      <c r="B11" s="528"/>
      <c r="C11" s="512">
        <f>I11/E147</f>
        <v>0.004730310269</v>
      </c>
      <c r="D11" s="529" t="s">
        <v>583</v>
      </c>
      <c r="E11" s="536" t="s">
        <v>55</v>
      </c>
      <c r="F11" s="537">
        <v>7.0</v>
      </c>
      <c r="G11" s="513">
        <v>200.0</v>
      </c>
      <c r="H11" s="217">
        <f t="shared" si="1"/>
        <v>104404</v>
      </c>
      <c r="I11" s="217">
        <f t="shared" si="6"/>
        <v>47116</v>
      </c>
      <c r="J11" s="216">
        <v>522.02</v>
      </c>
      <c r="K11" s="515">
        <f>IFERROR(__xludf.DUMMYFUNCTION("GOOGLEFINANCE(E11,""changepct"")"),-2.55)</f>
        <v>-2.55</v>
      </c>
      <c r="L11" s="516">
        <f>IFERROR(__xludf.DUMMYFUNCTION("googlefinance(E11,""price"")"),235.58)</f>
        <v>235.58</v>
      </c>
      <c r="M11" s="216"/>
      <c r="N11" s="517">
        <f t="shared" si="2"/>
        <v>-286.44</v>
      </c>
      <c r="O11" s="518">
        <f t="shared" si="7"/>
        <v>-0.5487146086</v>
      </c>
      <c r="P11" s="514">
        <f t="shared" si="3"/>
        <v>-57288</v>
      </c>
      <c r="Q11" s="538">
        <v>0.034</v>
      </c>
      <c r="R11" s="217">
        <v>735.0</v>
      </c>
      <c r="S11" s="519"/>
      <c r="T11" s="520"/>
      <c r="U11" s="521"/>
      <c r="V11" s="522"/>
      <c r="W11" s="529"/>
      <c r="X11" s="520"/>
      <c r="Y11" s="521"/>
      <c r="Z11" s="522"/>
    </row>
    <row r="12">
      <c r="A12" s="528"/>
      <c r="B12" s="528"/>
      <c r="C12" s="512">
        <f>I12/E147</f>
        <v>0</v>
      </c>
      <c r="D12" s="529" t="s">
        <v>583</v>
      </c>
      <c r="E12" s="536" t="s">
        <v>55</v>
      </c>
      <c r="F12" s="537">
        <v>7.0</v>
      </c>
      <c r="G12" s="513">
        <v>250.0</v>
      </c>
      <c r="H12" s="217">
        <f t="shared" si="1"/>
        <v>157382.5</v>
      </c>
      <c r="I12" s="217">
        <v>0.0</v>
      </c>
      <c r="J12" s="216">
        <v>629.53</v>
      </c>
      <c r="K12" s="515">
        <f>IFERROR(__xludf.DUMMYFUNCTION("GOOGLEFINANCE(E12,""changepct"")"),-2.55)</f>
        <v>-2.55</v>
      </c>
      <c r="L12" s="516">
        <f>IFERROR(__xludf.DUMMYFUNCTION("googlefinance(E12,""price"")"),235.58)</f>
        <v>235.58</v>
      </c>
      <c r="M12" s="216">
        <v>549.45</v>
      </c>
      <c r="N12" s="517">
        <f t="shared" si="2"/>
        <v>-393.95</v>
      </c>
      <c r="O12" s="518">
        <f>M12/J12-1</f>
        <v>-0.1272060108</v>
      </c>
      <c r="P12" s="514">
        <f t="shared" si="3"/>
        <v>-20020</v>
      </c>
      <c r="Q12" s="538">
        <v>0.034</v>
      </c>
      <c r="R12" s="514"/>
      <c r="S12" s="519" t="s">
        <v>55</v>
      </c>
      <c r="T12" s="520">
        <v>44722.0</v>
      </c>
      <c r="U12" s="521">
        <v>549.45</v>
      </c>
      <c r="V12" s="522">
        <v>137363.0</v>
      </c>
      <c r="W12" s="529" t="s">
        <v>55</v>
      </c>
      <c r="X12" s="520">
        <v>44725.0</v>
      </c>
      <c r="Y12" s="521">
        <v>522.02</v>
      </c>
      <c r="Z12" s="522">
        <v>104404.0</v>
      </c>
    </row>
    <row r="13">
      <c r="A13" s="528"/>
      <c r="B13" s="528"/>
      <c r="C13" s="512">
        <f>I13/E147</f>
        <v>0.0222178806</v>
      </c>
      <c r="D13" s="529" t="s">
        <v>527</v>
      </c>
      <c r="E13" s="536" t="s">
        <v>43</v>
      </c>
      <c r="F13" s="537">
        <v>7.0</v>
      </c>
      <c r="G13" s="513">
        <v>1000.0</v>
      </c>
      <c r="H13" s="217">
        <f t="shared" si="1"/>
        <v>103400</v>
      </c>
      <c r="I13" s="217">
        <f>H13+P13</f>
        <v>221300</v>
      </c>
      <c r="J13" s="216">
        <v>103.4</v>
      </c>
      <c r="K13" s="515">
        <f>IFERROR(__xludf.DUMMYFUNCTION("GOOGLEFINANCE(E13,""changepct"")"),-1.09)</f>
        <v>-1.09</v>
      </c>
      <c r="L13" s="516">
        <f>IFERROR(__xludf.DUMMYFUNCTION("googlefinance(E13,""price"")"),221.3)</f>
        <v>221.3</v>
      </c>
      <c r="M13" s="216"/>
      <c r="N13" s="517">
        <f t="shared" si="2"/>
        <v>117.9</v>
      </c>
      <c r="O13" s="518">
        <f>L13/J13-1</f>
        <v>1.140232108</v>
      </c>
      <c r="P13" s="514">
        <f t="shared" si="3"/>
        <v>117900</v>
      </c>
      <c r="Q13" s="512"/>
      <c r="R13" s="514"/>
      <c r="S13" s="519"/>
      <c r="T13" s="520"/>
      <c r="U13" s="521"/>
      <c r="V13" s="522"/>
      <c r="W13" s="529" t="s">
        <v>43</v>
      </c>
      <c r="X13" s="520">
        <v>44725.0</v>
      </c>
      <c r="Y13" s="521">
        <v>103.4</v>
      </c>
      <c r="Z13" s="522">
        <v>103400.0</v>
      </c>
    </row>
    <row r="14">
      <c r="A14" s="528"/>
      <c r="B14" s="528"/>
      <c r="C14" s="512">
        <f>I14/E147</f>
        <v>0</v>
      </c>
      <c r="D14" s="529" t="s">
        <v>527</v>
      </c>
      <c r="E14" s="536" t="s">
        <v>43</v>
      </c>
      <c r="F14" s="537">
        <v>7.0</v>
      </c>
      <c r="G14" s="513">
        <v>100.0</v>
      </c>
      <c r="H14" s="217">
        <f t="shared" si="1"/>
        <v>326000</v>
      </c>
      <c r="I14" s="217">
        <v>0.0</v>
      </c>
      <c r="J14" s="216">
        <v>3260.0</v>
      </c>
      <c r="K14" s="515">
        <f>IFERROR(__xludf.DUMMYFUNCTION("GOOGLEFINANCE(E14,""changepct"")"),-1.09)</f>
        <v>-1.09</v>
      </c>
      <c r="L14" s="516">
        <f>IFERROR(__xludf.DUMMYFUNCTION("googlefinance(E14,""price"")"),221.3)</f>
        <v>221.3</v>
      </c>
      <c r="M14" s="216">
        <v>2418.0</v>
      </c>
      <c r="N14" s="517">
        <f t="shared" si="2"/>
        <v>-3038.7</v>
      </c>
      <c r="O14" s="518">
        <f>M14/J14-1</f>
        <v>-0.2582822086</v>
      </c>
      <c r="P14" s="514">
        <f t="shared" si="3"/>
        <v>-84200</v>
      </c>
      <c r="Q14" s="512"/>
      <c r="R14" s="514"/>
      <c r="S14" s="519" t="s">
        <v>43</v>
      </c>
      <c r="T14" s="520">
        <v>44686.0</v>
      </c>
      <c r="U14" s="521">
        <v>2418.0</v>
      </c>
      <c r="V14" s="522">
        <v>241800.0</v>
      </c>
      <c r="W14" s="529"/>
      <c r="X14" s="520"/>
      <c r="Y14" s="521"/>
      <c r="Z14" s="522"/>
    </row>
    <row r="15">
      <c r="A15" s="528"/>
      <c r="B15" s="528"/>
      <c r="C15" s="512">
        <f>I15/E147</f>
        <v>0.07748649006</v>
      </c>
      <c r="D15" s="529" t="s">
        <v>559</v>
      </c>
      <c r="E15" s="529" t="s">
        <v>46</v>
      </c>
      <c r="F15" s="530">
        <v>7.0</v>
      </c>
      <c r="G15" s="513">
        <v>10000.0</v>
      </c>
      <c r="H15" s="217">
        <f t="shared" si="1"/>
        <v>75800</v>
      </c>
      <c r="I15" s="514">
        <f>H15+P15</f>
        <v>771800</v>
      </c>
      <c r="J15" s="216">
        <v>7.58</v>
      </c>
      <c r="K15" s="515">
        <f>IFERROR(__xludf.DUMMYFUNCTION("GOOGLEFINANCE(E15,""changepct"")"),-2.4)</f>
        <v>-2.4</v>
      </c>
      <c r="L15" s="516">
        <f>IFERROR(__xludf.DUMMYFUNCTION("googlefinance(E15,""price"")"),77.18)</f>
        <v>77.18</v>
      </c>
      <c r="M15" s="216"/>
      <c r="N15" s="517">
        <f t="shared" si="2"/>
        <v>69.6</v>
      </c>
      <c r="O15" s="518">
        <f>L15/J15-1</f>
        <v>9.182058047</v>
      </c>
      <c r="P15" s="514">
        <f t="shared" si="3"/>
        <v>696000</v>
      </c>
      <c r="Q15" s="512"/>
      <c r="R15" s="514"/>
      <c r="S15" s="519"/>
      <c r="T15" s="520"/>
      <c r="U15" s="521"/>
      <c r="V15" s="522"/>
      <c r="W15" s="529" t="s">
        <v>46</v>
      </c>
      <c r="X15" s="520">
        <v>44694.0</v>
      </c>
      <c r="Y15" s="521">
        <v>7.58</v>
      </c>
      <c r="Z15" s="522">
        <v>75800.0</v>
      </c>
    </row>
    <row r="16">
      <c r="A16" s="528"/>
      <c r="B16" s="528"/>
      <c r="C16" s="512">
        <f>I16/E147</f>
        <v>0</v>
      </c>
      <c r="D16" s="529" t="s">
        <v>559</v>
      </c>
      <c r="E16" s="529" t="s">
        <v>46</v>
      </c>
      <c r="F16" s="530">
        <v>7.0</v>
      </c>
      <c r="G16" s="513">
        <v>10000.0</v>
      </c>
      <c r="H16" s="217">
        <f t="shared" si="1"/>
        <v>137300</v>
      </c>
      <c r="I16" s="217">
        <v>0.0</v>
      </c>
      <c r="J16" s="216">
        <v>13.73</v>
      </c>
      <c r="K16" s="515">
        <f>IFERROR(__xludf.DUMMYFUNCTION("GOOGLEFINANCE(E16,""changepct"")"),-2.4)</f>
        <v>-2.4</v>
      </c>
      <c r="L16" s="516">
        <f>IFERROR(__xludf.DUMMYFUNCTION("googlefinance(E16,""price"")"),77.18)</f>
        <v>77.18</v>
      </c>
      <c r="M16" s="216">
        <v>8.15</v>
      </c>
      <c r="N16" s="517">
        <f t="shared" si="2"/>
        <v>63.45</v>
      </c>
      <c r="O16" s="518">
        <f>M16/J16-1</f>
        <v>-0.4064093227</v>
      </c>
      <c r="P16" s="514">
        <f t="shared" si="3"/>
        <v>-55800</v>
      </c>
      <c r="Q16" s="512"/>
      <c r="R16" s="514"/>
      <c r="S16" s="519" t="s">
        <v>46</v>
      </c>
      <c r="T16" s="520">
        <v>44699.0</v>
      </c>
      <c r="U16" s="531">
        <v>8.15</v>
      </c>
      <c r="V16" s="522">
        <v>81500.0</v>
      </c>
      <c r="W16" s="529"/>
      <c r="X16" s="520"/>
      <c r="Y16" s="521"/>
      <c r="Z16" s="522"/>
    </row>
    <row r="17">
      <c r="A17" s="528"/>
      <c r="B17" s="528"/>
      <c r="C17" s="512">
        <f>I17/E147</f>
        <v>0.01551938538</v>
      </c>
      <c r="D17" s="529" t="s">
        <v>440</v>
      </c>
      <c r="E17" s="529" t="s">
        <v>77</v>
      </c>
      <c r="F17" s="530">
        <v>7.1</v>
      </c>
      <c r="G17" s="513">
        <v>1000.0</v>
      </c>
      <c r="H17" s="217">
        <f t="shared" si="1"/>
        <v>128270</v>
      </c>
      <c r="I17" s="217">
        <f>H17+P17</f>
        <v>154580</v>
      </c>
      <c r="J17" s="216">
        <v>128.27</v>
      </c>
      <c r="K17" s="515">
        <f>IFERROR(__xludf.DUMMYFUNCTION("GOOGLEFINANCE(E17,""changepct"")"),-1.69)</f>
        <v>-1.69</v>
      </c>
      <c r="L17" s="516">
        <f>IFERROR(__xludf.DUMMYFUNCTION("googlefinance(E17,""price"")"),154.58)</f>
        <v>154.58</v>
      </c>
      <c r="M17" s="216"/>
      <c r="N17" s="517">
        <f t="shared" si="2"/>
        <v>26.31</v>
      </c>
      <c r="O17" s="518">
        <f>L17/J17-1</f>
        <v>0.2051142122</v>
      </c>
      <c r="P17" s="514">
        <f t="shared" si="3"/>
        <v>26310</v>
      </c>
      <c r="Q17" s="538"/>
      <c r="R17" s="217"/>
      <c r="S17" s="519"/>
      <c r="T17" s="520"/>
      <c r="U17" s="521"/>
      <c r="V17" s="522"/>
      <c r="W17" s="519" t="s">
        <v>77</v>
      </c>
      <c r="X17" s="520">
        <v>44725.0</v>
      </c>
      <c r="Y17" s="521">
        <v>128.27</v>
      </c>
      <c r="Z17" s="522">
        <v>128270.0</v>
      </c>
    </row>
    <row r="18">
      <c r="A18" s="528"/>
      <c r="B18" s="528"/>
      <c r="C18" s="512">
        <f>I18/E147</f>
        <v>0</v>
      </c>
      <c r="D18" s="529" t="s">
        <v>440</v>
      </c>
      <c r="E18" s="529" t="s">
        <v>77</v>
      </c>
      <c r="F18" s="530">
        <v>7.1</v>
      </c>
      <c r="G18" s="513">
        <v>1000.0</v>
      </c>
      <c r="H18" s="217">
        <f t="shared" si="1"/>
        <v>150070</v>
      </c>
      <c r="I18" s="217">
        <v>0.0</v>
      </c>
      <c r="J18" s="216">
        <v>150.07</v>
      </c>
      <c r="K18" s="515">
        <f>IFERROR(__xludf.DUMMYFUNCTION("GOOGLEFINANCE(E18,""changepct"")"),-1.69)</f>
        <v>-1.69</v>
      </c>
      <c r="L18" s="516">
        <f>IFERROR(__xludf.DUMMYFUNCTION("googlefinance(E18,""price"")"),154.58)</f>
        <v>154.58</v>
      </c>
      <c r="M18" s="216">
        <v>135.57</v>
      </c>
      <c r="N18" s="517">
        <f t="shared" si="2"/>
        <v>4.51</v>
      </c>
      <c r="O18" s="518">
        <f>M18/J18-1</f>
        <v>-0.0966215766</v>
      </c>
      <c r="P18" s="514">
        <f t="shared" si="3"/>
        <v>-14500</v>
      </c>
      <c r="Q18" s="538">
        <v>0.017</v>
      </c>
      <c r="R18" s="217">
        <v>540.0</v>
      </c>
      <c r="S18" s="519" t="s">
        <v>77</v>
      </c>
      <c r="T18" s="520">
        <v>44722.0</v>
      </c>
      <c r="U18" s="521">
        <v>135.57</v>
      </c>
      <c r="V18" s="522">
        <v>135570.0</v>
      </c>
      <c r="W18" s="519"/>
      <c r="X18" s="520"/>
      <c r="Y18" s="521"/>
      <c r="Z18" s="522"/>
    </row>
    <row r="19">
      <c r="A19" s="528"/>
      <c r="B19" s="528"/>
      <c r="C19" s="512">
        <f>I19/E147</f>
        <v>0.01883048209</v>
      </c>
      <c r="D19" s="529" t="s">
        <v>584</v>
      </c>
      <c r="E19" s="529" t="s">
        <v>585</v>
      </c>
      <c r="F19" s="530">
        <v>7.0</v>
      </c>
      <c r="G19" s="513">
        <v>12000.0</v>
      </c>
      <c r="H19" s="217">
        <f t="shared" si="1"/>
        <v>71520</v>
      </c>
      <c r="I19" s="514">
        <f>H19+P19</f>
        <v>187560</v>
      </c>
      <c r="J19" s="216">
        <v>5.96</v>
      </c>
      <c r="K19" s="515">
        <f>IFERROR(__xludf.DUMMYFUNCTION("GOOGLEFINANCE(E19,""changepct"")"),-2.19)</f>
        <v>-2.19</v>
      </c>
      <c r="L19" s="516">
        <f>IFERROR(__xludf.DUMMYFUNCTION("googlefinance(E19,""price"")"),15.63)</f>
        <v>15.63</v>
      </c>
      <c r="M19" s="216"/>
      <c r="N19" s="517">
        <f t="shared" si="2"/>
        <v>9.67</v>
      </c>
      <c r="O19" s="518">
        <f>L19/J19-1</f>
        <v>1.622483221</v>
      </c>
      <c r="P19" s="514">
        <f t="shared" si="3"/>
        <v>116040</v>
      </c>
      <c r="Q19" s="538">
        <v>0.017</v>
      </c>
      <c r="R19" s="217"/>
      <c r="S19" s="519"/>
      <c r="T19" s="520"/>
      <c r="U19" s="521"/>
      <c r="V19" s="522"/>
      <c r="W19" s="519" t="s">
        <v>585</v>
      </c>
      <c r="X19" s="520">
        <v>44694.0</v>
      </c>
      <c r="Y19" s="521">
        <v>5.96</v>
      </c>
      <c r="Z19" s="522">
        <v>71520.0</v>
      </c>
    </row>
    <row r="20">
      <c r="A20" s="528"/>
      <c r="B20" s="528"/>
      <c r="C20" s="512">
        <f>I20/E147</f>
        <v>0</v>
      </c>
      <c r="D20" s="529" t="s">
        <v>584</v>
      </c>
      <c r="E20" s="529" t="s">
        <v>585</v>
      </c>
      <c r="F20" s="530">
        <v>7.0</v>
      </c>
      <c r="G20" s="513">
        <v>15000.0</v>
      </c>
      <c r="H20" s="217">
        <f t="shared" si="1"/>
        <v>96000</v>
      </c>
      <c r="I20" s="217">
        <v>0.0</v>
      </c>
      <c r="J20" s="216">
        <v>6.4</v>
      </c>
      <c r="K20" s="515">
        <f>IFERROR(__xludf.DUMMYFUNCTION("GOOGLEFINANCE(E20,""changepct"")"),-2.19)</f>
        <v>-2.19</v>
      </c>
      <c r="L20" s="516">
        <f>IFERROR(__xludf.DUMMYFUNCTION("googlefinance(E20,""price"")"),15.63)</f>
        <v>15.63</v>
      </c>
      <c r="M20" s="216">
        <v>7.26</v>
      </c>
      <c r="N20" s="517">
        <f t="shared" si="2"/>
        <v>9.23</v>
      </c>
      <c r="O20" s="518">
        <f t="shared" ref="O20:O21" si="8">M20/J20-1</f>
        <v>0.134375</v>
      </c>
      <c r="P20" s="514">
        <f t="shared" si="3"/>
        <v>12900</v>
      </c>
      <c r="Q20" s="538"/>
      <c r="R20" s="217"/>
      <c r="S20" s="519" t="s">
        <v>585</v>
      </c>
      <c r="T20" s="520">
        <v>44699.0</v>
      </c>
      <c r="U20" s="521">
        <v>7.26</v>
      </c>
      <c r="V20" s="522">
        <v>108900.0</v>
      </c>
      <c r="W20" s="519" t="s">
        <v>585</v>
      </c>
      <c r="X20" s="520">
        <v>44687.0</v>
      </c>
      <c r="Y20" s="521">
        <v>6.4</v>
      </c>
      <c r="Z20" s="522">
        <v>96000.0</v>
      </c>
    </row>
    <row r="21">
      <c r="A21" s="528"/>
      <c r="B21" s="528"/>
      <c r="C21" s="512">
        <f>I21/E147</f>
        <v>0</v>
      </c>
      <c r="D21" s="529" t="s">
        <v>584</v>
      </c>
      <c r="E21" s="529" t="s">
        <v>585</v>
      </c>
      <c r="F21" s="530">
        <v>7.0</v>
      </c>
      <c r="G21" s="513">
        <v>15000.0</v>
      </c>
      <c r="H21" s="217">
        <f t="shared" si="1"/>
        <v>141600</v>
      </c>
      <c r="I21" s="217">
        <v>0.0</v>
      </c>
      <c r="J21" s="216">
        <v>9.44</v>
      </c>
      <c r="K21" s="515">
        <f>IFERROR(__xludf.DUMMYFUNCTION("GOOGLEFINANCE(E21,""changepct"")"),-2.19)</f>
        <v>-2.19</v>
      </c>
      <c r="L21" s="516">
        <f>IFERROR(__xludf.DUMMYFUNCTION("googlefinance(E21,""price"")"),15.63)</f>
        <v>15.63</v>
      </c>
      <c r="M21" s="216">
        <v>6.88</v>
      </c>
      <c r="N21" s="517">
        <f t="shared" si="2"/>
        <v>6.19</v>
      </c>
      <c r="O21" s="518">
        <f t="shared" si="8"/>
        <v>-0.2711864407</v>
      </c>
      <c r="P21" s="514">
        <f t="shared" si="3"/>
        <v>-38400</v>
      </c>
      <c r="Q21" s="538"/>
      <c r="R21" s="217"/>
      <c r="S21" s="519" t="s">
        <v>585</v>
      </c>
      <c r="T21" s="520">
        <v>44686.0</v>
      </c>
      <c r="U21" s="521">
        <v>6.88</v>
      </c>
      <c r="V21" s="522">
        <v>103200.0</v>
      </c>
      <c r="W21" s="519"/>
      <c r="X21" s="520"/>
      <c r="Y21" s="521"/>
      <c r="Z21" s="522"/>
    </row>
    <row r="22">
      <c r="A22" s="528"/>
      <c r="B22" s="528"/>
      <c r="C22" s="512">
        <f>I22/E147</f>
        <v>0.01503747925</v>
      </c>
      <c r="D22" s="529" t="s">
        <v>586</v>
      </c>
      <c r="E22" s="529" t="s">
        <v>587</v>
      </c>
      <c r="F22" s="530">
        <v>7.1</v>
      </c>
      <c r="G22" s="513">
        <v>2000.0</v>
      </c>
      <c r="H22" s="217">
        <f t="shared" si="1"/>
        <v>150480</v>
      </c>
      <c r="I22" s="217">
        <f>H22+P22</f>
        <v>149780</v>
      </c>
      <c r="J22" s="216">
        <v>75.24</v>
      </c>
      <c r="K22" s="515">
        <f>IFERROR(__xludf.DUMMYFUNCTION("GOOGLEFINANCE(E22,""changepct"")"),-2.78)</f>
        <v>-2.78</v>
      </c>
      <c r="L22" s="516">
        <f>IFERROR(__xludf.DUMMYFUNCTION("googlefinance(E22,""price"")"),74.89)</f>
        <v>74.89</v>
      </c>
      <c r="M22" s="216"/>
      <c r="N22" s="517">
        <f t="shared" si="2"/>
        <v>-0.35</v>
      </c>
      <c r="O22" s="518">
        <f>L22/J22-1</f>
        <v>-0.004651780968</v>
      </c>
      <c r="P22" s="514">
        <f t="shared" si="3"/>
        <v>-700</v>
      </c>
      <c r="Q22" s="538"/>
      <c r="R22" s="217"/>
      <c r="S22" s="519"/>
      <c r="T22" s="520"/>
      <c r="U22" s="521"/>
      <c r="V22" s="522"/>
      <c r="W22" s="519" t="s">
        <v>587</v>
      </c>
      <c r="X22" s="520">
        <v>44727.0</v>
      </c>
      <c r="Y22" s="521">
        <v>75.24</v>
      </c>
      <c r="Z22" s="522">
        <v>150480.0</v>
      </c>
    </row>
    <row r="23">
      <c r="A23" s="528"/>
      <c r="B23" s="528"/>
      <c r="C23" s="512">
        <f>I23/E147</f>
        <v>0</v>
      </c>
      <c r="D23" s="529" t="s">
        <v>586</v>
      </c>
      <c r="E23" s="529" t="s">
        <v>587</v>
      </c>
      <c r="F23" s="530">
        <v>7.1</v>
      </c>
      <c r="G23" s="513">
        <v>1500.0</v>
      </c>
      <c r="H23" s="217">
        <f t="shared" si="1"/>
        <v>144345</v>
      </c>
      <c r="I23" s="217">
        <v>0.0</v>
      </c>
      <c r="J23" s="216">
        <v>96.23</v>
      </c>
      <c r="K23" s="515">
        <f>IFERROR(__xludf.DUMMYFUNCTION("GOOGLEFINANCE(E23,""changepct"")"),-2.78)</f>
        <v>-2.78</v>
      </c>
      <c r="L23" s="516">
        <f>IFERROR(__xludf.DUMMYFUNCTION("googlefinance(E23,""price"")"),74.89)</f>
        <v>74.89</v>
      </c>
      <c r="M23" s="216">
        <v>91.45</v>
      </c>
      <c r="N23" s="517">
        <f t="shared" si="2"/>
        <v>-21.34</v>
      </c>
      <c r="O23" s="518">
        <f t="shared" ref="O23:O27" si="9">M23/J23-1</f>
        <v>-0.04967265925</v>
      </c>
      <c r="P23" s="514">
        <f t="shared" si="3"/>
        <v>-7170</v>
      </c>
      <c r="Q23" s="538"/>
      <c r="R23" s="217"/>
      <c r="S23" s="519" t="s">
        <v>587</v>
      </c>
      <c r="T23" s="520">
        <v>44722.0</v>
      </c>
      <c r="U23" s="521">
        <v>91.45</v>
      </c>
      <c r="V23" s="522">
        <v>137175.0</v>
      </c>
      <c r="W23" s="519" t="s">
        <v>587</v>
      </c>
      <c r="X23" s="520">
        <v>44700.0</v>
      </c>
      <c r="Y23" s="521">
        <v>96.23</v>
      </c>
      <c r="Z23" s="522">
        <v>144345.0</v>
      </c>
    </row>
    <row r="24">
      <c r="A24" s="528"/>
      <c r="B24" s="528"/>
      <c r="C24" s="512">
        <f>I24/E147</f>
        <v>0</v>
      </c>
      <c r="D24" s="529" t="s">
        <v>586</v>
      </c>
      <c r="E24" s="529" t="s">
        <v>587</v>
      </c>
      <c r="F24" s="530">
        <v>7.1</v>
      </c>
      <c r="G24" s="513">
        <v>1000.0</v>
      </c>
      <c r="H24" s="217">
        <f t="shared" si="1"/>
        <v>90650</v>
      </c>
      <c r="I24" s="217">
        <v>0.0</v>
      </c>
      <c r="J24" s="216">
        <v>90.65</v>
      </c>
      <c r="K24" s="515">
        <f>IFERROR(__xludf.DUMMYFUNCTION("GOOGLEFINANCE(E24,""changepct"")"),-2.78)</f>
        <v>-2.78</v>
      </c>
      <c r="L24" s="516">
        <f>IFERROR(__xludf.DUMMYFUNCTION("googlefinance(E24,""price"")"),74.89)</f>
        <v>74.89</v>
      </c>
      <c r="M24" s="216">
        <v>97.36</v>
      </c>
      <c r="N24" s="517">
        <f t="shared" si="2"/>
        <v>-15.76</v>
      </c>
      <c r="O24" s="518">
        <f t="shared" si="9"/>
        <v>0.07402095974</v>
      </c>
      <c r="P24" s="514">
        <f t="shared" si="3"/>
        <v>6710</v>
      </c>
      <c r="Q24" s="538"/>
      <c r="R24" s="217"/>
      <c r="S24" s="519" t="s">
        <v>587</v>
      </c>
      <c r="T24" s="520">
        <v>44699.0</v>
      </c>
      <c r="U24" s="521">
        <v>97.36</v>
      </c>
      <c r="V24" s="522">
        <v>97360.0</v>
      </c>
      <c r="W24" s="519" t="s">
        <v>587</v>
      </c>
      <c r="X24" s="520">
        <v>44694.0</v>
      </c>
      <c r="Y24" s="521">
        <v>90.65</v>
      </c>
      <c r="Z24" s="522">
        <v>90650.0</v>
      </c>
    </row>
    <row r="25">
      <c r="A25" s="528"/>
      <c r="B25" s="528"/>
      <c r="C25" s="512">
        <f>I25/E147</f>
        <v>0</v>
      </c>
      <c r="D25" s="529" t="s">
        <v>339</v>
      </c>
      <c r="E25" s="529" t="s">
        <v>340</v>
      </c>
      <c r="F25" s="530">
        <v>7.0</v>
      </c>
      <c r="G25" s="513">
        <v>1000.0</v>
      </c>
      <c r="H25" s="217">
        <f t="shared" si="1"/>
        <v>88480</v>
      </c>
      <c r="I25" s="217">
        <v>0.0</v>
      </c>
      <c r="J25" s="216">
        <v>88.48</v>
      </c>
      <c r="K25" s="515">
        <f>IFERROR(__xludf.DUMMYFUNCTION("GOOGLEFINANCE(E25,""changepct"")"),-1.3)</f>
        <v>-1.3</v>
      </c>
      <c r="L25" s="516">
        <f>IFERROR(__xludf.DUMMYFUNCTION("googlefinance(E25,""price"")"),82.73)</f>
        <v>82.73</v>
      </c>
      <c r="M25" s="216">
        <v>86.91</v>
      </c>
      <c r="N25" s="517">
        <f t="shared" si="2"/>
        <v>-5.75</v>
      </c>
      <c r="O25" s="518">
        <f t="shared" si="9"/>
        <v>-0.01774412297</v>
      </c>
      <c r="P25" s="514">
        <f t="shared" si="3"/>
        <v>-1570</v>
      </c>
      <c r="Q25" s="538"/>
      <c r="R25" s="217"/>
      <c r="S25" s="519" t="s">
        <v>340</v>
      </c>
      <c r="T25" s="520">
        <v>44699.0</v>
      </c>
      <c r="U25" s="521">
        <v>86.91</v>
      </c>
      <c r="V25" s="522">
        <v>86910.0</v>
      </c>
      <c r="W25" s="519" t="s">
        <v>340</v>
      </c>
      <c r="X25" s="520">
        <v>44694.0</v>
      </c>
      <c r="Y25" s="521">
        <v>88.48</v>
      </c>
      <c r="Z25" s="522">
        <v>88480.0</v>
      </c>
    </row>
    <row r="26">
      <c r="A26" s="528"/>
      <c r="B26" s="528"/>
      <c r="C26" s="512">
        <f>I26/E147</f>
        <v>0</v>
      </c>
      <c r="D26" s="529" t="s">
        <v>649</v>
      </c>
      <c r="E26" s="529" t="s">
        <v>650</v>
      </c>
      <c r="F26" s="530">
        <v>6.8</v>
      </c>
      <c r="G26" s="513">
        <v>5000.0</v>
      </c>
      <c r="H26" s="217">
        <f t="shared" si="1"/>
        <v>102250</v>
      </c>
      <c r="I26" s="217">
        <v>0.0</v>
      </c>
      <c r="J26" s="216">
        <v>20.45</v>
      </c>
      <c r="K26" s="515">
        <f>IFERROR(__xludf.DUMMYFUNCTION("GOOGLEFINANCE(E26,""changepct"")"),-1.39)</f>
        <v>-1.39</v>
      </c>
      <c r="L26" s="516">
        <f>IFERROR(__xludf.DUMMYFUNCTION("googlefinance(E26,""price"")"),29.15)</f>
        <v>29.15</v>
      </c>
      <c r="M26" s="216">
        <v>22.08</v>
      </c>
      <c r="N26" s="517">
        <f t="shared" si="2"/>
        <v>8.7</v>
      </c>
      <c r="O26" s="518">
        <f t="shared" si="9"/>
        <v>0.07970660147</v>
      </c>
      <c r="P26" s="514">
        <f t="shared" si="3"/>
        <v>8150</v>
      </c>
      <c r="Q26" s="538"/>
      <c r="R26" s="217"/>
      <c r="S26" s="519" t="s">
        <v>650</v>
      </c>
      <c r="T26" s="520">
        <v>44699.0</v>
      </c>
      <c r="U26" s="521">
        <v>22.08</v>
      </c>
      <c r="V26" s="522">
        <v>110400.0</v>
      </c>
      <c r="W26" s="519" t="s">
        <v>650</v>
      </c>
      <c r="X26" s="520">
        <v>44694.0</v>
      </c>
      <c r="Y26" s="521">
        <v>20.45</v>
      </c>
      <c r="Z26" s="522">
        <v>102250.0</v>
      </c>
    </row>
    <row r="27">
      <c r="A27" s="528"/>
      <c r="B27" s="528"/>
      <c r="C27" s="512">
        <f>I27/E147</f>
        <v>0</v>
      </c>
      <c r="D27" s="529" t="s">
        <v>52</v>
      </c>
      <c r="E27" s="529" t="s">
        <v>53</v>
      </c>
      <c r="F27" s="530">
        <v>7.2</v>
      </c>
      <c r="G27" s="513">
        <v>1000.0</v>
      </c>
      <c r="H27" s="217">
        <f t="shared" si="1"/>
        <v>167590</v>
      </c>
      <c r="I27" s="217">
        <v>0.0</v>
      </c>
      <c r="J27" s="216">
        <v>167.59</v>
      </c>
      <c r="K27" s="515">
        <f>IFERROR(__xludf.DUMMYFUNCTION("GOOGLEFINANCE(E27,""changepct"")"),0.35)</f>
        <v>0.35</v>
      </c>
      <c r="L27" s="516">
        <f>IFERROR(__xludf.DUMMYFUNCTION("googlefinance(E27,""price"")"),137.49)</f>
        <v>137.49</v>
      </c>
      <c r="M27" s="216">
        <v>173.14</v>
      </c>
      <c r="N27" s="517">
        <f t="shared" si="2"/>
        <v>-30.1</v>
      </c>
      <c r="O27" s="518">
        <f t="shared" si="9"/>
        <v>0.0331165344</v>
      </c>
      <c r="P27" s="514">
        <f t="shared" si="3"/>
        <v>5550</v>
      </c>
      <c r="Q27" s="538"/>
      <c r="R27" s="217"/>
      <c r="S27" s="519" t="s">
        <v>53</v>
      </c>
      <c r="T27" s="520">
        <v>44699.0</v>
      </c>
      <c r="U27" s="521">
        <v>173.14</v>
      </c>
      <c r="V27" s="522">
        <v>173140.0</v>
      </c>
      <c r="W27" s="519" t="s">
        <v>53</v>
      </c>
      <c r="X27" s="520">
        <v>44694.0</v>
      </c>
      <c r="Y27" s="521">
        <v>167.59</v>
      </c>
      <c r="Z27" s="522">
        <v>167590.0</v>
      </c>
    </row>
    <row r="28">
      <c r="A28" s="528"/>
      <c r="B28" s="528"/>
      <c r="C28" s="512">
        <f>I28/E147</f>
        <v>0.02269978674</v>
      </c>
      <c r="D28" s="529" t="s">
        <v>483</v>
      </c>
      <c r="E28" s="529" t="s">
        <v>484</v>
      </c>
      <c r="F28" s="530">
        <v>7.1</v>
      </c>
      <c r="G28" s="513">
        <v>10000.0</v>
      </c>
      <c r="H28" s="217">
        <f t="shared" si="1"/>
        <v>177000</v>
      </c>
      <c r="I28" s="514">
        <f t="shared" ref="I28:I31" si="10">H28+P28</f>
        <v>226100</v>
      </c>
      <c r="J28" s="216">
        <v>17.7</v>
      </c>
      <c r="K28" s="515">
        <f>IFERROR(__xludf.DUMMYFUNCTION("GOOGLEFINANCE(E28,""changepct"")"),-1.09)</f>
        <v>-1.09</v>
      </c>
      <c r="L28" s="516">
        <f>IFERROR(__xludf.DUMMYFUNCTION("googlefinance(E28,""price"")"),22.61)</f>
        <v>22.61</v>
      </c>
      <c r="M28" s="216"/>
      <c r="N28" s="517">
        <f t="shared" si="2"/>
        <v>4.91</v>
      </c>
      <c r="O28" s="518">
        <f t="shared" ref="O28:O31" si="11">L28/J28-1</f>
        <v>0.2774011299</v>
      </c>
      <c r="P28" s="514">
        <f t="shared" si="3"/>
        <v>49100</v>
      </c>
      <c r="Q28" s="538">
        <v>0.053</v>
      </c>
      <c r="R28" s="217">
        <v>2760.0</v>
      </c>
      <c r="S28" s="519"/>
      <c r="T28" s="520"/>
      <c r="U28" s="521"/>
      <c r="V28" s="522"/>
      <c r="W28" s="519"/>
      <c r="X28" s="520"/>
      <c r="Y28" s="521"/>
      <c r="Z28" s="522"/>
    </row>
    <row r="29">
      <c r="A29" s="528"/>
      <c r="B29" s="528"/>
      <c r="C29" s="512">
        <f>I29/E147</f>
        <v>0.007913802253</v>
      </c>
      <c r="D29" s="529" t="s">
        <v>564</v>
      </c>
      <c r="E29" s="529" t="s">
        <v>443</v>
      </c>
      <c r="F29" s="530">
        <v>7.4</v>
      </c>
      <c r="G29" s="513">
        <v>7500.0</v>
      </c>
      <c r="H29" s="217">
        <f t="shared" si="1"/>
        <v>106200</v>
      </c>
      <c r="I29" s="514">
        <f t="shared" si="10"/>
        <v>78825</v>
      </c>
      <c r="J29" s="216">
        <v>14.16</v>
      </c>
      <c r="K29" s="515">
        <f>IFERROR(__xludf.DUMMYFUNCTION("GOOGLEFINANCE(E29,""changepct"")"),-0.94)</f>
        <v>-0.94</v>
      </c>
      <c r="L29" s="516">
        <f>IFERROR(__xludf.DUMMYFUNCTION("googlefinance(E29,""price"")"),10.51)</f>
        <v>10.51</v>
      </c>
      <c r="M29" s="216"/>
      <c r="N29" s="517">
        <f t="shared" si="2"/>
        <v>-3.65</v>
      </c>
      <c r="O29" s="518">
        <f t="shared" si="11"/>
        <v>-0.2577683616</v>
      </c>
      <c r="P29" s="514">
        <f t="shared" si="3"/>
        <v>-27375</v>
      </c>
      <c r="Q29" s="538"/>
      <c r="R29" s="217"/>
      <c r="S29" s="519"/>
      <c r="T29" s="520"/>
      <c r="U29" s="521"/>
      <c r="V29" s="522"/>
      <c r="W29" s="519" t="s">
        <v>443</v>
      </c>
      <c r="X29" s="520">
        <v>44727.0</v>
      </c>
      <c r="Y29" s="521">
        <v>14.16</v>
      </c>
      <c r="Z29" s="522">
        <v>106200.0</v>
      </c>
    </row>
    <row r="30">
      <c r="A30" s="528"/>
      <c r="B30" s="528"/>
      <c r="C30" s="512">
        <f>I30/E147</f>
        <v>0.005275868169</v>
      </c>
      <c r="D30" s="529" t="s">
        <v>564</v>
      </c>
      <c r="E30" s="529" t="s">
        <v>443</v>
      </c>
      <c r="F30" s="530">
        <v>7.4</v>
      </c>
      <c r="G30" s="513">
        <v>5000.0</v>
      </c>
      <c r="H30" s="217">
        <f t="shared" si="1"/>
        <v>125000</v>
      </c>
      <c r="I30" s="514">
        <f t="shared" si="10"/>
        <v>52550</v>
      </c>
      <c r="J30" s="216">
        <v>25.0</v>
      </c>
      <c r="K30" s="515">
        <f>IFERROR(__xludf.DUMMYFUNCTION("GOOGLEFINANCE(E30,""changepct"")"),-0.94)</f>
        <v>-0.94</v>
      </c>
      <c r="L30" s="516">
        <f>IFERROR(__xludf.DUMMYFUNCTION("googlefinance(E30,""price"")"),10.51)</f>
        <v>10.51</v>
      </c>
      <c r="M30" s="216"/>
      <c r="N30" s="517">
        <f t="shared" si="2"/>
        <v>-14.49</v>
      </c>
      <c r="O30" s="518">
        <f t="shared" si="11"/>
        <v>-0.5796</v>
      </c>
      <c r="P30" s="514">
        <f t="shared" si="3"/>
        <v>-72450</v>
      </c>
      <c r="Q30" s="538"/>
      <c r="R30" s="217"/>
      <c r="S30" s="519"/>
      <c r="T30" s="520"/>
      <c r="U30" s="521"/>
      <c r="V30" s="522"/>
      <c r="W30" s="519" t="s">
        <v>443</v>
      </c>
      <c r="X30" s="520">
        <v>44665.0</v>
      </c>
      <c r="Y30" s="521">
        <v>25.0</v>
      </c>
      <c r="Z30" s="522">
        <v>125000.0</v>
      </c>
    </row>
    <row r="31">
      <c r="A31" s="528"/>
      <c r="B31" s="528"/>
      <c r="C31" s="512">
        <f>I31/E147</f>
        <v>0.002553520194</v>
      </c>
      <c r="D31" s="529" t="s">
        <v>564</v>
      </c>
      <c r="E31" s="529" t="s">
        <v>443</v>
      </c>
      <c r="F31" s="530">
        <v>7.4</v>
      </c>
      <c r="G31" s="513">
        <v>2420.0</v>
      </c>
      <c r="H31" s="217">
        <f t="shared" si="1"/>
        <v>58273.6</v>
      </c>
      <c r="I31" s="514">
        <f t="shared" si="10"/>
        <v>25434.2</v>
      </c>
      <c r="J31" s="216">
        <v>24.08</v>
      </c>
      <c r="K31" s="515">
        <f>IFERROR(__xludf.DUMMYFUNCTION("GOOGLEFINANCE(E31,""changepct"")"),-0.94)</f>
        <v>-0.94</v>
      </c>
      <c r="L31" s="516">
        <f>IFERROR(__xludf.DUMMYFUNCTION("googlefinance(E31,""price"")"),10.51)</f>
        <v>10.51</v>
      </c>
      <c r="M31" s="216"/>
      <c r="N31" s="517">
        <f t="shared" si="2"/>
        <v>-13.57</v>
      </c>
      <c r="O31" s="518">
        <f t="shared" si="11"/>
        <v>-0.563538206</v>
      </c>
      <c r="P31" s="514">
        <f t="shared" si="3"/>
        <v>-32839.4</v>
      </c>
      <c r="Q31" s="538"/>
      <c r="R31" s="217"/>
      <c r="S31" s="519"/>
      <c r="T31" s="520"/>
      <c r="U31" s="521"/>
      <c r="V31" s="522"/>
      <c r="W31" s="519"/>
      <c r="X31" s="520"/>
      <c r="Y31" s="521"/>
      <c r="Z31" s="522"/>
    </row>
    <row r="32">
      <c r="A32" s="528"/>
      <c r="B32" s="528"/>
      <c r="C32" s="512">
        <f>I32/E147</f>
        <v>0</v>
      </c>
      <c r="D32" s="529" t="s">
        <v>337</v>
      </c>
      <c r="E32" s="529" t="s">
        <v>338</v>
      </c>
      <c r="F32" s="530">
        <v>7.0</v>
      </c>
      <c r="G32" s="513">
        <v>5000.0</v>
      </c>
      <c r="H32" s="217">
        <f t="shared" si="1"/>
        <v>246300</v>
      </c>
      <c r="I32" s="217">
        <v>0.0</v>
      </c>
      <c r="J32" s="216">
        <v>49.26</v>
      </c>
      <c r="K32" s="515">
        <f>IFERROR(__xludf.DUMMYFUNCTION("GOOGLEFINANCE(E32,""changepct"")"),-2.36)</f>
        <v>-2.36</v>
      </c>
      <c r="L32" s="516">
        <f>IFERROR(__xludf.DUMMYFUNCTION("googlefinance(E32,""price"")"),19.82)</f>
        <v>19.82</v>
      </c>
      <c r="M32" s="216">
        <v>39.94</v>
      </c>
      <c r="N32" s="517">
        <f t="shared" si="2"/>
        <v>-29.44</v>
      </c>
      <c r="O32" s="518">
        <f>M32/J32-1</f>
        <v>-0.1892001624</v>
      </c>
      <c r="P32" s="514">
        <f t="shared" si="3"/>
        <v>-46600</v>
      </c>
      <c r="Q32" s="538">
        <v>0.027</v>
      </c>
      <c r="R32" s="217"/>
      <c r="S32" s="519" t="s">
        <v>338</v>
      </c>
      <c r="T32" s="520">
        <v>44722.0</v>
      </c>
      <c r="U32" s="521">
        <v>39.94</v>
      </c>
      <c r="V32" s="522">
        <v>199700.0</v>
      </c>
      <c r="W32" s="519"/>
      <c r="X32" s="520"/>
      <c r="Y32" s="521"/>
      <c r="Z32" s="522"/>
    </row>
    <row r="33">
      <c r="A33" s="13"/>
      <c r="B33" s="13"/>
      <c r="C33" s="13"/>
      <c r="D33" s="13"/>
      <c r="E33" s="13"/>
      <c r="F33" s="13"/>
      <c r="G33" s="509"/>
      <c r="H33" s="509">
        <f t="shared" ref="H33:I33" si="12">SUM(H3:H32)</f>
        <v>4241681.6</v>
      </c>
      <c r="I33" s="539">
        <f t="shared" si="12"/>
        <v>3022846.7</v>
      </c>
      <c r="J33" s="506"/>
      <c r="K33" s="506"/>
      <c r="L33" s="506"/>
      <c r="M33" s="507"/>
      <c r="N33" s="507"/>
      <c r="O33" s="540">
        <f>P33/H33</f>
        <v>-0.1254059239</v>
      </c>
      <c r="P33" s="625">
        <v>-531932.0</v>
      </c>
      <c r="Q33" s="541"/>
      <c r="R33" s="193">
        <f>SUM(R3:R32)</f>
        <v>4035</v>
      </c>
      <c r="S33" s="510" t="s">
        <v>89</v>
      </c>
      <c r="T33" s="542"/>
      <c r="U33" s="543"/>
      <c r="V33" s="544">
        <f>SUM(V3:V32)</f>
        <v>2221035</v>
      </c>
      <c r="W33" s="510" t="s">
        <v>89</v>
      </c>
      <c r="X33" s="542"/>
      <c r="Y33" s="543"/>
      <c r="Z33" s="544">
        <f>SUM(Z3:Z32)</f>
        <v>1879849</v>
      </c>
    </row>
    <row r="34">
      <c r="A34" s="173"/>
      <c r="B34" s="504" t="s">
        <v>342</v>
      </c>
      <c r="C34" s="504" t="s">
        <v>2</v>
      </c>
      <c r="D34" s="545" t="s">
        <v>3</v>
      </c>
      <c r="E34" s="545" t="s">
        <v>4</v>
      </c>
      <c r="F34" s="546" t="s">
        <v>5</v>
      </c>
      <c r="G34" s="547" t="s">
        <v>6</v>
      </c>
      <c r="H34" s="504" t="s">
        <v>7</v>
      </c>
      <c r="I34" s="505" t="s">
        <v>8</v>
      </c>
      <c r="J34" s="505" t="s">
        <v>9</v>
      </c>
      <c r="K34" s="548" t="s">
        <v>10</v>
      </c>
      <c r="L34" s="548" t="s">
        <v>11</v>
      </c>
      <c r="M34" s="548" t="s">
        <v>476</v>
      </c>
      <c r="N34" s="549" t="s">
        <v>13</v>
      </c>
      <c r="O34" s="504" t="s">
        <v>14</v>
      </c>
      <c r="P34" s="508" t="s">
        <v>15</v>
      </c>
      <c r="Q34" s="550" t="s">
        <v>16</v>
      </c>
      <c r="R34" s="551" t="s">
        <v>17</v>
      </c>
      <c r="S34" s="546" t="s">
        <v>21</v>
      </c>
      <c r="T34" s="552" t="s">
        <v>22</v>
      </c>
      <c r="U34" s="553" t="s">
        <v>23</v>
      </c>
      <c r="V34" s="553" t="s">
        <v>24</v>
      </c>
      <c r="W34" s="545" t="s">
        <v>25</v>
      </c>
      <c r="X34" s="545" t="s">
        <v>26</v>
      </c>
      <c r="Y34" s="553" t="s">
        <v>27</v>
      </c>
      <c r="Z34" s="551" t="s">
        <v>28</v>
      </c>
    </row>
    <row r="35">
      <c r="A35" s="502" t="s">
        <v>29</v>
      </c>
      <c r="B35" s="321">
        <f>I41/E147</f>
        <v>0.03799277663</v>
      </c>
      <c r="C35" s="512">
        <f>I35/E147</f>
        <v>0.02111602231</v>
      </c>
      <c r="D35" s="344" t="s">
        <v>346</v>
      </c>
      <c r="E35" s="344" t="s">
        <v>347</v>
      </c>
      <c r="F35" s="195">
        <v>8.0</v>
      </c>
      <c r="G35" s="513">
        <v>2500.0</v>
      </c>
      <c r="H35" s="217">
        <f t="shared" ref="H35:H40" si="13">G35*J35</f>
        <v>272000</v>
      </c>
      <c r="I35" s="514">
        <f t="shared" ref="I35:I36" si="14">H35+P35</f>
        <v>210325</v>
      </c>
      <c r="J35" s="216">
        <v>108.8</v>
      </c>
      <c r="K35" s="515">
        <f>IFERROR(__xludf.DUMMYFUNCTION("GOOGLEFINANCE(E35,""changepct"")"),-1.09)</f>
        <v>-1.09</v>
      </c>
      <c r="L35" s="516">
        <f>IFERROR(__xludf.DUMMYFUNCTION("googlefinance(E35,""price"")"),84.13)</f>
        <v>84.13</v>
      </c>
      <c r="M35" s="216"/>
      <c r="N35" s="517">
        <f t="shared" ref="N35:N40" si="15">L35-J35</f>
        <v>-24.67</v>
      </c>
      <c r="O35" s="518">
        <f t="shared" ref="O35:O36" si="16">L35/J35-1</f>
        <v>-0.2267463235</v>
      </c>
      <c r="P35" s="514">
        <f t="shared" ref="P35:P40" si="17">H35*O35</f>
        <v>-61675</v>
      </c>
      <c r="Q35" s="14"/>
      <c r="R35" s="19"/>
      <c r="S35" s="626"/>
      <c r="T35" s="627"/>
      <c r="U35" s="628"/>
      <c r="V35" s="629"/>
      <c r="W35" s="630"/>
      <c r="X35" s="630"/>
      <c r="Y35" s="628"/>
      <c r="Z35" s="629"/>
    </row>
    <row r="36">
      <c r="A36" s="528"/>
      <c r="B36" s="38"/>
      <c r="C36" s="512">
        <f>I36/E147</f>
        <v>0.01687675431</v>
      </c>
      <c r="D36" s="344" t="s">
        <v>530</v>
      </c>
      <c r="E36" s="344" t="s">
        <v>34</v>
      </c>
      <c r="F36" s="195">
        <v>8.2</v>
      </c>
      <c r="G36" s="513">
        <v>2000.0</v>
      </c>
      <c r="H36" s="217">
        <f t="shared" si="13"/>
        <v>264380</v>
      </c>
      <c r="I36" s="514">
        <f t="shared" si="14"/>
        <v>168100</v>
      </c>
      <c r="J36" s="216">
        <v>132.19</v>
      </c>
      <c r="K36" s="515">
        <f>IFERROR(__xludf.DUMMYFUNCTION("GOOGLEFINANCE(E36,""changepct"")"),-2.94)</f>
        <v>-2.94</v>
      </c>
      <c r="L36" s="516">
        <f>IFERROR(__xludf.DUMMYFUNCTION("googlefinance(E36,""price"")"),84.05)</f>
        <v>84.05</v>
      </c>
      <c r="M36" s="517"/>
      <c r="N36" s="517">
        <f t="shared" si="15"/>
        <v>-48.14</v>
      </c>
      <c r="O36" s="518">
        <f t="shared" si="16"/>
        <v>-0.3641727816</v>
      </c>
      <c r="P36" s="514">
        <f t="shared" si="17"/>
        <v>-96280</v>
      </c>
      <c r="Q36" s="34"/>
      <c r="R36" s="29"/>
      <c r="S36" s="555"/>
      <c r="T36" s="556"/>
      <c r="U36" s="557"/>
      <c r="V36" s="558"/>
      <c r="W36" s="559"/>
      <c r="X36" s="560"/>
      <c r="Y36" s="561"/>
      <c r="Z36" s="562"/>
    </row>
    <row r="37">
      <c r="A37" s="528"/>
      <c r="B37" s="38"/>
      <c r="C37" s="512">
        <f>I37/E147</f>
        <v>0</v>
      </c>
      <c r="D37" s="529" t="s">
        <v>343</v>
      </c>
      <c r="E37" s="529" t="s">
        <v>301</v>
      </c>
      <c r="F37" s="530">
        <v>7.8</v>
      </c>
      <c r="G37" s="513">
        <v>3000.0</v>
      </c>
      <c r="H37" s="217">
        <f t="shared" si="13"/>
        <v>147870</v>
      </c>
      <c r="I37" s="217">
        <v>0.0</v>
      </c>
      <c r="J37" s="216">
        <v>49.29</v>
      </c>
      <c r="K37" s="515">
        <f>IFERROR(__xludf.DUMMYFUNCTION("GOOGLEFINANCE(E37,""changepct"")"),-3.14)</f>
        <v>-3.14</v>
      </c>
      <c r="L37" s="516">
        <f>IFERROR(__xludf.DUMMYFUNCTION("googlefinance(E37,""price"")"),94.39)</f>
        <v>94.39</v>
      </c>
      <c r="M37" s="216">
        <v>63.19</v>
      </c>
      <c r="N37" s="517">
        <f t="shared" si="15"/>
        <v>45.1</v>
      </c>
      <c r="O37" s="518">
        <f t="shared" ref="O37:O40" si="18">M37/J37-1</f>
        <v>0.2820044634</v>
      </c>
      <c r="P37" s="514">
        <f t="shared" si="17"/>
        <v>41700</v>
      </c>
      <c r="Q37" s="34"/>
      <c r="R37" s="29"/>
      <c r="S37" s="555" t="s">
        <v>301</v>
      </c>
      <c r="T37" s="556">
        <v>44722.0</v>
      </c>
      <c r="U37" s="557">
        <v>63.19</v>
      </c>
      <c r="V37" s="558">
        <v>189570.0</v>
      </c>
      <c r="W37" s="555" t="s">
        <v>301</v>
      </c>
      <c r="X37" s="556">
        <v>44714.0</v>
      </c>
      <c r="Y37" s="557">
        <v>49.29</v>
      </c>
      <c r="Z37" s="558">
        <v>147870.0</v>
      </c>
    </row>
    <row r="38">
      <c r="A38" s="528"/>
      <c r="B38" s="38"/>
      <c r="C38" s="512">
        <f>I38/E147</f>
        <v>0</v>
      </c>
      <c r="D38" s="529" t="s">
        <v>490</v>
      </c>
      <c r="E38" s="529" t="s">
        <v>349</v>
      </c>
      <c r="F38" s="530">
        <v>7.7</v>
      </c>
      <c r="G38" s="513">
        <v>8000.0</v>
      </c>
      <c r="H38" s="217">
        <f t="shared" si="13"/>
        <v>139520</v>
      </c>
      <c r="I38" s="217">
        <v>0.0</v>
      </c>
      <c r="J38" s="216">
        <v>17.44</v>
      </c>
      <c r="K38" s="515">
        <f>IFERROR(__xludf.DUMMYFUNCTION("GOOGLEFINANCE(E38,""changepct"")"),-2.23)</f>
        <v>-2.23</v>
      </c>
      <c r="L38" s="516">
        <f>IFERROR(__xludf.DUMMYFUNCTION("googlefinance(E38,""price"")"),4.38)</f>
        <v>4.38</v>
      </c>
      <c r="M38" s="216">
        <v>18.99</v>
      </c>
      <c r="N38" s="517">
        <f t="shared" si="15"/>
        <v>-13.06</v>
      </c>
      <c r="O38" s="518">
        <f t="shared" si="18"/>
        <v>0.08887614679</v>
      </c>
      <c r="P38" s="514">
        <f t="shared" si="17"/>
        <v>12400</v>
      </c>
      <c r="Q38" s="34"/>
      <c r="R38" s="29"/>
      <c r="S38" s="555" t="s">
        <v>349</v>
      </c>
      <c r="T38" s="556">
        <v>44722.0</v>
      </c>
      <c r="U38" s="557">
        <v>18.99</v>
      </c>
      <c r="V38" s="558">
        <v>151920.0</v>
      </c>
      <c r="W38" s="555" t="s">
        <v>349</v>
      </c>
      <c r="X38" s="556">
        <v>44714.0</v>
      </c>
      <c r="Y38" s="557">
        <v>17.44</v>
      </c>
      <c r="Z38" s="558">
        <v>139520.0</v>
      </c>
    </row>
    <row r="39">
      <c r="A39" s="528"/>
      <c r="B39" s="38"/>
      <c r="C39" s="512">
        <f>I39/E147</f>
        <v>0</v>
      </c>
      <c r="D39" s="529" t="s">
        <v>651</v>
      </c>
      <c r="E39" s="529" t="s">
        <v>652</v>
      </c>
      <c r="F39" s="530">
        <v>7.4</v>
      </c>
      <c r="G39" s="513">
        <v>60000.0</v>
      </c>
      <c r="H39" s="217">
        <f t="shared" si="13"/>
        <v>70800</v>
      </c>
      <c r="I39" s="217">
        <v>0.0</v>
      </c>
      <c r="J39" s="216">
        <v>1.18</v>
      </c>
      <c r="K39" s="515">
        <f>IFERROR(__xludf.DUMMYFUNCTION("GOOGLEFINANCE(E39,""changepct"")"),13.39)</f>
        <v>13.39</v>
      </c>
      <c r="L39" s="516">
        <f>IFERROR(__xludf.DUMMYFUNCTION("googlefinance(E39,""price"")"),9.74)</f>
        <v>9.74</v>
      </c>
      <c r="M39" s="216">
        <v>0.95</v>
      </c>
      <c r="N39" s="517">
        <f t="shared" si="15"/>
        <v>8.56</v>
      </c>
      <c r="O39" s="518">
        <f t="shared" si="18"/>
        <v>-0.1949152542</v>
      </c>
      <c r="P39" s="514">
        <f t="shared" si="17"/>
        <v>-13800</v>
      </c>
      <c r="Q39" s="512"/>
      <c r="R39" s="29"/>
      <c r="S39" s="555" t="s">
        <v>652</v>
      </c>
      <c r="T39" s="556">
        <v>44684.0</v>
      </c>
      <c r="U39" s="557">
        <v>0.95</v>
      </c>
      <c r="V39" s="558">
        <v>57000.0</v>
      </c>
      <c r="W39" s="555"/>
      <c r="X39" s="556"/>
      <c r="Y39" s="557"/>
      <c r="Z39" s="558"/>
    </row>
    <row r="40">
      <c r="A40" s="528"/>
      <c r="B40" s="38"/>
      <c r="C40" s="512">
        <f>I40/E147</f>
        <v>0</v>
      </c>
      <c r="D40" s="563" t="s">
        <v>490</v>
      </c>
      <c r="E40" s="563" t="s">
        <v>349</v>
      </c>
      <c r="F40" s="530">
        <v>7.7</v>
      </c>
      <c r="G40" s="513">
        <v>5000.0</v>
      </c>
      <c r="H40" s="217">
        <f t="shared" si="13"/>
        <v>105300</v>
      </c>
      <c r="I40" s="217">
        <v>0.0</v>
      </c>
      <c r="J40" s="216">
        <v>21.06</v>
      </c>
      <c r="K40" s="515">
        <f>IFERROR(__xludf.DUMMYFUNCTION("GOOGLEFINANCE(E40,""changepct"")"),-2.23)</f>
        <v>-2.23</v>
      </c>
      <c r="L40" s="516">
        <f>IFERROR(__xludf.DUMMYFUNCTION("googlefinance(E40,""price"")"),4.38)</f>
        <v>4.38</v>
      </c>
      <c r="M40" s="216">
        <v>16.37</v>
      </c>
      <c r="N40" s="517">
        <f t="shared" si="15"/>
        <v>-16.68</v>
      </c>
      <c r="O40" s="518">
        <f t="shared" si="18"/>
        <v>-0.222697056</v>
      </c>
      <c r="P40" s="514">
        <f t="shared" si="17"/>
        <v>-23450</v>
      </c>
      <c r="Q40" s="512"/>
      <c r="R40" s="514"/>
      <c r="S40" s="555" t="s">
        <v>349</v>
      </c>
      <c r="T40" s="556">
        <v>44686.0</v>
      </c>
      <c r="U40" s="557">
        <v>16.37</v>
      </c>
      <c r="V40" s="558">
        <v>81850.0</v>
      </c>
      <c r="W40" s="559"/>
      <c r="X40" s="560"/>
      <c r="Y40" s="561"/>
      <c r="Z40" s="562"/>
    </row>
    <row r="41">
      <c r="A41" s="13"/>
      <c r="B41" s="13"/>
      <c r="C41" s="13"/>
      <c r="D41" s="13"/>
      <c r="E41" s="13"/>
      <c r="F41" s="13"/>
      <c r="G41" s="564"/>
      <c r="H41" s="509">
        <f t="shared" ref="H41:I41" si="19">SUM(H35:H40)</f>
        <v>999870</v>
      </c>
      <c r="I41" s="539">
        <f t="shared" si="19"/>
        <v>378425</v>
      </c>
      <c r="J41" s="506"/>
      <c r="K41" s="506"/>
      <c r="L41" s="506"/>
      <c r="M41" s="507"/>
      <c r="N41" s="507"/>
      <c r="O41" s="540">
        <f>P41/H41</f>
        <v>0.06213807795</v>
      </c>
      <c r="P41" s="625">
        <v>62130.0</v>
      </c>
      <c r="Q41" s="13"/>
      <c r="R41" s="193">
        <v>0.0</v>
      </c>
      <c r="S41" s="510" t="s">
        <v>89</v>
      </c>
      <c r="T41" s="542"/>
      <c r="U41" s="542"/>
      <c r="V41" s="544">
        <f>SUM(V35:V40)</f>
        <v>480340</v>
      </c>
      <c r="W41" s="510" t="s">
        <v>89</v>
      </c>
      <c r="X41" s="542"/>
      <c r="Y41" s="543"/>
      <c r="Z41" s="544">
        <f>SUM(Z35:Z40)</f>
        <v>287390</v>
      </c>
    </row>
    <row r="42">
      <c r="A42" s="173"/>
      <c r="B42" s="504" t="s">
        <v>588</v>
      </c>
      <c r="C42" s="504" t="s">
        <v>2</v>
      </c>
      <c r="D42" s="13" t="s">
        <v>3</v>
      </c>
      <c r="E42" s="13" t="s">
        <v>4</v>
      </c>
      <c r="F42" s="13" t="s">
        <v>5</v>
      </c>
      <c r="G42" s="504" t="s">
        <v>6</v>
      </c>
      <c r="H42" s="504" t="s">
        <v>7</v>
      </c>
      <c r="I42" s="505" t="s">
        <v>8</v>
      </c>
      <c r="J42" s="505" t="s">
        <v>9</v>
      </c>
      <c r="K42" s="506" t="s">
        <v>10</v>
      </c>
      <c r="L42" s="506" t="s">
        <v>11</v>
      </c>
      <c r="M42" s="507" t="s">
        <v>476</v>
      </c>
      <c r="N42" s="507" t="s">
        <v>13</v>
      </c>
      <c r="O42" s="504" t="s">
        <v>14</v>
      </c>
      <c r="P42" s="508" t="s">
        <v>15</v>
      </c>
      <c r="Q42" s="13" t="s">
        <v>16</v>
      </c>
      <c r="R42" s="13" t="s">
        <v>17</v>
      </c>
      <c r="S42" s="510" t="s">
        <v>21</v>
      </c>
      <c r="T42" s="510" t="s">
        <v>22</v>
      </c>
      <c r="U42" s="511" t="s">
        <v>23</v>
      </c>
      <c r="V42" s="511" t="s">
        <v>24</v>
      </c>
      <c r="W42" s="510" t="s">
        <v>25</v>
      </c>
      <c r="X42" s="510" t="s">
        <v>26</v>
      </c>
      <c r="Y42" s="510" t="s">
        <v>27</v>
      </c>
      <c r="Z42" s="510" t="s">
        <v>28</v>
      </c>
    </row>
    <row r="43">
      <c r="A43" s="82" t="s">
        <v>29</v>
      </c>
      <c r="B43" s="83">
        <f>I48/E147</f>
        <v>0.04821822236</v>
      </c>
      <c r="C43" s="512">
        <f>I43/E147</f>
        <v>0</v>
      </c>
      <c r="D43" s="567" t="s">
        <v>653</v>
      </c>
      <c r="E43" s="104" t="s">
        <v>561</v>
      </c>
      <c r="F43" s="195">
        <v>7.1</v>
      </c>
      <c r="G43" s="513">
        <v>1000.0</v>
      </c>
      <c r="H43" s="217">
        <f t="shared" ref="H43:H47" si="20">J43*G43</f>
        <v>73310</v>
      </c>
      <c r="I43" s="217">
        <v>0.0</v>
      </c>
      <c r="J43" s="216">
        <v>73.31</v>
      </c>
      <c r="K43" s="568">
        <f>IFERROR(__xludf.DUMMYFUNCTION("GOOGLEFINANCE(E43,""changepct"")"),-4.23)</f>
        <v>-4.23</v>
      </c>
      <c r="L43" s="516">
        <f>IFERROR(__xludf.DUMMYFUNCTION("googlefinance(E43,""price"")"),7.93)</f>
        <v>7.93</v>
      </c>
      <c r="M43" s="216">
        <v>59.8</v>
      </c>
      <c r="N43" s="517">
        <f t="shared" ref="N43:N47" si="21">L43-J43</f>
        <v>-65.38</v>
      </c>
      <c r="O43" s="518">
        <f t="shared" ref="O43:O44" si="22">M43/J43-1</f>
        <v>-0.1842859092</v>
      </c>
      <c r="P43" s="495">
        <f t="shared" ref="P43:P47" si="23">H43*O43</f>
        <v>-13510</v>
      </c>
      <c r="Q43" s="512"/>
      <c r="R43" s="514"/>
      <c r="S43" s="519" t="s">
        <v>561</v>
      </c>
      <c r="T43" s="520">
        <v>44662.0</v>
      </c>
      <c r="U43" s="521">
        <v>59.8</v>
      </c>
      <c r="V43" s="522">
        <v>59800.0</v>
      </c>
      <c r="W43" s="519"/>
      <c r="X43" s="520"/>
      <c r="Y43" s="521"/>
      <c r="Z43" s="522"/>
    </row>
    <row r="44">
      <c r="A44" s="528"/>
      <c r="B44" s="528"/>
      <c r="C44" s="512">
        <f>I44/E147</f>
        <v>0</v>
      </c>
      <c r="D44" s="631" t="s">
        <v>654</v>
      </c>
      <c r="E44" s="344" t="s">
        <v>655</v>
      </c>
      <c r="F44" s="195">
        <v>7.2</v>
      </c>
      <c r="G44" s="513">
        <v>500.0</v>
      </c>
      <c r="H44" s="217">
        <f t="shared" si="20"/>
        <v>86190</v>
      </c>
      <c r="I44" s="217">
        <v>0.0</v>
      </c>
      <c r="J44" s="216">
        <v>172.38</v>
      </c>
      <c r="K44" s="568">
        <f>IFERROR(__xludf.DUMMYFUNCTION("GOOGLEFINANCE(E44,""changepct"")"),-1.87)</f>
        <v>-1.87</v>
      </c>
      <c r="L44" s="516">
        <f>IFERROR(__xludf.DUMMYFUNCTION("googlefinance(E44,""price"")"),39.38)</f>
        <v>39.38</v>
      </c>
      <c r="M44" s="216">
        <v>144.53</v>
      </c>
      <c r="N44" s="517">
        <f t="shared" si="21"/>
        <v>-133</v>
      </c>
      <c r="O44" s="518">
        <f t="shared" si="22"/>
        <v>-0.1615616661</v>
      </c>
      <c r="P44" s="514">
        <f t="shared" si="23"/>
        <v>-13925</v>
      </c>
      <c r="Q44" s="512"/>
      <c r="R44" s="514"/>
      <c r="S44" s="519" t="s">
        <v>655</v>
      </c>
      <c r="T44" s="520">
        <v>44686.0</v>
      </c>
      <c r="U44" s="521">
        <v>144.53</v>
      </c>
      <c r="V44" s="522">
        <v>72265.0</v>
      </c>
      <c r="W44" s="519"/>
      <c r="X44" s="520"/>
      <c r="Y44" s="521"/>
      <c r="Z44" s="522"/>
    </row>
    <row r="45">
      <c r="A45" s="528"/>
      <c r="B45" s="528"/>
      <c r="C45" s="512">
        <f>I45/E147</f>
        <v>0.01407065507</v>
      </c>
      <c r="D45" s="567" t="s">
        <v>316</v>
      </c>
      <c r="E45" s="104" t="s">
        <v>317</v>
      </c>
      <c r="F45" s="195">
        <v>8.5</v>
      </c>
      <c r="G45" s="513">
        <v>2500.0</v>
      </c>
      <c r="H45" s="217">
        <f t="shared" si="20"/>
        <v>182975</v>
      </c>
      <c r="I45" s="514">
        <f t="shared" ref="I45:I47" si="24">H45+P45</f>
        <v>140150</v>
      </c>
      <c r="J45" s="216">
        <v>73.19</v>
      </c>
      <c r="K45" s="568">
        <f>IFERROR(__xludf.DUMMYFUNCTION("GOOGLEFINANCE(E45,""changepct"")"),-2.81)</f>
        <v>-2.81</v>
      </c>
      <c r="L45" s="516">
        <f>IFERROR(__xludf.DUMMYFUNCTION("googlefinance(E45,""price"")"),56.06)</f>
        <v>56.06</v>
      </c>
      <c r="M45" s="216"/>
      <c r="N45" s="517">
        <f t="shared" si="21"/>
        <v>-17.13</v>
      </c>
      <c r="O45" s="518">
        <f t="shared" ref="O45:O47" si="25">L45/J45-1</f>
        <v>-0.2340483673</v>
      </c>
      <c r="P45" s="514">
        <f t="shared" si="23"/>
        <v>-42825</v>
      </c>
      <c r="Q45" s="538">
        <v>0.035</v>
      </c>
      <c r="R45" s="217">
        <v>1680.0</v>
      </c>
      <c r="S45" s="519"/>
      <c r="T45" s="520"/>
      <c r="U45" s="521"/>
      <c r="V45" s="522"/>
      <c r="W45" s="519"/>
      <c r="X45" s="520"/>
      <c r="Y45" s="521"/>
      <c r="Z45" s="522"/>
    </row>
    <row r="46">
      <c r="A46" s="528"/>
      <c r="B46" s="528"/>
      <c r="C46" s="512">
        <f>I46/E147</f>
        <v>0.01768997091</v>
      </c>
      <c r="D46" s="567" t="s">
        <v>111</v>
      </c>
      <c r="E46" s="104" t="s">
        <v>112</v>
      </c>
      <c r="F46" s="195">
        <v>8.4</v>
      </c>
      <c r="G46" s="513">
        <v>1000.0</v>
      </c>
      <c r="H46" s="217">
        <f t="shared" si="20"/>
        <v>161480</v>
      </c>
      <c r="I46" s="514">
        <f t="shared" si="24"/>
        <v>176200</v>
      </c>
      <c r="J46" s="216">
        <v>161.48</v>
      </c>
      <c r="K46" s="568">
        <f>IFERROR(__xludf.DUMMYFUNCTION("GOOGLEFINANCE(E46,""changepct"")"),-1.02)</f>
        <v>-1.02</v>
      </c>
      <c r="L46" s="516">
        <f>IFERROR(__xludf.DUMMYFUNCTION("googlefinance(E46,""price"")"),176.2)</f>
        <v>176.2</v>
      </c>
      <c r="M46" s="216"/>
      <c r="N46" s="517">
        <f t="shared" si="21"/>
        <v>14.72</v>
      </c>
      <c r="O46" s="518">
        <f t="shared" si="25"/>
        <v>0.0911567996</v>
      </c>
      <c r="P46" s="514">
        <f t="shared" si="23"/>
        <v>14720</v>
      </c>
      <c r="Q46" s="538">
        <v>0.042</v>
      </c>
      <c r="R46" s="217">
        <v>1600.0</v>
      </c>
      <c r="S46" s="519"/>
      <c r="T46" s="520"/>
      <c r="U46" s="521"/>
      <c r="V46" s="522"/>
      <c r="W46" s="519"/>
      <c r="X46" s="520"/>
      <c r="Y46" s="521"/>
      <c r="Z46" s="522"/>
    </row>
    <row r="47">
      <c r="A47" s="528"/>
      <c r="B47" s="528"/>
      <c r="C47" s="512">
        <f>I47/E147</f>
        <v>0.01645759638</v>
      </c>
      <c r="D47" s="104" t="s">
        <v>591</v>
      </c>
      <c r="E47" s="104" t="s">
        <v>592</v>
      </c>
      <c r="F47" s="569">
        <v>8.3</v>
      </c>
      <c r="G47" s="513">
        <v>2500.0</v>
      </c>
      <c r="H47" s="217">
        <f t="shared" si="20"/>
        <v>164475</v>
      </c>
      <c r="I47" s="514">
        <f t="shared" si="24"/>
        <v>163925</v>
      </c>
      <c r="J47" s="216">
        <v>65.79</v>
      </c>
      <c r="K47" s="568">
        <f>IFERROR(__xludf.DUMMYFUNCTION("GOOGLEFINANCE(E47,""changepct"")"),-1.04)</f>
        <v>-1.04</v>
      </c>
      <c r="L47" s="516">
        <f>IFERROR(__xludf.DUMMYFUNCTION("googlefinance(E47,""price"")"),65.57)</f>
        <v>65.57</v>
      </c>
      <c r="M47" s="517"/>
      <c r="N47" s="517">
        <f t="shared" si="21"/>
        <v>-0.22</v>
      </c>
      <c r="O47" s="518">
        <f t="shared" si="25"/>
        <v>-0.003343973248</v>
      </c>
      <c r="P47" s="514">
        <f t="shared" si="23"/>
        <v>-550</v>
      </c>
      <c r="Q47" s="538">
        <v>0.024</v>
      </c>
      <c r="R47" s="217">
        <v>990.0</v>
      </c>
      <c r="S47" s="523"/>
      <c r="T47" s="524"/>
      <c r="U47" s="525"/>
      <c r="V47" s="526"/>
      <c r="W47" s="519"/>
      <c r="X47" s="520"/>
      <c r="Y47" s="521"/>
      <c r="Z47" s="522"/>
    </row>
    <row r="48">
      <c r="A48" s="13"/>
      <c r="B48" s="13"/>
      <c r="C48" s="504" t="s">
        <v>89</v>
      </c>
      <c r="D48" s="13"/>
      <c r="E48" s="13"/>
      <c r="F48" s="13"/>
      <c r="G48" s="564"/>
      <c r="H48" s="509">
        <f t="shared" ref="H48:I48" si="26">SUM(H43:H47)</f>
        <v>668430</v>
      </c>
      <c r="I48" s="539">
        <f t="shared" si="26"/>
        <v>480275</v>
      </c>
      <c r="J48" s="506"/>
      <c r="K48" s="506"/>
      <c r="L48" s="506"/>
      <c r="M48" s="507"/>
      <c r="N48" s="507"/>
      <c r="O48" s="540">
        <f>P48/H48</f>
        <v>-0.03819397693</v>
      </c>
      <c r="P48" s="625">
        <v>-25530.0</v>
      </c>
      <c r="Q48" s="13"/>
      <c r="R48" s="509">
        <f>SUM(R43:R47)</f>
        <v>4270</v>
      </c>
      <c r="S48" s="510" t="s">
        <v>89</v>
      </c>
      <c r="T48" s="542"/>
      <c r="U48" s="542"/>
      <c r="V48" s="544">
        <f>SUM(V43:V47)</f>
        <v>132065</v>
      </c>
      <c r="W48" s="510" t="s">
        <v>89</v>
      </c>
      <c r="X48" s="542"/>
      <c r="Y48" s="543"/>
      <c r="Z48" s="570">
        <f>SUM(Z43:Z47)</f>
        <v>0</v>
      </c>
    </row>
    <row r="49">
      <c r="A49" s="173"/>
      <c r="B49" s="504" t="s">
        <v>656</v>
      </c>
      <c r="C49" s="504" t="s">
        <v>2</v>
      </c>
      <c r="D49" s="13" t="s">
        <v>3</v>
      </c>
      <c r="E49" s="13" t="s">
        <v>4</v>
      </c>
      <c r="F49" s="13" t="s">
        <v>5</v>
      </c>
      <c r="G49" s="504" t="s">
        <v>6</v>
      </c>
      <c r="H49" s="504" t="s">
        <v>7</v>
      </c>
      <c r="I49" s="505" t="s">
        <v>8</v>
      </c>
      <c r="J49" s="505" t="s">
        <v>9</v>
      </c>
      <c r="K49" s="506" t="s">
        <v>10</v>
      </c>
      <c r="L49" s="506" t="s">
        <v>11</v>
      </c>
      <c r="M49" s="507" t="s">
        <v>476</v>
      </c>
      <c r="N49" s="507" t="s">
        <v>13</v>
      </c>
      <c r="O49" s="504" t="s">
        <v>14</v>
      </c>
      <c r="P49" s="508" t="s">
        <v>15</v>
      </c>
      <c r="Q49" s="13" t="s">
        <v>16</v>
      </c>
      <c r="R49" s="13" t="s">
        <v>17</v>
      </c>
      <c r="S49" s="510" t="s">
        <v>21</v>
      </c>
      <c r="T49" s="510" t="s">
        <v>22</v>
      </c>
      <c r="U49" s="511" t="s">
        <v>23</v>
      </c>
      <c r="V49" s="511" t="s">
        <v>24</v>
      </c>
      <c r="W49" s="510" t="s">
        <v>25</v>
      </c>
      <c r="X49" s="510" t="s">
        <v>26</v>
      </c>
      <c r="Y49" s="510" t="s">
        <v>27</v>
      </c>
      <c r="Z49" s="510" t="s">
        <v>28</v>
      </c>
    </row>
    <row r="50">
      <c r="A50" s="502" t="s">
        <v>29</v>
      </c>
      <c r="B50" s="527">
        <f>I61/E147</f>
        <v>0.3750521814</v>
      </c>
      <c r="C50" s="512">
        <f>I50/E147</f>
        <v>0.006750701726</v>
      </c>
      <c r="D50" s="104" t="s">
        <v>304</v>
      </c>
      <c r="E50" s="104" t="s">
        <v>305</v>
      </c>
      <c r="F50" s="195">
        <v>7.5</v>
      </c>
      <c r="G50" s="513">
        <v>2000.0</v>
      </c>
      <c r="H50" s="217">
        <f t="shared" ref="H50:H60" si="27">J50*G50</f>
        <v>152600</v>
      </c>
      <c r="I50" s="217">
        <f t="shared" ref="I50:I54" si="28">H50+P50</f>
        <v>67240</v>
      </c>
      <c r="J50" s="216">
        <v>76.3</v>
      </c>
      <c r="K50" s="515">
        <f>IFERROR(__xludf.DUMMYFUNCTION("GOOGLEFINANCE(E50,""changepct"")"),-0.97)</f>
        <v>-0.97</v>
      </c>
      <c r="L50" s="517">
        <f>IFERROR(__xludf.DUMMYFUNCTION("googlefinance(E50,""price"")"),33.62)</f>
        <v>33.62</v>
      </c>
      <c r="M50" s="216"/>
      <c r="N50" s="517">
        <f t="shared" ref="N50:N60" si="29">L50-J50</f>
        <v>-42.68</v>
      </c>
      <c r="O50" s="518">
        <f t="shared" ref="O50:O54" si="30">L50/J50-1</f>
        <v>-0.5593709043</v>
      </c>
      <c r="P50" s="514">
        <f t="shared" ref="P50:P60" si="31">H50*O50</f>
        <v>-85360</v>
      </c>
      <c r="Q50" s="538"/>
      <c r="R50" s="514"/>
      <c r="S50" s="519"/>
      <c r="T50" s="520"/>
      <c r="U50" s="521"/>
      <c r="V50" s="522"/>
      <c r="W50" s="523"/>
      <c r="X50" s="524"/>
      <c r="Y50" s="525"/>
      <c r="Z50" s="526"/>
    </row>
    <row r="51">
      <c r="A51" s="528"/>
      <c r="B51" s="528"/>
      <c r="C51" s="512">
        <f>I51/E147</f>
        <v>0.008606542317</v>
      </c>
      <c r="D51" s="567" t="s">
        <v>306</v>
      </c>
      <c r="E51" s="567" t="s">
        <v>307</v>
      </c>
      <c r="F51" s="195">
        <v>7.6</v>
      </c>
      <c r="G51" s="513">
        <v>7500.0</v>
      </c>
      <c r="H51" s="217">
        <f t="shared" si="27"/>
        <v>162225</v>
      </c>
      <c r="I51" s="217">
        <f t="shared" si="28"/>
        <v>85725</v>
      </c>
      <c r="J51" s="216">
        <v>21.63</v>
      </c>
      <c r="K51" s="515">
        <f>IFERROR(__xludf.DUMMYFUNCTION("GOOGLEFINANCE(E51,""changepct"")"),-0.87)</f>
        <v>-0.87</v>
      </c>
      <c r="L51" s="517">
        <f>IFERROR(__xludf.DUMMYFUNCTION("googlefinance(E51,""price"")"),11.43)</f>
        <v>11.43</v>
      </c>
      <c r="M51" s="216"/>
      <c r="N51" s="517">
        <f t="shared" si="29"/>
        <v>-10.2</v>
      </c>
      <c r="O51" s="518">
        <f t="shared" si="30"/>
        <v>-0.4715672677</v>
      </c>
      <c r="P51" s="514">
        <f t="shared" si="31"/>
        <v>-76500</v>
      </c>
      <c r="Q51" s="538">
        <v>0.015</v>
      </c>
      <c r="R51" s="217">
        <v>560.0</v>
      </c>
      <c r="S51" s="519"/>
      <c r="T51" s="520"/>
      <c r="U51" s="521"/>
      <c r="V51" s="522"/>
      <c r="W51" s="519"/>
      <c r="X51" s="520"/>
      <c r="Y51" s="521"/>
      <c r="Z51" s="522"/>
    </row>
    <row r="52">
      <c r="A52" s="528"/>
      <c r="B52" s="528"/>
      <c r="C52" s="512">
        <f>I52/E147</f>
        <v>0.02161168285</v>
      </c>
      <c r="D52" s="567" t="s">
        <v>566</v>
      </c>
      <c r="E52" s="567" t="s">
        <v>567</v>
      </c>
      <c r="F52" s="195">
        <v>8.0</v>
      </c>
      <c r="G52" s="513">
        <v>1800.0</v>
      </c>
      <c r="H52" s="217">
        <f t="shared" si="27"/>
        <v>182790</v>
      </c>
      <c r="I52" s="217">
        <f t="shared" si="28"/>
        <v>215262</v>
      </c>
      <c r="J52" s="216">
        <v>101.55</v>
      </c>
      <c r="K52" s="515">
        <f>IFERROR(__xludf.DUMMYFUNCTION("GOOGLEFINANCE(E52,""changepct"")"),0.01)</f>
        <v>0.01</v>
      </c>
      <c r="L52" s="517">
        <f>IFERROR(__xludf.DUMMYFUNCTION("googlefinance(E52,""price"")"),119.59)</f>
        <v>119.59</v>
      </c>
      <c r="M52" s="216"/>
      <c r="N52" s="517">
        <f t="shared" si="29"/>
        <v>18.04</v>
      </c>
      <c r="O52" s="518">
        <f t="shared" si="30"/>
        <v>0.1776464796</v>
      </c>
      <c r="P52" s="514">
        <f t="shared" si="31"/>
        <v>32472</v>
      </c>
      <c r="Q52" s="538">
        <v>0.055</v>
      </c>
      <c r="R52" s="217">
        <v>2750.0</v>
      </c>
      <c r="S52" s="519"/>
      <c r="T52" s="520"/>
      <c r="U52" s="521"/>
      <c r="V52" s="522"/>
      <c r="W52" s="519"/>
      <c r="X52" s="520"/>
      <c r="Y52" s="521"/>
      <c r="Z52" s="522"/>
    </row>
    <row r="53">
      <c r="A53" s="528"/>
      <c r="B53" s="528"/>
      <c r="C53" s="512">
        <f>I53/E147</f>
        <v>0.01165409661</v>
      </c>
      <c r="D53" s="567" t="s">
        <v>657</v>
      </c>
      <c r="E53" s="567" t="s">
        <v>309</v>
      </c>
      <c r="F53" s="195">
        <v>7.0</v>
      </c>
      <c r="G53" s="513">
        <v>8000.0</v>
      </c>
      <c r="H53" s="217">
        <f t="shared" si="27"/>
        <v>159920</v>
      </c>
      <c r="I53" s="217">
        <f t="shared" si="28"/>
        <v>116080</v>
      </c>
      <c r="J53" s="216">
        <v>19.99</v>
      </c>
      <c r="K53" s="515">
        <f>IFERROR(__xludf.DUMMYFUNCTION("GOOGLEFINANCE(E53,""changepct"")"),0.28)</f>
        <v>0.28</v>
      </c>
      <c r="L53" s="517">
        <f>IFERROR(__xludf.DUMMYFUNCTION("googlefinance(E53,""price"")"),14.51)</f>
        <v>14.51</v>
      </c>
      <c r="M53" s="216"/>
      <c r="N53" s="517">
        <f t="shared" si="29"/>
        <v>-5.48</v>
      </c>
      <c r="O53" s="518">
        <f t="shared" si="30"/>
        <v>-0.2741370685</v>
      </c>
      <c r="P53" s="514">
        <f t="shared" si="31"/>
        <v>-43840</v>
      </c>
      <c r="Q53" s="538">
        <v>0.014</v>
      </c>
      <c r="R53" s="217">
        <v>490.0</v>
      </c>
      <c r="S53" s="519"/>
      <c r="T53" s="520"/>
      <c r="U53" s="521"/>
      <c r="V53" s="522"/>
      <c r="W53" s="519"/>
      <c r="X53" s="520"/>
      <c r="Y53" s="521"/>
      <c r="Z53" s="522"/>
    </row>
    <row r="54">
      <c r="A54" s="528"/>
      <c r="B54" s="528"/>
      <c r="C54" s="512">
        <f>I54/E147</f>
        <v>0.02654499608</v>
      </c>
      <c r="D54" s="567" t="s">
        <v>491</v>
      </c>
      <c r="E54" s="567" t="s">
        <v>492</v>
      </c>
      <c r="F54" s="195">
        <v>7.8</v>
      </c>
      <c r="G54" s="513">
        <v>2500.0</v>
      </c>
      <c r="H54" s="217">
        <f t="shared" si="27"/>
        <v>205275</v>
      </c>
      <c r="I54" s="217">
        <f t="shared" si="28"/>
        <v>264400</v>
      </c>
      <c r="J54" s="216">
        <v>82.11</v>
      </c>
      <c r="K54" s="515">
        <f>IFERROR(__xludf.DUMMYFUNCTION("GOOGLEFINANCE(E54,""changepct"")"),-0.68)</f>
        <v>-0.68</v>
      </c>
      <c r="L54" s="517">
        <f>IFERROR(__xludf.DUMMYFUNCTION("googlefinance(E54,""price"")"),105.76)</f>
        <v>105.76</v>
      </c>
      <c r="M54" s="216"/>
      <c r="N54" s="517">
        <f t="shared" si="29"/>
        <v>23.65</v>
      </c>
      <c r="O54" s="518">
        <f t="shared" si="30"/>
        <v>0.2880282548</v>
      </c>
      <c r="P54" s="514">
        <f t="shared" si="31"/>
        <v>59125</v>
      </c>
      <c r="Q54" s="538">
        <v>0.054</v>
      </c>
      <c r="R54" s="217">
        <v>2900.0</v>
      </c>
      <c r="S54" s="519"/>
      <c r="T54" s="520"/>
      <c r="U54" s="521"/>
      <c r="V54" s="522"/>
      <c r="W54" s="519"/>
      <c r="X54" s="520"/>
      <c r="Y54" s="521"/>
      <c r="Z54" s="522"/>
    </row>
    <row r="55">
      <c r="A55" s="528"/>
      <c r="B55" s="528"/>
      <c r="C55" s="512">
        <f>I55/E147</f>
        <v>0</v>
      </c>
      <c r="D55" s="567" t="s">
        <v>94</v>
      </c>
      <c r="E55" s="567" t="s">
        <v>95</v>
      </c>
      <c r="F55" s="195">
        <v>7.4</v>
      </c>
      <c r="G55" s="513">
        <v>3500.0</v>
      </c>
      <c r="H55" s="217">
        <f t="shared" si="27"/>
        <v>145040</v>
      </c>
      <c r="I55" s="217">
        <v>0.0</v>
      </c>
      <c r="J55" s="216">
        <v>41.44</v>
      </c>
      <c r="K55" s="515">
        <f>IFERROR(__xludf.DUMMYFUNCTION("GOOGLEFINANCE(E55,""changepct"")"),0.03)</f>
        <v>0.03</v>
      </c>
      <c r="L55" s="517">
        <f>IFERROR(__xludf.DUMMYFUNCTION("googlefinance(E55,""price"")"),37.81)</f>
        <v>37.81</v>
      </c>
      <c r="M55" s="216">
        <v>41.45</v>
      </c>
      <c r="N55" s="517">
        <f t="shared" si="29"/>
        <v>-3.63</v>
      </c>
      <c r="O55" s="518">
        <f>M55/J55-1</f>
        <v>0.0002413127413</v>
      </c>
      <c r="P55" s="514">
        <f t="shared" si="31"/>
        <v>35</v>
      </c>
      <c r="Q55" s="538">
        <v>0.016</v>
      </c>
      <c r="R55" s="217"/>
      <c r="S55" s="519" t="s">
        <v>95</v>
      </c>
      <c r="T55" s="520">
        <v>44699.0</v>
      </c>
      <c r="U55" s="521">
        <v>41.45</v>
      </c>
      <c r="V55" s="522">
        <v>145075.0</v>
      </c>
      <c r="W55" s="519"/>
      <c r="X55" s="520"/>
      <c r="Y55" s="521"/>
      <c r="Z55" s="522"/>
    </row>
    <row r="56">
      <c r="A56" s="528"/>
      <c r="B56" s="528"/>
      <c r="C56" s="512">
        <f>I56/E147</f>
        <v>0.2727789499</v>
      </c>
      <c r="D56" s="104" t="s">
        <v>393</v>
      </c>
      <c r="E56" s="104" t="s">
        <v>394</v>
      </c>
      <c r="F56" s="195">
        <v>7.6</v>
      </c>
      <c r="G56" s="513">
        <v>5000.0</v>
      </c>
      <c r="H56" s="217">
        <f t="shared" si="27"/>
        <v>151050</v>
      </c>
      <c r="I56" s="217">
        <f t="shared" ref="I56:I59" si="32">H56+P56</f>
        <v>2717000</v>
      </c>
      <c r="J56" s="216">
        <v>30.21</v>
      </c>
      <c r="K56" s="515">
        <f>IFERROR(__xludf.DUMMYFUNCTION("GOOGLEFINANCE(E56,""changepct"")"),-0.62)</f>
        <v>-0.62</v>
      </c>
      <c r="L56" s="517">
        <f>IFERROR(__xludf.DUMMYFUNCTION("googlefinance(E56,""price"")"),543.4)</f>
        <v>543.4</v>
      </c>
      <c r="M56" s="216"/>
      <c r="N56" s="517">
        <f t="shared" si="29"/>
        <v>513.19</v>
      </c>
      <c r="O56" s="518">
        <f t="shared" ref="O56:O59" si="33">L56/J56-1</f>
        <v>16.98742138</v>
      </c>
      <c r="P56" s="514">
        <f t="shared" si="31"/>
        <v>2565950</v>
      </c>
      <c r="Q56" s="538">
        <v>0.03</v>
      </c>
      <c r="R56" s="217"/>
      <c r="S56" s="519"/>
      <c r="T56" s="520"/>
      <c r="U56" s="521"/>
      <c r="V56" s="522"/>
      <c r="W56" s="519" t="s">
        <v>394</v>
      </c>
      <c r="X56" s="520">
        <v>44722.0</v>
      </c>
      <c r="Y56" s="521">
        <v>30.21</v>
      </c>
      <c r="Z56" s="522">
        <v>151050.0</v>
      </c>
    </row>
    <row r="57">
      <c r="A57" s="528"/>
      <c r="B57" s="528"/>
      <c r="C57" s="512">
        <f>I57/E147</f>
        <v>0.00641939126</v>
      </c>
      <c r="D57" s="104" t="s">
        <v>92</v>
      </c>
      <c r="E57" s="104" t="s">
        <v>93</v>
      </c>
      <c r="F57" s="195">
        <v>7.7</v>
      </c>
      <c r="G57" s="513">
        <v>2000.0</v>
      </c>
      <c r="H57" s="217">
        <f t="shared" si="27"/>
        <v>109520</v>
      </c>
      <c r="I57" s="217">
        <f t="shared" si="32"/>
        <v>63940</v>
      </c>
      <c r="J57" s="216">
        <v>54.76</v>
      </c>
      <c r="K57" s="515">
        <f>IFERROR(__xludf.DUMMYFUNCTION("GOOGLEFINANCE(E57,""changepct"")"),2.47)</f>
        <v>2.47</v>
      </c>
      <c r="L57" s="517">
        <f>IFERROR(__xludf.DUMMYFUNCTION("googlefinance(E57,""price"")"),31.97)</f>
        <v>31.97</v>
      </c>
      <c r="M57" s="216"/>
      <c r="N57" s="517">
        <f t="shared" si="29"/>
        <v>-22.79</v>
      </c>
      <c r="O57" s="518">
        <f t="shared" si="33"/>
        <v>-0.4161796932</v>
      </c>
      <c r="P57" s="514">
        <f t="shared" si="31"/>
        <v>-45580</v>
      </c>
      <c r="Q57" s="538">
        <v>0.092</v>
      </c>
      <c r="R57" s="217">
        <v>2530.0</v>
      </c>
      <c r="S57" s="519"/>
      <c r="T57" s="520"/>
      <c r="U57" s="521"/>
      <c r="V57" s="522"/>
      <c r="W57" s="519" t="s">
        <v>93</v>
      </c>
      <c r="X57" s="520">
        <v>44735.0</v>
      </c>
      <c r="Y57" s="521">
        <v>54.76</v>
      </c>
      <c r="Z57" s="522">
        <v>109520.0</v>
      </c>
    </row>
    <row r="58">
      <c r="A58" s="528"/>
      <c r="B58" s="528"/>
      <c r="C58" s="512">
        <f>I58/E147</f>
        <v>0.0116822078</v>
      </c>
      <c r="D58" s="104" t="s">
        <v>494</v>
      </c>
      <c r="E58" s="104" t="s">
        <v>494</v>
      </c>
      <c r="F58" s="195">
        <v>7.8</v>
      </c>
      <c r="G58" s="513">
        <v>4000.0</v>
      </c>
      <c r="H58" s="217">
        <f t="shared" si="27"/>
        <v>108960</v>
      </c>
      <c r="I58" s="217">
        <f t="shared" si="32"/>
        <v>116360</v>
      </c>
      <c r="J58" s="216">
        <v>27.24</v>
      </c>
      <c r="K58" s="515">
        <f>IFERROR(__xludf.DUMMYFUNCTION("GOOGLEFINANCE(E58,""changepct"")"),0.45)</f>
        <v>0.45</v>
      </c>
      <c r="L58" s="517">
        <f>IFERROR(__xludf.DUMMYFUNCTION("googlefinance(E58,""price"")"),29.09)</f>
        <v>29.09</v>
      </c>
      <c r="M58" s="216"/>
      <c r="N58" s="517">
        <f t="shared" si="29"/>
        <v>1.85</v>
      </c>
      <c r="O58" s="518">
        <f t="shared" si="33"/>
        <v>0.06791483113</v>
      </c>
      <c r="P58" s="514">
        <f t="shared" si="31"/>
        <v>7400</v>
      </c>
      <c r="Q58" s="538">
        <v>0.046</v>
      </c>
      <c r="R58" s="217">
        <v>1265.0</v>
      </c>
      <c r="S58" s="519"/>
      <c r="T58" s="520"/>
      <c r="U58" s="521"/>
      <c r="V58" s="522"/>
      <c r="W58" s="519" t="s">
        <v>494</v>
      </c>
      <c r="X58" s="520">
        <v>44735.0</v>
      </c>
      <c r="Y58" s="521">
        <v>27.24</v>
      </c>
      <c r="Z58" s="522">
        <v>108960.0</v>
      </c>
    </row>
    <row r="59">
      <c r="A59" s="528"/>
      <c r="B59" s="528"/>
      <c r="C59" s="512">
        <f>I59/E147</f>
        <v>0.00900361289</v>
      </c>
      <c r="D59" s="104" t="s">
        <v>352</v>
      </c>
      <c r="E59" s="104" t="s">
        <v>97</v>
      </c>
      <c r="F59" s="195">
        <v>8.1</v>
      </c>
      <c r="G59" s="513">
        <v>4000.0</v>
      </c>
      <c r="H59" s="217">
        <f t="shared" si="27"/>
        <v>191840</v>
      </c>
      <c r="I59" s="217">
        <f t="shared" si="32"/>
        <v>89680</v>
      </c>
      <c r="J59" s="216">
        <v>47.96</v>
      </c>
      <c r="K59" s="515">
        <f>IFERROR(__xludf.DUMMYFUNCTION("GOOGLEFINANCE(E59,""changepct"")"),1.49)</f>
        <v>1.49</v>
      </c>
      <c r="L59" s="517">
        <f>IFERROR(__xludf.DUMMYFUNCTION("googlefinance(E59,""price"")"),22.42)</f>
        <v>22.42</v>
      </c>
      <c r="M59" s="216"/>
      <c r="N59" s="517">
        <f t="shared" si="29"/>
        <v>-25.54</v>
      </c>
      <c r="O59" s="518">
        <f t="shared" si="33"/>
        <v>-0.5325271059</v>
      </c>
      <c r="P59" s="514">
        <f t="shared" si="31"/>
        <v>-102160</v>
      </c>
      <c r="Q59" s="538">
        <v>0.014</v>
      </c>
      <c r="R59" s="217">
        <v>525.0</v>
      </c>
      <c r="S59" s="519"/>
      <c r="T59" s="520"/>
      <c r="U59" s="521"/>
      <c r="V59" s="522"/>
      <c r="W59" s="519" t="s">
        <v>97</v>
      </c>
      <c r="X59" s="520">
        <v>44722.0</v>
      </c>
      <c r="Y59" s="521">
        <v>47.96</v>
      </c>
      <c r="Z59" s="522">
        <v>191840.0</v>
      </c>
    </row>
    <row r="60">
      <c r="A60" s="528"/>
      <c r="B60" s="528"/>
      <c r="C60" s="512">
        <f>I60/E147</f>
        <v>0</v>
      </c>
      <c r="D60" s="104" t="s">
        <v>352</v>
      </c>
      <c r="E60" s="104" t="s">
        <v>97</v>
      </c>
      <c r="F60" s="195">
        <v>8.1</v>
      </c>
      <c r="G60" s="513">
        <v>3500.0</v>
      </c>
      <c r="H60" s="217">
        <f t="shared" si="27"/>
        <v>145565</v>
      </c>
      <c r="I60" s="217">
        <v>0.0</v>
      </c>
      <c r="J60" s="216">
        <v>41.59</v>
      </c>
      <c r="K60" s="515">
        <f>IFERROR(__xludf.DUMMYFUNCTION("GOOGLEFINANCE(E60,""changepct"")"),1.49)</f>
        <v>1.49</v>
      </c>
      <c r="L60" s="517">
        <f>IFERROR(__xludf.DUMMYFUNCTION("googlefinance(E60,""price"")"),22.42)</f>
        <v>22.42</v>
      </c>
      <c r="M60" s="216">
        <v>42.87</v>
      </c>
      <c r="N60" s="517">
        <f t="shared" si="29"/>
        <v>-19.17</v>
      </c>
      <c r="O60" s="518">
        <f>M60/J60-1</f>
        <v>0.030776629</v>
      </c>
      <c r="P60" s="514">
        <f t="shared" si="31"/>
        <v>4480</v>
      </c>
      <c r="Q60" s="538">
        <v>0.014</v>
      </c>
      <c r="R60" s="217"/>
      <c r="S60" s="519" t="s">
        <v>97</v>
      </c>
      <c r="T60" s="520">
        <v>44686.0</v>
      </c>
      <c r="U60" s="521">
        <v>42.87</v>
      </c>
      <c r="V60" s="522">
        <v>150045.0</v>
      </c>
      <c r="W60" s="523"/>
      <c r="X60" s="524"/>
      <c r="Y60" s="525"/>
      <c r="Z60" s="526"/>
    </row>
    <row r="61">
      <c r="A61" s="13"/>
      <c r="B61" s="13"/>
      <c r="C61" s="504" t="s">
        <v>89</v>
      </c>
      <c r="D61" s="13"/>
      <c r="E61" s="13"/>
      <c r="F61" s="13"/>
      <c r="G61" s="564"/>
      <c r="H61" s="509">
        <f t="shared" ref="H61:I61" si="34">SUM(H50:H60)</f>
        <v>1714785</v>
      </c>
      <c r="I61" s="539">
        <f t="shared" si="34"/>
        <v>3735687</v>
      </c>
      <c r="J61" s="506"/>
      <c r="K61" s="506"/>
      <c r="L61" s="506"/>
      <c r="M61" s="507"/>
      <c r="N61" s="507"/>
      <c r="O61" s="540">
        <f>P61/H61</f>
        <v>-0.0686418414</v>
      </c>
      <c r="P61" s="625">
        <v>-117706.0</v>
      </c>
      <c r="Q61" s="13"/>
      <c r="R61" s="509">
        <f>SUM(R50:R60)</f>
        <v>11020</v>
      </c>
      <c r="S61" s="510" t="s">
        <v>89</v>
      </c>
      <c r="T61" s="542"/>
      <c r="U61" s="543"/>
      <c r="V61" s="570">
        <f>SUM(V50:V60)</f>
        <v>295120</v>
      </c>
      <c r="W61" s="510" t="s">
        <v>89</v>
      </c>
      <c r="X61" s="542"/>
      <c r="Y61" s="543"/>
      <c r="Z61" s="570">
        <f>SUM(Z50:Z60)</f>
        <v>561370</v>
      </c>
    </row>
    <row r="62">
      <c r="A62" s="173"/>
      <c r="B62" s="504" t="s">
        <v>658</v>
      </c>
      <c r="C62" s="504" t="s">
        <v>2</v>
      </c>
      <c r="D62" s="13" t="s">
        <v>3</v>
      </c>
      <c r="E62" s="13" t="s">
        <v>4</v>
      </c>
      <c r="F62" s="13" t="s">
        <v>5</v>
      </c>
      <c r="G62" s="504" t="s">
        <v>6</v>
      </c>
      <c r="H62" s="504" t="s">
        <v>7</v>
      </c>
      <c r="I62" s="505" t="s">
        <v>8</v>
      </c>
      <c r="J62" s="505" t="s">
        <v>9</v>
      </c>
      <c r="K62" s="506" t="s">
        <v>10</v>
      </c>
      <c r="L62" s="506" t="s">
        <v>11</v>
      </c>
      <c r="M62" s="507" t="s">
        <v>476</v>
      </c>
      <c r="N62" s="507" t="s">
        <v>13</v>
      </c>
      <c r="O62" s="504" t="s">
        <v>14</v>
      </c>
      <c r="P62" s="508" t="s">
        <v>15</v>
      </c>
      <c r="Q62" s="13" t="s">
        <v>16</v>
      </c>
      <c r="R62" s="13" t="s">
        <v>17</v>
      </c>
      <c r="S62" s="510" t="s">
        <v>21</v>
      </c>
      <c r="T62" s="510" t="s">
        <v>22</v>
      </c>
      <c r="U62" s="511" t="s">
        <v>23</v>
      </c>
      <c r="V62" s="511" t="s">
        <v>24</v>
      </c>
      <c r="W62" s="510" t="s">
        <v>25</v>
      </c>
      <c r="X62" s="510" t="s">
        <v>26</v>
      </c>
      <c r="Y62" s="510" t="s">
        <v>27</v>
      </c>
      <c r="Z62" s="510" t="s">
        <v>28</v>
      </c>
    </row>
    <row r="63">
      <c r="A63" s="502" t="s">
        <v>29</v>
      </c>
      <c r="B63" s="527">
        <f>I83/E147</f>
        <v>0.1925776215</v>
      </c>
      <c r="C63" s="512">
        <f>I63/E147</f>
        <v>0.01764680015</v>
      </c>
      <c r="D63" s="571" t="s">
        <v>595</v>
      </c>
      <c r="E63" s="104" t="s">
        <v>130</v>
      </c>
      <c r="F63" s="195">
        <v>7.9</v>
      </c>
      <c r="G63" s="513">
        <v>3000.0</v>
      </c>
      <c r="H63" s="217">
        <f t="shared" ref="H63:H82" si="35">G63*J63</f>
        <v>244410</v>
      </c>
      <c r="I63" s="514">
        <f t="shared" ref="I63:I65" si="36">H63+P63</f>
        <v>175770</v>
      </c>
      <c r="J63" s="216">
        <v>81.47</v>
      </c>
      <c r="K63" s="515">
        <f>IFERROR(__xludf.DUMMYFUNCTION("GOOGLEFINANCE(E63,""changepct"")"),-0.71)</f>
        <v>-0.71</v>
      </c>
      <c r="L63" s="517">
        <f>IFERROR(__xludf.DUMMYFUNCTION("googlefinance(E63,""price"")"),58.59)</f>
        <v>58.59</v>
      </c>
      <c r="M63" s="517"/>
      <c r="N63" s="517">
        <f t="shared" ref="N63:N82" si="37">L63-J63</f>
        <v>-22.88</v>
      </c>
      <c r="O63" s="518">
        <f t="shared" ref="O63:O65" si="38">L63/J63-1</f>
        <v>-0.2808395728</v>
      </c>
      <c r="P63" s="495">
        <f t="shared" ref="P63:P82" si="39">H63*O63</f>
        <v>-68640</v>
      </c>
      <c r="Q63" s="538">
        <v>0.137</v>
      </c>
      <c r="R63" s="217">
        <v>6850.0</v>
      </c>
      <c r="S63" s="523"/>
      <c r="T63" s="524"/>
      <c r="U63" s="525"/>
      <c r="V63" s="525"/>
      <c r="W63" s="519"/>
      <c r="X63" s="520"/>
      <c r="Y63" s="521"/>
      <c r="Z63" s="522"/>
    </row>
    <row r="64">
      <c r="A64" s="528"/>
      <c r="B64" s="528"/>
      <c r="C64" s="512">
        <f>I64/E147</f>
        <v>0.01469211318</v>
      </c>
      <c r="D64" s="571" t="s">
        <v>634</v>
      </c>
      <c r="E64" s="104" t="s">
        <v>635</v>
      </c>
      <c r="F64" s="195">
        <v>7.8</v>
      </c>
      <c r="G64" s="513">
        <v>3000.0</v>
      </c>
      <c r="H64" s="217">
        <f t="shared" si="35"/>
        <v>235530</v>
      </c>
      <c r="I64" s="514">
        <f t="shared" si="36"/>
        <v>146340</v>
      </c>
      <c r="J64" s="216">
        <v>78.51</v>
      </c>
      <c r="K64" s="515">
        <f>IFERROR(__xludf.DUMMYFUNCTION("GOOGLEFINANCE(E64,""changepct"")"),-0.87)</f>
        <v>-0.87</v>
      </c>
      <c r="L64" s="517">
        <f>IFERROR(__xludf.DUMMYFUNCTION("googlefinance(E64,""price"")"),48.78)</f>
        <v>48.78</v>
      </c>
      <c r="M64" s="517"/>
      <c r="N64" s="517">
        <f t="shared" si="37"/>
        <v>-29.73</v>
      </c>
      <c r="O64" s="518">
        <f t="shared" si="38"/>
        <v>-0.3786778754</v>
      </c>
      <c r="P64" s="495">
        <f t="shared" si="39"/>
        <v>-89190</v>
      </c>
      <c r="Q64" s="538">
        <v>0.107</v>
      </c>
      <c r="R64" s="217">
        <v>4815.0</v>
      </c>
      <c r="S64" s="523"/>
      <c r="T64" s="524"/>
      <c r="U64" s="525"/>
      <c r="V64" s="525"/>
      <c r="W64" s="519"/>
      <c r="X64" s="520"/>
      <c r="Y64" s="521"/>
      <c r="Z64" s="522"/>
    </row>
    <row r="65">
      <c r="A65" s="528"/>
      <c r="B65" s="528"/>
      <c r="C65" s="512">
        <f>I65/E147</f>
        <v>0.007469545038</v>
      </c>
      <c r="D65" s="571" t="s">
        <v>598</v>
      </c>
      <c r="E65" s="104" t="s">
        <v>599</v>
      </c>
      <c r="F65" s="195">
        <v>7.7</v>
      </c>
      <c r="G65" s="513">
        <v>8000.0</v>
      </c>
      <c r="H65" s="217">
        <f t="shared" si="35"/>
        <v>124240</v>
      </c>
      <c r="I65" s="514">
        <f t="shared" si="36"/>
        <v>74400</v>
      </c>
      <c r="J65" s="216">
        <v>15.53</v>
      </c>
      <c r="K65" s="515">
        <f>IFERROR(__xludf.DUMMYFUNCTION("GOOGLEFINANCE(E65,""changepct"")"),0.65)</f>
        <v>0.65</v>
      </c>
      <c r="L65" s="517">
        <f>IFERROR(__xludf.DUMMYFUNCTION("googlefinance(E65,""price"")"),9.3)</f>
        <v>9.3</v>
      </c>
      <c r="M65" s="216"/>
      <c r="N65" s="517">
        <f t="shared" si="37"/>
        <v>-6.23</v>
      </c>
      <c r="O65" s="518">
        <f t="shared" si="38"/>
        <v>-0.401159047</v>
      </c>
      <c r="P65" s="495">
        <f t="shared" si="39"/>
        <v>-49840</v>
      </c>
      <c r="Q65" s="195" t="s">
        <v>128</v>
      </c>
      <c r="R65" s="217"/>
      <c r="S65" s="519"/>
      <c r="T65" s="520"/>
      <c r="U65" s="521"/>
      <c r="V65" s="522"/>
      <c r="W65" s="519" t="s">
        <v>599</v>
      </c>
      <c r="X65" s="520">
        <v>44735.0</v>
      </c>
      <c r="Y65" s="521">
        <v>15.53</v>
      </c>
      <c r="Z65" s="522">
        <v>124240.0</v>
      </c>
    </row>
    <row r="66">
      <c r="A66" s="528"/>
      <c r="B66" s="528"/>
      <c r="C66" s="512">
        <f>I66/E147</f>
        <v>0</v>
      </c>
      <c r="D66" s="571" t="s">
        <v>596</v>
      </c>
      <c r="E66" s="104" t="s">
        <v>597</v>
      </c>
      <c r="F66" s="195">
        <v>7.5</v>
      </c>
      <c r="G66" s="513">
        <v>3000.0</v>
      </c>
      <c r="H66" s="217">
        <f t="shared" si="35"/>
        <v>229830</v>
      </c>
      <c r="I66" s="217">
        <v>0.0</v>
      </c>
      <c r="J66" s="216">
        <v>76.61</v>
      </c>
      <c r="K66" s="515">
        <f>IFERROR(__xludf.DUMMYFUNCTION("GOOGLEFINANCE(E66,""changepct"")"),-1.89)</f>
        <v>-1.89</v>
      </c>
      <c r="L66" s="517">
        <f>IFERROR(__xludf.DUMMYFUNCTION("googlefinance(E66,""price"")"),91.45)</f>
        <v>91.45</v>
      </c>
      <c r="M66" s="216">
        <v>56.6</v>
      </c>
      <c r="N66" s="517">
        <f t="shared" si="37"/>
        <v>14.84</v>
      </c>
      <c r="O66" s="518">
        <f t="shared" ref="O66:O67" si="40">M66/J66-1</f>
        <v>-0.2611930557</v>
      </c>
      <c r="P66" s="495">
        <f t="shared" si="39"/>
        <v>-60030</v>
      </c>
      <c r="Q66" s="538">
        <v>0.065</v>
      </c>
      <c r="R66" s="217"/>
      <c r="S66" s="519" t="s">
        <v>597</v>
      </c>
      <c r="T66" s="520">
        <v>44699.0</v>
      </c>
      <c r="U66" s="521">
        <v>56.6</v>
      </c>
      <c r="V66" s="522">
        <v>169800.0</v>
      </c>
      <c r="W66" s="519"/>
      <c r="X66" s="520"/>
      <c r="Y66" s="521"/>
      <c r="Z66" s="522"/>
    </row>
    <row r="67">
      <c r="A67" s="528"/>
      <c r="B67" s="528"/>
      <c r="C67" s="512">
        <f>I67/E147</f>
        <v>0</v>
      </c>
      <c r="D67" s="571" t="s">
        <v>145</v>
      </c>
      <c r="E67" s="104" t="s">
        <v>146</v>
      </c>
      <c r="F67" s="195">
        <v>8.0</v>
      </c>
      <c r="G67" s="513">
        <v>1800.0</v>
      </c>
      <c r="H67" s="217">
        <f t="shared" si="35"/>
        <v>155214</v>
      </c>
      <c r="I67" s="217">
        <v>0.0</v>
      </c>
      <c r="J67" s="216">
        <v>86.23</v>
      </c>
      <c r="K67" s="515">
        <f>IFERROR(__xludf.DUMMYFUNCTION("GOOGLEFINANCE(E67,""changepct"")"),-2.33)</f>
        <v>-2.33</v>
      </c>
      <c r="L67" s="517">
        <f>IFERROR(__xludf.DUMMYFUNCTION("googlefinance(E67,""price"")"),36.47)</f>
        <v>36.47</v>
      </c>
      <c r="M67" s="216">
        <v>82.89</v>
      </c>
      <c r="N67" s="517">
        <f t="shared" si="37"/>
        <v>-49.76</v>
      </c>
      <c r="O67" s="518">
        <f t="shared" si="40"/>
        <v>-0.03873361939</v>
      </c>
      <c r="P67" s="495">
        <f t="shared" si="39"/>
        <v>-6012</v>
      </c>
      <c r="Q67" s="538">
        <v>0.009</v>
      </c>
      <c r="R67" s="217"/>
      <c r="S67" s="519" t="s">
        <v>146</v>
      </c>
      <c r="T67" s="520">
        <v>44662.0</v>
      </c>
      <c r="U67" s="521">
        <v>82.89</v>
      </c>
      <c r="V67" s="522">
        <v>149202.0</v>
      </c>
      <c r="W67" s="519"/>
      <c r="X67" s="520"/>
      <c r="Y67" s="521"/>
      <c r="Z67" s="522"/>
    </row>
    <row r="68">
      <c r="A68" s="528"/>
      <c r="B68" s="528"/>
      <c r="C68" s="512">
        <f>I68/E147</f>
        <v>0.01941158057</v>
      </c>
      <c r="D68" s="571" t="s">
        <v>503</v>
      </c>
      <c r="E68" s="104" t="s">
        <v>118</v>
      </c>
      <c r="F68" s="195">
        <v>8.2</v>
      </c>
      <c r="G68" s="513">
        <v>400.0</v>
      </c>
      <c r="H68" s="217">
        <f t="shared" si="35"/>
        <v>176888</v>
      </c>
      <c r="I68" s="514">
        <f t="shared" ref="I68:I71" si="41">H68+P68</f>
        <v>193348</v>
      </c>
      <c r="J68" s="216">
        <v>442.22</v>
      </c>
      <c r="K68" s="515">
        <f>IFERROR(__xludf.DUMMYFUNCTION("GOOGLEFINANCE(E68,""changepct"")"),-1.15)</f>
        <v>-1.15</v>
      </c>
      <c r="L68" s="517">
        <f>IFERROR(__xludf.DUMMYFUNCTION("googlefinance(E68,""price"")"),483.37)</f>
        <v>483.37</v>
      </c>
      <c r="M68" s="216"/>
      <c r="N68" s="517">
        <f t="shared" si="37"/>
        <v>41.15</v>
      </c>
      <c r="O68" s="518">
        <f t="shared" ref="O68:O71" si="42">L68/J68-1</f>
        <v>0.09305323142</v>
      </c>
      <c r="P68" s="495">
        <f t="shared" si="39"/>
        <v>16460</v>
      </c>
      <c r="Q68" s="538">
        <v>0.026</v>
      </c>
      <c r="R68" s="217">
        <v>1120.0</v>
      </c>
      <c r="S68" s="519"/>
      <c r="T68" s="520"/>
      <c r="U68" s="521"/>
      <c r="V68" s="522"/>
      <c r="W68" s="519"/>
      <c r="X68" s="520"/>
      <c r="Y68" s="521"/>
      <c r="Z68" s="522"/>
    </row>
    <row r="69">
      <c r="A69" s="528"/>
      <c r="B69" s="528"/>
      <c r="C69" s="512">
        <f>I69/E147</f>
        <v>0.02127013188</v>
      </c>
      <c r="D69" s="571" t="s">
        <v>354</v>
      </c>
      <c r="E69" s="104" t="s">
        <v>355</v>
      </c>
      <c r="F69" s="195">
        <v>7.9</v>
      </c>
      <c r="G69" s="513">
        <v>1200.0</v>
      </c>
      <c r="H69" s="217">
        <f t="shared" si="35"/>
        <v>158028</v>
      </c>
      <c r="I69" s="514">
        <f t="shared" si="41"/>
        <v>211860</v>
      </c>
      <c r="J69" s="216">
        <v>131.69</v>
      </c>
      <c r="K69" s="515">
        <f>IFERROR(__xludf.DUMMYFUNCTION("GOOGLEFINANCE(E69,""changepct"")"),-2.31)</f>
        <v>-2.31</v>
      </c>
      <c r="L69" s="517">
        <f>IFERROR(__xludf.DUMMYFUNCTION("googlefinance(E69,""price"")"),176.55)</f>
        <v>176.55</v>
      </c>
      <c r="M69" s="216"/>
      <c r="N69" s="517">
        <f t="shared" si="37"/>
        <v>44.86</v>
      </c>
      <c r="O69" s="518">
        <f t="shared" si="42"/>
        <v>0.3406484927</v>
      </c>
      <c r="P69" s="495">
        <f t="shared" si="39"/>
        <v>53832</v>
      </c>
      <c r="Q69" s="195" t="s">
        <v>128</v>
      </c>
      <c r="R69" s="514"/>
      <c r="S69" s="519"/>
      <c r="T69" s="520"/>
      <c r="U69" s="521"/>
      <c r="V69" s="522"/>
      <c r="W69" s="519" t="s">
        <v>355</v>
      </c>
      <c r="X69" s="520">
        <v>44691.0</v>
      </c>
      <c r="Y69" s="521">
        <v>131.69</v>
      </c>
      <c r="Z69" s="522">
        <v>158028.0</v>
      </c>
    </row>
    <row r="70">
      <c r="A70" s="528"/>
      <c r="B70" s="528"/>
      <c r="C70" s="512">
        <f>I70/E147</f>
        <v>0.02082195918</v>
      </c>
      <c r="D70" s="571" t="s">
        <v>401</v>
      </c>
      <c r="E70" s="104" t="s">
        <v>402</v>
      </c>
      <c r="F70" s="195">
        <v>8.1</v>
      </c>
      <c r="G70" s="513">
        <v>1800.0</v>
      </c>
      <c r="H70" s="217">
        <f t="shared" si="35"/>
        <v>179154</v>
      </c>
      <c r="I70" s="514">
        <f t="shared" si="41"/>
        <v>207396</v>
      </c>
      <c r="J70" s="216">
        <v>99.53</v>
      </c>
      <c r="K70" s="515">
        <f>IFERROR(__xludf.DUMMYFUNCTION("GOOGLEFINANCE(E70,""changepct"")"),-1.28)</f>
        <v>-1.28</v>
      </c>
      <c r="L70" s="517">
        <f>IFERROR(__xludf.DUMMYFUNCTION("googlefinance(E70,""price"")"),115.22)</f>
        <v>115.22</v>
      </c>
      <c r="M70" s="216"/>
      <c r="N70" s="517">
        <f t="shared" si="37"/>
        <v>15.69</v>
      </c>
      <c r="O70" s="518">
        <f t="shared" si="42"/>
        <v>0.1576409123</v>
      </c>
      <c r="P70" s="495">
        <f t="shared" si="39"/>
        <v>28242</v>
      </c>
      <c r="Q70" s="538">
        <v>0.023</v>
      </c>
      <c r="R70" s="217">
        <v>994.0</v>
      </c>
      <c r="S70" s="519"/>
      <c r="T70" s="520"/>
      <c r="U70" s="521"/>
      <c r="V70" s="522"/>
      <c r="W70" s="519"/>
      <c r="X70" s="520"/>
      <c r="Y70" s="521"/>
      <c r="Z70" s="522"/>
    </row>
    <row r="71">
      <c r="A71" s="528"/>
      <c r="B71" s="528"/>
      <c r="C71" s="512">
        <f>I71/E147</f>
        <v>0.0170022507</v>
      </c>
      <c r="D71" s="632" t="s">
        <v>537</v>
      </c>
      <c r="E71" s="381" t="s">
        <v>538</v>
      </c>
      <c r="F71" s="633">
        <v>7.0</v>
      </c>
      <c r="G71" s="513">
        <v>5000.0</v>
      </c>
      <c r="H71" s="217">
        <f t="shared" si="35"/>
        <v>152800</v>
      </c>
      <c r="I71" s="514">
        <f t="shared" si="41"/>
        <v>169350</v>
      </c>
      <c r="J71" s="216">
        <v>30.56</v>
      </c>
      <c r="K71" s="515">
        <f>IFERROR(__xludf.DUMMYFUNCTION("GOOGLEFINANCE(E71,""changepct"")"),-0.32)</f>
        <v>-0.32</v>
      </c>
      <c r="L71" s="517">
        <f>IFERROR(__xludf.DUMMYFUNCTION("googlefinance(E71,""price"")"),33.87)</f>
        <v>33.87</v>
      </c>
      <c r="M71" s="216"/>
      <c r="N71" s="517">
        <f t="shared" si="37"/>
        <v>3.31</v>
      </c>
      <c r="O71" s="518">
        <f t="shared" si="42"/>
        <v>0.1083115183</v>
      </c>
      <c r="P71" s="495">
        <f t="shared" si="39"/>
        <v>16550</v>
      </c>
      <c r="Q71" s="538">
        <v>0.0014</v>
      </c>
      <c r="R71" s="217">
        <v>53.0</v>
      </c>
      <c r="S71" s="519"/>
      <c r="T71" s="520"/>
      <c r="U71" s="521"/>
      <c r="V71" s="522"/>
      <c r="W71" s="519" t="s">
        <v>538</v>
      </c>
      <c r="X71" s="520">
        <v>44700.0</v>
      </c>
      <c r="Y71" s="521">
        <v>30.56</v>
      </c>
      <c r="Z71" s="522">
        <v>152800.0</v>
      </c>
    </row>
    <row r="72">
      <c r="A72" s="528"/>
      <c r="B72" s="528"/>
      <c r="C72" s="512">
        <f>I72/E147</f>
        <v>0</v>
      </c>
      <c r="D72" s="571" t="s">
        <v>537</v>
      </c>
      <c r="E72" s="104" t="s">
        <v>538</v>
      </c>
      <c r="F72" s="195">
        <v>7.0</v>
      </c>
      <c r="G72" s="513">
        <v>4000.0</v>
      </c>
      <c r="H72" s="217">
        <f t="shared" si="35"/>
        <v>124320</v>
      </c>
      <c r="I72" s="217">
        <v>0.0</v>
      </c>
      <c r="J72" s="216">
        <v>31.08</v>
      </c>
      <c r="K72" s="515">
        <f>IFERROR(__xludf.DUMMYFUNCTION("GOOGLEFINANCE(E72,""changepct"")"),-0.32)</f>
        <v>-0.32</v>
      </c>
      <c r="L72" s="517">
        <f>IFERROR(__xludf.DUMMYFUNCTION("googlefinance(E72,""price"")"),33.87)</f>
        <v>33.87</v>
      </c>
      <c r="M72" s="216">
        <v>31.52</v>
      </c>
      <c r="N72" s="517">
        <f t="shared" si="37"/>
        <v>2.79</v>
      </c>
      <c r="O72" s="518">
        <f>M72/J72-1</f>
        <v>0.01415701416</v>
      </c>
      <c r="P72" s="495">
        <f t="shared" si="39"/>
        <v>1760</v>
      </c>
      <c r="Q72" s="538">
        <v>0.0014</v>
      </c>
      <c r="R72" s="514"/>
      <c r="S72" s="519" t="s">
        <v>538</v>
      </c>
      <c r="T72" s="520">
        <v>44699.0</v>
      </c>
      <c r="U72" s="521">
        <v>31.52</v>
      </c>
      <c r="V72" s="522">
        <v>126080.0</v>
      </c>
      <c r="W72" s="519" t="s">
        <v>538</v>
      </c>
      <c r="X72" s="520">
        <v>44691.0</v>
      </c>
      <c r="Y72" s="521">
        <v>31.08</v>
      </c>
      <c r="Z72" s="522">
        <v>124320.0</v>
      </c>
    </row>
    <row r="73">
      <c r="A73" s="528"/>
      <c r="B73" s="528"/>
      <c r="C73" s="512">
        <f>I73/E147</f>
        <v>0.0157096379</v>
      </c>
      <c r="D73" s="571" t="s">
        <v>659</v>
      </c>
      <c r="E73" s="104" t="s">
        <v>660</v>
      </c>
      <c r="F73" s="195">
        <v>7.9</v>
      </c>
      <c r="G73" s="513">
        <v>2500.0</v>
      </c>
      <c r="H73" s="217">
        <f t="shared" si="35"/>
        <v>133950</v>
      </c>
      <c r="I73" s="217">
        <f t="shared" ref="I73:I76" si="43">H73+P73</f>
        <v>156475</v>
      </c>
      <c r="J73" s="216">
        <v>53.58</v>
      </c>
      <c r="K73" s="515">
        <f>IFERROR(__xludf.DUMMYFUNCTION("GOOGLEFINANCE(E73,""changepct"")"),-0.81)</f>
        <v>-0.81</v>
      </c>
      <c r="L73" s="517">
        <f>IFERROR(__xludf.DUMMYFUNCTION("googlefinance(E73,""price"")"),62.59)</f>
        <v>62.59</v>
      </c>
      <c r="M73" s="216"/>
      <c r="N73" s="517">
        <f t="shared" si="37"/>
        <v>9.01</v>
      </c>
      <c r="O73" s="518">
        <f t="shared" ref="O73:O76" si="44">L73/J73-1</f>
        <v>0.1681597611</v>
      </c>
      <c r="P73" s="495">
        <f t="shared" si="39"/>
        <v>22525</v>
      </c>
      <c r="Q73" s="538">
        <v>0.0038</v>
      </c>
      <c r="R73" s="217">
        <v>130.0</v>
      </c>
      <c r="S73" s="519"/>
      <c r="T73" s="520"/>
      <c r="U73" s="521"/>
      <c r="V73" s="522"/>
      <c r="W73" s="519" t="s">
        <v>660</v>
      </c>
      <c r="X73" s="520">
        <v>44691.0</v>
      </c>
      <c r="Y73" s="521">
        <v>53.58</v>
      </c>
      <c r="Z73" s="522">
        <v>133950.0</v>
      </c>
    </row>
    <row r="74">
      <c r="A74" s="528"/>
      <c r="B74" s="528"/>
      <c r="C74" s="512">
        <f>I73/E147</f>
        <v>0.0157096379</v>
      </c>
      <c r="D74" s="571" t="s">
        <v>604</v>
      </c>
      <c r="E74" s="104" t="s">
        <v>605</v>
      </c>
      <c r="F74" s="195">
        <v>7.8</v>
      </c>
      <c r="G74" s="513">
        <v>3500.0</v>
      </c>
      <c r="H74" s="217">
        <f t="shared" si="35"/>
        <v>137235</v>
      </c>
      <c r="I74" s="217">
        <f t="shared" si="43"/>
        <v>106260</v>
      </c>
      <c r="J74" s="216">
        <v>39.21</v>
      </c>
      <c r="K74" s="515">
        <f>IFERROR(__xludf.DUMMYFUNCTION("GOOGLEFINANCE(E74,""changepct"")"),-1.04)</f>
        <v>-1.04</v>
      </c>
      <c r="L74" s="517">
        <f>IFERROR(__xludf.DUMMYFUNCTION("googlefinance(E74,""price"")"),30.36)</f>
        <v>30.36</v>
      </c>
      <c r="M74" s="216"/>
      <c r="N74" s="517">
        <f t="shared" si="37"/>
        <v>-8.85</v>
      </c>
      <c r="O74" s="518">
        <f t="shared" si="44"/>
        <v>-0.2257077276</v>
      </c>
      <c r="P74" s="495">
        <f t="shared" si="39"/>
        <v>-30975</v>
      </c>
      <c r="Q74" s="538">
        <v>0.042</v>
      </c>
      <c r="R74" s="217">
        <v>1400.0</v>
      </c>
      <c r="S74" s="519"/>
      <c r="T74" s="520"/>
      <c r="U74" s="521"/>
      <c r="V74" s="522"/>
      <c r="W74" s="519" t="s">
        <v>605</v>
      </c>
      <c r="X74" s="520">
        <v>44704.0</v>
      </c>
      <c r="Y74" s="521">
        <v>39.21</v>
      </c>
      <c r="Z74" s="522">
        <v>137235.0</v>
      </c>
    </row>
    <row r="75">
      <c r="A75" s="528"/>
      <c r="B75" s="528"/>
      <c r="C75" s="512">
        <f>I75/E147</f>
        <v>0.01272432981</v>
      </c>
      <c r="D75" s="571" t="s">
        <v>606</v>
      </c>
      <c r="E75" s="104" t="s">
        <v>607</v>
      </c>
      <c r="F75" s="195">
        <v>7.7</v>
      </c>
      <c r="G75" s="513">
        <v>2000.0</v>
      </c>
      <c r="H75" s="217">
        <f t="shared" si="35"/>
        <v>135700</v>
      </c>
      <c r="I75" s="217">
        <f t="shared" si="43"/>
        <v>126740</v>
      </c>
      <c r="J75" s="216">
        <v>67.85</v>
      </c>
      <c r="K75" s="515">
        <f>IFERROR(__xludf.DUMMYFUNCTION("GOOGLEFINANCE(E75,""changepct"")"),-0.91)</f>
        <v>-0.91</v>
      </c>
      <c r="L75" s="517">
        <f>IFERROR(__xludf.DUMMYFUNCTION("googlefinance(E75,""price"")"),63.37)</f>
        <v>63.37</v>
      </c>
      <c r="M75" s="216"/>
      <c r="N75" s="517">
        <f t="shared" si="37"/>
        <v>-4.48</v>
      </c>
      <c r="O75" s="518">
        <f t="shared" si="44"/>
        <v>-0.06602800295</v>
      </c>
      <c r="P75" s="495">
        <f t="shared" si="39"/>
        <v>-8960</v>
      </c>
      <c r="Q75" s="538">
        <v>0.0286</v>
      </c>
      <c r="R75" s="217">
        <v>1080.0</v>
      </c>
      <c r="S75" s="519"/>
      <c r="T75" s="520"/>
      <c r="U75" s="521"/>
      <c r="V75" s="522"/>
      <c r="W75" s="519" t="s">
        <v>607</v>
      </c>
      <c r="X75" s="520">
        <v>44704.0</v>
      </c>
      <c r="Y75" s="521">
        <v>67.85</v>
      </c>
      <c r="Z75" s="522">
        <v>135700.0</v>
      </c>
    </row>
    <row r="76">
      <c r="A76" s="528"/>
      <c r="B76" s="528"/>
      <c r="C76" s="512">
        <f>I76/E147</f>
        <v>0.01622818898</v>
      </c>
      <c r="D76" s="571" t="s">
        <v>608</v>
      </c>
      <c r="E76" s="104" t="s">
        <v>609</v>
      </c>
      <c r="F76" s="195">
        <v>7.9</v>
      </c>
      <c r="G76" s="513">
        <v>2000.0</v>
      </c>
      <c r="H76" s="217">
        <f t="shared" si="35"/>
        <v>137960</v>
      </c>
      <c r="I76" s="217">
        <f t="shared" si="43"/>
        <v>161640</v>
      </c>
      <c r="J76" s="216">
        <v>68.98</v>
      </c>
      <c r="K76" s="515">
        <f>IFERROR(__xludf.DUMMYFUNCTION("GOOGLEFINANCE(E76,""changepct"")"),-0.43)</f>
        <v>-0.43</v>
      </c>
      <c r="L76" s="517">
        <f>IFERROR(__xludf.DUMMYFUNCTION("googlefinance(E76,""price"")"),80.82)</f>
        <v>80.82</v>
      </c>
      <c r="M76" s="216"/>
      <c r="N76" s="517">
        <f t="shared" si="37"/>
        <v>11.84</v>
      </c>
      <c r="O76" s="518">
        <f t="shared" si="44"/>
        <v>0.1716439548</v>
      </c>
      <c r="P76" s="495">
        <f t="shared" si="39"/>
        <v>23680</v>
      </c>
      <c r="Q76" s="538">
        <v>0.0325</v>
      </c>
      <c r="R76" s="217">
        <v>1150.0</v>
      </c>
      <c r="S76" s="519"/>
      <c r="T76" s="520"/>
      <c r="U76" s="521"/>
      <c r="V76" s="522"/>
      <c r="W76" s="519" t="s">
        <v>609</v>
      </c>
      <c r="X76" s="520">
        <v>44704.0</v>
      </c>
      <c r="Y76" s="521">
        <v>68.98</v>
      </c>
      <c r="Z76" s="522">
        <v>137960.0</v>
      </c>
    </row>
    <row r="77">
      <c r="A77" s="528"/>
      <c r="B77" s="528"/>
      <c r="C77" s="512">
        <f>I77/E147</f>
        <v>0</v>
      </c>
      <c r="D77" s="600" t="s">
        <v>661</v>
      </c>
      <c r="E77" s="344" t="s">
        <v>144</v>
      </c>
      <c r="F77" s="195">
        <v>7.2</v>
      </c>
      <c r="G77" s="513">
        <v>3000.0</v>
      </c>
      <c r="H77" s="217">
        <f t="shared" si="35"/>
        <v>116250</v>
      </c>
      <c r="I77" s="217">
        <v>0.0</v>
      </c>
      <c r="J77" s="216">
        <v>38.75</v>
      </c>
      <c r="K77" s="515">
        <f>IFERROR(__xludf.DUMMYFUNCTION("GOOGLEFINANCE(E77,""changepct"")"),-2.91)</f>
        <v>-2.91</v>
      </c>
      <c r="L77" s="517">
        <f>IFERROR(__xludf.DUMMYFUNCTION("googlefinance(E77,""price"")"),3.0)</f>
        <v>3</v>
      </c>
      <c r="M77" s="216">
        <v>31.6</v>
      </c>
      <c r="N77" s="517">
        <f t="shared" si="37"/>
        <v>-35.75</v>
      </c>
      <c r="O77" s="518">
        <f>M77/J77-1</f>
        <v>-0.184516129</v>
      </c>
      <c r="P77" s="495">
        <f t="shared" si="39"/>
        <v>-21450</v>
      </c>
      <c r="Q77" s="195" t="s">
        <v>128</v>
      </c>
      <c r="R77" s="514"/>
      <c r="S77" s="519" t="s">
        <v>144</v>
      </c>
      <c r="T77" s="520">
        <v>44662.0</v>
      </c>
      <c r="U77" s="521">
        <v>31.6</v>
      </c>
      <c r="V77" s="522">
        <v>94800.0</v>
      </c>
      <c r="W77" s="519"/>
      <c r="X77" s="520"/>
      <c r="Y77" s="521"/>
      <c r="Z77" s="522"/>
    </row>
    <row r="78">
      <c r="A78" s="528"/>
      <c r="B78" s="528"/>
      <c r="C78" s="512">
        <f>I78/E147</f>
        <v>0.0129090605</v>
      </c>
      <c r="D78" s="104" t="s">
        <v>498</v>
      </c>
      <c r="E78" s="104" t="s">
        <v>499</v>
      </c>
      <c r="F78" s="195">
        <v>7.9</v>
      </c>
      <c r="G78" s="513">
        <v>2000.0</v>
      </c>
      <c r="H78" s="217">
        <f t="shared" si="35"/>
        <v>193480</v>
      </c>
      <c r="I78" s="217">
        <f>H78+P78</f>
        <v>128580</v>
      </c>
      <c r="J78" s="216">
        <v>96.74</v>
      </c>
      <c r="K78" s="515">
        <f>IFERROR(__xludf.DUMMYFUNCTION("GOOGLEFINANCE(E78,""changepct"")"),-0.97)</f>
        <v>-0.97</v>
      </c>
      <c r="L78" s="517">
        <f>IFERROR(__xludf.DUMMYFUNCTION("googlefinance(E78,""price"")"),64.29)</f>
        <v>64.29</v>
      </c>
      <c r="M78" s="216"/>
      <c r="N78" s="517">
        <f t="shared" si="37"/>
        <v>-32.45</v>
      </c>
      <c r="O78" s="518">
        <f>L78/J78-1</f>
        <v>-0.3354351871</v>
      </c>
      <c r="P78" s="495">
        <f t="shared" si="39"/>
        <v>-64900</v>
      </c>
      <c r="Q78" s="538">
        <v>0.0125</v>
      </c>
      <c r="R78" s="217">
        <v>900.0</v>
      </c>
      <c r="S78" s="519"/>
      <c r="T78" s="520"/>
      <c r="U78" s="521"/>
      <c r="V78" s="522"/>
      <c r="W78" s="519" t="s">
        <v>499</v>
      </c>
      <c r="X78" s="520">
        <v>44704.0</v>
      </c>
      <c r="Y78" s="521">
        <v>96.74</v>
      </c>
      <c r="Z78" s="522">
        <v>193480.0</v>
      </c>
    </row>
    <row r="79">
      <c r="A79" s="528"/>
      <c r="B79" s="528"/>
      <c r="C79" s="512">
        <f>I79/E147</f>
        <v>0</v>
      </c>
      <c r="D79" s="104" t="s">
        <v>498</v>
      </c>
      <c r="E79" s="104" t="s">
        <v>499</v>
      </c>
      <c r="F79" s="195">
        <v>7.9</v>
      </c>
      <c r="G79" s="513">
        <v>2000.0</v>
      </c>
      <c r="H79" s="217">
        <f t="shared" si="35"/>
        <v>185160</v>
      </c>
      <c r="I79" s="217">
        <v>0.0</v>
      </c>
      <c r="J79" s="216">
        <v>92.58</v>
      </c>
      <c r="K79" s="515">
        <f>IFERROR(__xludf.DUMMYFUNCTION("GOOGLEFINANCE(E79,""changepct"")"),-0.97)</f>
        <v>-0.97</v>
      </c>
      <c r="L79" s="517">
        <f>IFERROR(__xludf.DUMMYFUNCTION("googlefinance(E79,""price"")"),64.29)</f>
        <v>64.29</v>
      </c>
      <c r="M79" s="216">
        <v>96.16</v>
      </c>
      <c r="N79" s="517">
        <f t="shared" si="37"/>
        <v>-28.29</v>
      </c>
      <c r="O79" s="518">
        <f>M79/J79-1</f>
        <v>0.03866925902</v>
      </c>
      <c r="P79" s="495">
        <f t="shared" si="39"/>
        <v>7160</v>
      </c>
      <c r="Q79" s="538">
        <v>0.0125</v>
      </c>
      <c r="R79" s="217"/>
      <c r="S79" s="519" t="s">
        <v>499</v>
      </c>
      <c r="T79" s="520">
        <v>44699.0</v>
      </c>
      <c r="U79" s="521">
        <v>96.16</v>
      </c>
      <c r="V79" s="522">
        <v>192320.0</v>
      </c>
      <c r="W79" s="519" t="s">
        <v>499</v>
      </c>
      <c r="X79" s="520">
        <v>44691.0</v>
      </c>
      <c r="Y79" s="521">
        <v>92.58</v>
      </c>
      <c r="Z79" s="522">
        <v>185160.0</v>
      </c>
    </row>
    <row r="80">
      <c r="A80" s="528"/>
      <c r="B80" s="528"/>
      <c r="C80" s="512">
        <f>I80/E147</f>
        <v>0.006023826644</v>
      </c>
      <c r="D80" s="104" t="s">
        <v>454</v>
      </c>
      <c r="E80" s="104" t="s">
        <v>132</v>
      </c>
      <c r="F80" s="195">
        <v>7.8</v>
      </c>
      <c r="G80" s="513">
        <v>2500.0</v>
      </c>
      <c r="H80" s="217">
        <f t="shared" si="35"/>
        <v>153875</v>
      </c>
      <c r="I80" s="217">
        <f>H80+P80</f>
        <v>60000</v>
      </c>
      <c r="J80" s="216">
        <v>61.55</v>
      </c>
      <c r="K80" s="515">
        <f>IFERROR(__xludf.DUMMYFUNCTION("GOOGLEFINANCE(E80,""changepct"")"),0.54)</f>
        <v>0.54</v>
      </c>
      <c r="L80" s="517">
        <f>IFERROR(__xludf.DUMMYFUNCTION("googlefinance(E80,""price"")"),24.0)</f>
        <v>24</v>
      </c>
      <c r="M80" s="216"/>
      <c r="N80" s="517">
        <f t="shared" si="37"/>
        <v>-37.55</v>
      </c>
      <c r="O80" s="518">
        <f>L80/J80-1</f>
        <v>-0.6100731113</v>
      </c>
      <c r="P80" s="495">
        <f t="shared" si="39"/>
        <v>-93875</v>
      </c>
      <c r="Q80" s="538">
        <v>0.012</v>
      </c>
      <c r="R80" s="217">
        <v>390.0</v>
      </c>
      <c r="S80" s="519"/>
      <c r="T80" s="520"/>
      <c r="U80" s="521"/>
      <c r="V80" s="522"/>
      <c r="W80" s="519" t="s">
        <v>132</v>
      </c>
      <c r="X80" s="520">
        <v>44704.0</v>
      </c>
      <c r="Y80" s="521">
        <v>61.55</v>
      </c>
      <c r="Z80" s="522">
        <v>153875.0</v>
      </c>
    </row>
    <row r="81">
      <c r="A81" s="528"/>
      <c r="B81" s="528"/>
      <c r="C81" s="512">
        <f>I81/E147</f>
        <v>0</v>
      </c>
      <c r="D81" s="104" t="s">
        <v>454</v>
      </c>
      <c r="E81" s="104" t="s">
        <v>132</v>
      </c>
      <c r="F81" s="195">
        <v>7.8</v>
      </c>
      <c r="G81" s="513">
        <v>3000.0</v>
      </c>
      <c r="H81" s="217">
        <f t="shared" si="35"/>
        <v>199110</v>
      </c>
      <c r="I81" s="217">
        <v>0.0</v>
      </c>
      <c r="J81" s="216">
        <v>66.37</v>
      </c>
      <c r="K81" s="515">
        <f>IFERROR(__xludf.DUMMYFUNCTION("GOOGLEFINANCE(E81,""changepct"")"),0.54)</f>
        <v>0.54</v>
      </c>
      <c r="L81" s="517">
        <f>IFERROR(__xludf.DUMMYFUNCTION("googlefinance(E81,""price"")"),24.0)</f>
        <v>24</v>
      </c>
      <c r="M81" s="216">
        <v>62.61</v>
      </c>
      <c r="N81" s="517">
        <f t="shared" si="37"/>
        <v>-42.37</v>
      </c>
      <c r="O81" s="518">
        <f t="shared" ref="O81:O82" si="45">M81/J81-1</f>
        <v>-0.05665210185</v>
      </c>
      <c r="P81" s="495">
        <f t="shared" si="39"/>
        <v>-11280</v>
      </c>
      <c r="Q81" s="538">
        <v>0.012</v>
      </c>
      <c r="R81" s="217"/>
      <c r="S81" s="519" t="s">
        <v>132</v>
      </c>
      <c r="T81" s="520">
        <v>44699.0</v>
      </c>
      <c r="U81" s="521">
        <v>62.61</v>
      </c>
      <c r="V81" s="522">
        <v>187830.0</v>
      </c>
      <c r="W81" s="519"/>
      <c r="X81" s="520"/>
      <c r="Y81" s="521"/>
      <c r="Z81" s="522"/>
    </row>
    <row r="82">
      <c r="A82" s="528"/>
      <c r="B82" s="528"/>
      <c r="C82" s="512">
        <f>I82/E147</f>
        <v>0</v>
      </c>
      <c r="D82" s="344" t="s">
        <v>662</v>
      </c>
      <c r="E82" s="344" t="s">
        <v>663</v>
      </c>
      <c r="F82" s="569">
        <v>8.0</v>
      </c>
      <c r="G82" s="513">
        <v>2000.0</v>
      </c>
      <c r="H82" s="217">
        <f t="shared" si="35"/>
        <v>156580</v>
      </c>
      <c r="I82" s="217">
        <v>0.0</v>
      </c>
      <c r="J82" s="216">
        <v>78.29</v>
      </c>
      <c r="K82" s="515">
        <f>IFERROR(__xludf.DUMMYFUNCTION("GOOGLEFINANCE(E82,""changepct"")"),-0.72)</f>
        <v>-0.72</v>
      </c>
      <c r="L82" s="517">
        <f>IFERROR(__xludf.DUMMYFUNCTION("googlefinance(E82,""price"")"),41.54)</f>
        <v>41.54</v>
      </c>
      <c r="M82" s="216">
        <v>69.75</v>
      </c>
      <c r="N82" s="517">
        <f t="shared" si="37"/>
        <v>-36.75</v>
      </c>
      <c r="O82" s="518">
        <f t="shared" si="45"/>
        <v>-0.1090816196</v>
      </c>
      <c r="P82" s="495">
        <f t="shared" si="39"/>
        <v>-17080</v>
      </c>
      <c r="Q82" s="195" t="s">
        <v>128</v>
      </c>
      <c r="R82" s="217"/>
      <c r="S82" s="519" t="s">
        <v>663</v>
      </c>
      <c r="T82" s="520">
        <v>44699.0</v>
      </c>
      <c r="U82" s="521">
        <v>69.75</v>
      </c>
      <c r="V82" s="522">
        <v>139500.0</v>
      </c>
      <c r="W82" s="519"/>
      <c r="X82" s="520"/>
      <c r="Y82" s="521"/>
      <c r="Z82" s="522"/>
    </row>
    <row r="83">
      <c r="A83" s="13"/>
      <c r="B83" s="13"/>
      <c r="C83" s="13"/>
      <c r="D83" s="13"/>
      <c r="E83" s="13"/>
      <c r="F83" s="13"/>
      <c r="G83" s="564"/>
      <c r="H83" s="509">
        <f t="shared" ref="H83:I83" si="46">SUM(H63:H82)</f>
        <v>3329714</v>
      </c>
      <c r="I83" s="539">
        <f t="shared" si="46"/>
        <v>1918159</v>
      </c>
      <c r="J83" s="506"/>
      <c r="K83" s="506"/>
      <c r="L83" s="506"/>
      <c r="M83" s="507"/>
      <c r="N83" s="507"/>
      <c r="O83" s="540">
        <f>P83/H83</f>
        <v>-0.08747177686</v>
      </c>
      <c r="P83" s="625">
        <v>-291256.0</v>
      </c>
      <c r="Q83" s="13"/>
      <c r="R83" s="509">
        <f>SUM(R63:R82)</f>
        <v>18882</v>
      </c>
      <c r="S83" s="510" t="s">
        <v>89</v>
      </c>
      <c r="T83" s="542"/>
      <c r="U83" s="543"/>
      <c r="V83" s="570">
        <f>SUM(V63:V82)</f>
        <v>1059532</v>
      </c>
      <c r="W83" s="510" t="s">
        <v>89</v>
      </c>
      <c r="X83" s="542"/>
      <c r="Y83" s="543"/>
      <c r="Z83" s="570">
        <f>SUM(Z63:Z82)</f>
        <v>1636748</v>
      </c>
    </row>
    <row r="84">
      <c r="A84" s="173"/>
      <c r="B84" s="504" t="s">
        <v>614</v>
      </c>
      <c r="C84" s="504" t="s">
        <v>2</v>
      </c>
      <c r="D84" s="13" t="s">
        <v>3</v>
      </c>
      <c r="E84" s="13" t="s">
        <v>4</v>
      </c>
      <c r="F84" s="13" t="s">
        <v>5</v>
      </c>
      <c r="G84" s="504" t="s">
        <v>6</v>
      </c>
      <c r="H84" s="504" t="s">
        <v>7</v>
      </c>
      <c r="I84" s="505" t="s">
        <v>8</v>
      </c>
      <c r="J84" s="505" t="s">
        <v>9</v>
      </c>
      <c r="K84" s="506" t="s">
        <v>10</v>
      </c>
      <c r="L84" s="506" t="s">
        <v>11</v>
      </c>
      <c r="M84" s="507" t="s">
        <v>476</v>
      </c>
      <c r="N84" s="507" t="s">
        <v>13</v>
      </c>
      <c r="O84" s="504" t="s">
        <v>14</v>
      </c>
      <c r="P84" s="508" t="s">
        <v>15</v>
      </c>
      <c r="Q84" s="13" t="s">
        <v>16</v>
      </c>
      <c r="R84" s="13" t="s">
        <v>17</v>
      </c>
      <c r="S84" s="510" t="s">
        <v>21</v>
      </c>
      <c r="T84" s="510" t="s">
        <v>22</v>
      </c>
      <c r="U84" s="511" t="s">
        <v>23</v>
      </c>
      <c r="V84" s="511" t="s">
        <v>24</v>
      </c>
      <c r="W84" s="510" t="s">
        <v>25</v>
      </c>
      <c r="X84" s="510" t="s">
        <v>26</v>
      </c>
      <c r="Y84" s="510" t="s">
        <v>27</v>
      </c>
      <c r="Z84" s="510" t="s">
        <v>28</v>
      </c>
    </row>
    <row r="85">
      <c r="A85" s="502" t="s">
        <v>29</v>
      </c>
      <c r="B85" s="527">
        <f>I92/E147</f>
        <v>0.04651960364</v>
      </c>
      <c r="C85" s="512">
        <f>I85/E147</f>
        <v>0</v>
      </c>
      <c r="D85" s="344" t="s">
        <v>539</v>
      </c>
      <c r="E85" s="344" t="s">
        <v>540</v>
      </c>
      <c r="F85" s="195">
        <v>7.6</v>
      </c>
      <c r="G85" s="513">
        <v>1000.0</v>
      </c>
      <c r="H85" s="217">
        <f t="shared" ref="H85:H91" si="47">G85*J85</f>
        <v>328360</v>
      </c>
      <c r="I85" s="217">
        <v>0.0</v>
      </c>
      <c r="J85" s="216">
        <v>328.36</v>
      </c>
      <c r="K85" s="568">
        <f>IFERROR(__xludf.DUMMYFUNCTION("GOOGLEFINANCE(E85,""changepct"")"),-0.46)</f>
        <v>-0.46</v>
      </c>
      <c r="L85" s="516">
        <f>IFERROR(__xludf.DUMMYFUNCTION("googlefinance(E85,""price"")"),573.55)</f>
        <v>573.55</v>
      </c>
      <c r="M85" s="216">
        <v>297.15</v>
      </c>
      <c r="N85" s="517">
        <f t="shared" ref="N85:N91" si="48">L85-J85</f>
        <v>245.19</v>
      </c>
      <c r="O85" s="518">
        <f t="shared" ref="O85:O86" si="49">M85/J85-1</f>
        <v>-0.09504811792</v>
      </c>
      <c r="P85" s="495">
        <f>H85*O85</f>
        <v>-31210</v>
      </c>
      <c r="Q85" s="538">
        <v>0.021</v>
      </c>
      <c r="R85" s="217"/>
      <c r="S85" s="519" t="s">
        <v>540</v>
      </c>
      <c r="T85" s="520">
        <v>44722.0</v>
      </c>
      <c r="U85" s="521">
        <v>297.15</v>
      </c>
      <c r="V85" s="522">
        <v>297150.0</v>
      </c>
      <c r="W85" s="523"/>
      <c r="X85" s="524"/>
      <c r="Y85" s="525"/>
      <c r="Z85" s="526"/>
    </row>
    <row r="86">
      <c r="A86" s="528"/>
      <c r="B86" s="528"/>
      <c r="C86" s="512">
        <f>I86/E147</f>
        <v>0</v>
      </c>
      <c r="D86" s="344" t="s">
        <v>615</v>
      </c>
      <c r="E86" s="344" t="s">
        <v>616</v>
      </c>
      <c r="F86" s="195">
        <v>7.5</v>
      </c>
      <c r="G86" s="513">
        <v>2000.0</v>
      </c>
      <c r="H86" s="217">
        <f t="shared" si="47"/>
        <v>273520</v>
      </c>
      <c r="I86" s="217">
        <v>0.0</v>
      </c>
      <c r="J86" s="216">
        <v>136.76</v>
      </c>
      <c r="K86" s="568">
        <f>IFERROR(__xludf.DUMMYFUNCTION("GOOGLEFINANCE(E86,""changepct"")"),-0.77)</f>
        <v>-0.77</v>
      </c>
      <c r="L86" s="516">
        <f>IFERROR(__xludf.DUMMYFUNCTION("googlefinance(E86,""price"")"),239.32)</f>
        <v>239.32</v>
      </c>
      <c r="M86" s="216">
        <v>123.02</v>
      </c>
      <c r="N86" s="517">
        <f t="shared" si="48"/>
        <v>102.56</v>
      </c>
      <c r="O86" s="518">
        <f t="shared" si="49"/>
        <v>-0.1004679731</v>
      </c>
      <c r="P86" s="495">
        <f>H4*O86</f>
        <v>-17867.22433</v>
      </c>
      <c r="Q86" s="538">
        <v>0.0253</v>
      </c>
      <c r="R86" s="217"/>
      <c r="S86" s="519" t="s">
        <v>616</v>
      </c>
      <c r="T86" s="520">
        <v>44722.0</v>
      </c>
      <c r="U86" s="521">
        <v>123.02</v>
      </c>
      <c r="V86" s="522">
        <v>255653.0</v>
      </c>
      <c r="W86" s="519"/>
      <c r="X86" s="520"/>
      <c r="Y86" s="521"/>
      <c r="Z86" s="522"/>
    </row>
    <row r="87">
      <c r="A87" s="528"/>
      <c r="B87" s="528"/>
      <c r="C87" s="512">
        <f>I87/E147</f>
        <v>0.0102923102</v>
      </c>
      <c r="D87" s="104" t="s">
        <v>381</v>
      </c>
      <c r="E87" s="104" t="s">
        <v>382</v>
      </c>
      <c r="F87" s="195">
        <v>7.2</v>
      </c>
      <c r="G87" s="513">
        <v>1200.0</v>
      </c>
      <c r="H87" s="217">
        <f t="shared" si="47"/>
        <v>97104</v>
      </c>
      <c r="I87" s="217">
        <f>H87+P87</f>
        <v>102516</v>
      </c>
      <c r="J87" s="216">
        <v>80.92</v>
      </c>
      <c r="K87" s="568">
        <f>IFERROR(__xludf.DUMMYFUNCTION("GOOGLEFINANCE(E87,""changepct"")"),-1.65)</f>
        <v>-1.65</v>
      </c>
      <c r="L87" s="516">
        <f>IFERROR(__xludf.DUMMYFUNCTION("googlefinance(E87,""price"")"),85.43)</f>
        <v>85.43</v>
      </c>
      <c r="M87" s="216"/>
      <c r="N87" s="517">
        <f t="shared" si="48"/>
        <v>4.51</v>
      </c>
      <c r="O87" s="518">
        <f>L87/J87-1</f>
        <v>0.05573405833</v>
      </c>
      <c r="P87" s="495">
        <f t="shared" ref="P87:P91" si="50">H87*O87</f>
        <v>5412</v>
      </c>
      <c r="Q87" s="538"/>
      <c r="R87" s="217"/>
      <c r="S87" s="519"/>
      <c r="T87" s="520"/>
      <c r="U87" s="521"/>
      <c r="V87" s="522"/>
      <c r="W87" s="519" t="s">
        <v>382</v>
      </c>
      <c r="X87" s="520">
        <v>44687.0</v>
      </c>
      <c r="Y87" s="521">
        <v>80.92</v>
      </c>
      <c r="Z87" s="522">
        <v>97500.0</v>
      </c>
    </row>
    <row r="88">
      <c r="A88" s="528"/>
      <c r="B88" s="528"/>
      <c r="C88" s="512">
        <f>I88/E147</f>
        <v>0</v>
      </c>
      <c r="D88" s="104" t="s">
        <v>381</v>
      </c>
      <c r="E88" s="104" t="s">
        <v>382</v>
      </c>
      <c r="F88" s="195">
        <v>7.2</v>
      </c>
      <c r="G88" s="513">
        <v>1500.0</v>
      </c>
      <c r="H88" s="217">
        <f t="shared" si="47"/>
        <v>173475</v>
      </c>
      <c r="I88" s="217">
        <v>0.0</v>
      </c>
      <c r="J88" s="216">
        <v>115.65</v>
      </c>
      <c r="K88" s="568">
        <f>IFERROR(__xludf.DUMMYFUNCTION("GOOGLEFINANCE(E88,""changepct"")"),-1.65)</f>
        <v>-1.65</v>
      </c>
      <c r="L88" s="516">
        <f>IFERROR(__xludf.DUMMYFUNCTION("googlefinance(E88,""price"")"),85.43)</f>
        <v>85.43</v>
      </c>
      <c r="M88" s="216">
        <v>87.2</v>
      </c>
      <c r="N88" s="517">
        <f t="shared" si="48"/>
        <v>-30.22</v>
      </c>
      <c r="O88" s="518">
        <f t="shared" ref="O88:O89" si="51">M88/J88-1</f>
        <v>-0.2460008647</v>
      </c>
      <c r="P88" s="495">
        <f t="shared" si="50"/>
        <v>-42675</v>
      </c>
      <c r="Q88" s="538"/>
      <c r="R88" s="217"/>
      <c r="S88" s="519" t="s">
        <v>382</v>
      </c>
      <c r="T88" s="520">
        <v>44686.0</v>
      </c>
      <c r="U88" s="521">
        <v>87.2</v>
      </c>
      <c r="V88" s="522">
        <v>130800.0</v>
      </c>
      <c r="W88" s="519"/>
      <c r="X88" s="520"/>
      <c r="Y88" s="521"/>
      <c r="Z88" s="522"/>
    </row>
    <row r="89">
      <c r="A89" s="528"/>
      <c r="B89" s="528"/>
      <c r="C89" s="512">
        <f>I89/E147</f>
        <v>0</v>
      </c>
      <c r="D89" s="344" t="s">
        <v>664</v>
      </c>
      <c r="E89" s="344" t="s">
        <v>665</v>
      </c>
      <c r="F89" s="195">
        <v>7.7</v>
      </c>
      <c r="G89" s="513">
        <v>1000.0</v>
      </c>
      <c r="H89" s="217">
        <f t="shared" si="47"/>
        <v>222570</v>
      </c>
      <c r="I89" s="217">
        <v>0.0</v>
      </c>
      <c r="J89" s="216">
        <v>222.57</v>
      </c>
      <c r="K89" s="515">
        <f>IFERROR(__xludf.DUMMYFUNCTION("GOOGLEFINANCE(E89,""changepct"")"),-1.05)</f>
        <v>-1.05</v>
      </c>
      <c r="L89" s="517">
        <f>IFERROR(__xludf.DUMMYFUNCTION("googlefinance(E89,""price"")"),315.31)</f>
        <v>315.31</v>
      </c>
      <c r="M89" s="216">
        <v>202.67</v>
      </c>
      <c r="N89" s="517">
        <f t="shared" si="48"/>
        <v>92.74</v>
      </c>
      <c r="O89" s="518">
        <f t="shared" si="51"/>
        <v>-0.08941007324</v>
      </c>
      <c r="P89" s="495">
        <f t="shared" si="50"/>
        <v>-19900</v>
      </c>
      <c r="Q89" s="538"/>
      <c r="R89" s="217"/>
      <c r="S89" s="519" t="s">
        <v>665</v>
      </c>
      <c r="T89" s="520">
        <v>44722.0</v>
      </c>
      <c r="U89" s="521">
        <v>202.67</v>
      </c>
      <c r="V89" s="522">
        <v>202670.0</v>
      </c>
      <c r="W89" s="523"/>
      <c r="X89" s="524"/>
      <c r="Y89" s="525"/>
      <c r="Z89" s="526"/>
    </row>
    <row r="90">
      <c r="A90" s="563"/>
      <c r="B90" s="563"/>
      <c r="C90" s="590">
        <f>I90/E147</f>
        <v>0.01762973264</v>
      </c>
      <c r="D90" s="529" t="s">
        <v>666</v>
      </c>
      <c r="E90" s="529" t="s">
        <v>408</v>
      </c>
      <c r="F90" s="588">
        <v>7.7</v>
      </c>
      <c r="G90" s="573">
        <v>2000.0</v>
      </c>
      <c r="H90" s="217">
        <f t="shared" si="47"/>
        <v>232360</v>
      </c>
      <c r="I90" s="217">
        <f t="shared" ref="I90:I91" si="52">H90+P90</f>
        <v>175600</v>
      </c>
      <c r="J90" s="268">
        <v>116.18</v>
      </c>
      <c r="K90" s="515">
        <f>IFERROR(__xludf.DUMMYFUNCTION("GOOGLEFINANCE(E90,""changepct"")"),0.8)</f>
        <v>0.8</v>
      </c>
      <c r="L90" s="517">
        <f>IFERROR(__xludf.DUMMYFUNCTION("googlefinance(E90,""price"")"),87.8)</f>
        <v>87.8</v>
      </c>
      <c r="M90" s="591"/>
      <c r="N90" s="517">
        <f t="shared" si="48"/>
        <v>-28.38</v>
      </c>
      <c r="O90" s="518">
        <f t="shared" ref="O90:O91" si="53">L90/J90-1</f>
        <v>-0.2442761233</v>
      </c>
      <c r="P90" s="495">
        <f t="shared" si="50"/>
        <v>-56760</v>
      </c>
      <c r="Q90" s="572">
        <v>0.02</v>
      </c>
      <c r="R90" s="269">
        <v>1150.0</v>
      </c>
      <c r="S90" s="579"/>
      <c r="T90" s="580"/>
      <c r="U90" s="581"/>
      <c r="V90" s="582"/>
      <c r="W90" s="219" t="s">
        <v>408</v>
      </c>
      <c r="X90" s="585">
        <v>44692.0</v>
      </c>
      <c r="Y90" s="586">
        <v>116.18</v>
      </c>
      <c r="Z90" s="587">
        <v>232360.0</v>
      </c>
    </row>
    <row r="91">
      <c r="A91" s="563"/>
      <c r="B91" s="563"/>
      <c r="C91" s="590">
        <f>I91/E147</f>
        <v>0.01859756079</v>
      </c>
      <c r="D91" s="529" t="s">
        <v>667</v>
      </c>
      <c r="E91" s="529" t="s">
        <v>639</v>
      </c>
      <c r="F91" s="588">
        <v>7.5</v>
      </c>
      <c r="G91" s="573">
        <v>2000.0</v>
      </c>
      <c r="H91" s="217">
        <f t="shared" si="47"/>
        <v>204580</v>
      </c>
      <c r="I91" s="217">
        <f t="shared" si="52"/>
        <v>185240</v>
      </c>
      <c r="J91" s="268">
        <v>102.29</v>
      </c>
      <c r="K91" s="515">
        <f>IFERROR(__xludf.DUMMYFUNCTION("GOOGLEFINANCE(E91,""changepct"")"),0.59)</f>
        <v>0.59</v>
      </c>
      <c r="L91" s="517">
        <f>IFERROR(__xludf.DUMMYFUNCTION("googlefinance(E91,""price"")"),92.62)</f>
        <v>92.62</v>
      </c>
      <c r="M91" s="591"/>
      <c r="N91" s="517">
        <f t="shared" si="48"/>
        <v>-9.67</v>
      </c>
      <c r="O91" s="518">
        <f t="shared" si="53"/>
        <v>-0.09453514518</v>
      </c>
      <c r="P91" s="495">
        <f t="shared" si="50"/>
        <v>-19340</v>
      </c>
      <c r="Q91" s="572">
        <v>0.01</v>
      </c>
      <c r="R91" s="269">
        <v>510.0</v>
      </c>
      <c r="S91" s="579"/>
      <c r="T91" s="580"/>
      <c r="U91" s="581"/>
      <c r="V91" s="582"/>
      <c r="W91" s="219" t="s">
        <v>639</v>
      </c>
      <c r="X91" s="585">
        <v>44692.0</v>
      </c>
      <c r="Y91" s="586">
        <v>102.29</v>
      </c>
      <c r="Z91" s="587">
        <v>204580.0</v>
      </c>
    </row>
    <row r="92">
      <c r="A92" s="13"/>
      <c r="B92" s="13"/>
      <c r="C92" s="13"/>
      <c r="D92" s="13"/>
      <c r="E92" s="13"/>
      <c r="F92" s="13"/>
      <c r="G92" s="509"/>
      <c r="H92" s="509">
        <f t="shared" ref="H92:I92" si="54">SUM(H85:H91)</f>
        <v>1531969</v>
      </c>
      <c r="I92" s="539">
        <f t="shared" si="54"/>
        <v>463356</v>
      </c>
      <c r="J92" s="506"/>
      <c r="K92" s="506"/>
      <c r="L92" s="506"/>
      <c r="M92" s="507"/>
      <c r="N92" s="507"/>
      <c r="O92" s="540">
        <f>P92/H92</f>
        <v>-0.08156039711</v>
      </c>
      <c r="P92" s="625">
        <v>-124948.0</v>
      </c>
      <c r="Q92" s="13"/>
      <c r="R92" s="509">
        <f>SUM(R85:R91)</f>
        <v>1660</v>
      </c>
      <c r="S92" s="510" t="s">
        <v>89</v>
      </c>
      <c r="T92" s="542"/>
      <c r="U92" s="543"/>
      <c r="V92" s="570">
        <f>SUM(V85:V89)</f>
        <v>886273</v>
      </c>
      <c r="W92" s="510" t="s">
        <v>89</v>
      </c>
      <c r="X92" s="542"/>
      <c r="Y92" s="543"/>
      <c r="Z92" s="570">
        <f>SUM(Z85:Z91)</f>
        <v>534440</v>
      </c>
    </row>
    <row r="93">
      <c r="A93" s="173"/>
      <c r="B93" s="504" t="s">
        <v>409</v>
      </c>
      <c r="C93" s="504" t="s">
        <v>2</v>
      </c>
      <c r="D93" s="13" t="s">
        <v>150</v>
      </c>
      <c r="E93" s="13" t="s">
        <v>4</v>
      </c>
      <c r="F93" s="13" t="s">
        <v>5</v>
      </c>
      <c r="G93" s="504" t="s">
        <v>6</v>
      </c>
      <c r="H93" s="504" t="s">
        <v>7</v>
      </c>
      <c r="I93" s="505" t="s">
        <v>8</v>
      </c>
      <c r="J93" s="505" t="s">
        <v>9</v>
      </c>
      <c r="K93" s="506" t="s">
        <v>10</v>
      </c>
      <c r="L93" s="506" t="s">
        <v>11</v>
      </c>
      <c r="M93" s="507" t="s">
        <v>476</v>
      </c>
      <c r="N93" s="507" t="s">
        <v>13</v>
      </c>
      <c r="O93" s="504" t="s">
        <v>14</v>
      </c>
      <c r="P93" s="508" t="s">
        <v>15</v>
      </c>
      <c r="Q93" s="13" t="s">
        <v>16</v>
      </c>
      <c r="R93" s="13" t="s">
        <v>17</v>
      </c>
      <c r="S93" s="510" t="s">
        <v>21</v>
      </c>
      <c r="T93" s="510" t="s">
        <v>22</v>
      </c>
      <c r="U93" s="511" t="s">
        <v>23</v>
      </c>
      <c r="V93" s="511" t="s">
        <v>24</v>
      </c>
      <c r="W93" s="510" t="s">
        <v>25</v>
      </c>
      <c r="X93" s="510" t="s">
        <v>26</v>
      </c>
      <c r="Y93" s="510" t="s">
        <v>27</v>
      </c>
      <c r="Z93" s="510" t="s">
        <v>28</v>
      </c>
    </row>
    <row r="94">
      <c r="A94" s="502" t="s">
        <v>29</v>
      </c>
      <c r="B94" s="527" t="str">
        <f>I112/E147</f>
        <v>#N/A</v>
      </c>
      <c r="C94" s="512">
        <f>I94/E147</f>
        <v>0.04517869983</v>
      </c>
      <c r="D94" s="344" t="s">
        <v>151</v>
      </c>
      <c r="E94" s="344" t="s">
        <v>152</v>
      </c>
      <c r="F94" s="195">
        <v>8.5</v>
      </c>
      <c r="G94" s="513">
        <v>250.0</v>
      </c>
      <c r="H94" s="217">
        <f t="shared" ref="H94:H111" si="55">G94*J94</f>
        <v>484500</v>
      </c>
      <c r="I94" s="514">
        <f t="shared" ref="I94:I111" si="56">H94+P94</f>
        <v>450000</v>
      </c>
      <c r="J94" s="216">
        <v>1938.0</v>
      </c>
      <c r="K94" s="594"/>
      <c r="L94" s="597">
        <v>1800.0</v>
      </c>
      <c r="M94" s="517"/>
      <c r="N94" s="517">
        <f t="shared" ref="N94:N111" si="57">L94-J94</f>
        <v>-138</v>
      </c>
      <c r="O94" s="518">
        <f t="shared" ref="O94:O111" si="58">L94/J94-1</f>
        <v>-0.07120743034</v>
      </c>
      <c r="P94" s="495">
        <f t="shared" ref="P94:P111" si="59">H94*O94</f>
        <v>-34500</v>
      </c>
      <c r="Q94" s="512"/>
      <c r="R94" s="514"/>
      <c r="S94" s="523"/>
      <c r="T94" s="524"/>
      <c r="U94" s="525"/>
      <c r="V94" s="526"/>
      <c r="W94" s="523"/>
      <c r="X94" s="524"/>
      <c r="Y94" s="525"/>
      <c r="Z94" s="526"/>
    </row>
    <row r="95">
      <c r="A95" s="344" t="s">
        <v>153</v>
      </c>
      <c r="B95" s="596">
        <f>I94+I95</f>
        <v>660000</v>
      </c>
      <c r="C95" s="512">
        <f>I95/E147</f>
        <v>0.02108339325</v>
      </c>
      <c r="D95" s="344" t="s">
        <v>154</v>
      </c>
      <c r="E95" s="344" t="s">
        <v>155</v>
      </c>
      <c r="F95" s="195">
        <v>8.5</v>
      </c>
      <c r="G95" s="513">
        <v>10000.0</v>
      </c>
      <c r="H95" s="217">
        <f t="shared" si="55"/>
        <v>247700</v>
      </c>
      <c r="I95" s="514">
        <f t="shared" si="56"/>
        <v>210000</v>
      </c>
      <c r="J95" s="216">
        <v>24.77</v>
      </c>
      <c r="K95" s="594"/>
      <c r="L95" s="597">
        <v>21.0</v>
      </c>
      <c r="M95" s="517"/>
      <c r="N95" s="517">
        <f t="shared" si="57"/>
        <v>-3.77</v>
      </c>
      <c r="O95" s="518">
        <f t="shared" si="58"/>
        <v>-0.1522002422</v>
      </c>
      <c r="P95" s="514">
        <f t="shared" si="59"/>
        <v>-37700</v>
      </c>
      <c r="Q95" s="512"/>
      <c r="R95" s="514"/>
      <c r="S95" s="523"/>
      <c r="T95" s="524"/>
      <c r="U95" s="525"/>
      <c r="V95" s="526"/>
      <c r="W95" s="523"/>
      <c r="X95" s="524"/>
      <c r="Y95" s="525"/>
      <c r="Z95" s="526"/>
    </row>
    <row r="96">
      <c r="A96" s="344" t="s">
        <v>156</v>
      </c>
      <c r="B96" s="598">
        <f>B95/E147</f>
        <v>0.06626209308</v>
      </c>
      <c r="C96" s="512">
        <f>I96/E147</f>
        <v>0.01695205215</v>
      </c>
      <c r="D96" s="344" t="s">
        <v>570</v>
      </c>
      <c r="E96" s="344" t="s">
        <v>158</v>
      </c>
      <c r="F96" s="195">
        <v>8.3</v>
      </c>
      <c r="G96" s="513">
        <v>5000.0</v>
      </c>
      <c r="H96" s="217">
        <f t="shared" si="55"/>
        <v>191550</v>
      </c>
      <c r="I96" s="514">
        <f t="shared" si="56"/>
        <v>168850</v>
      </c>
      <c r="J96" s="216">
        <v>38.31</v>
      </c>
      <c r="K96" s="568">
        <f>IFERROR(__xludf.DUMMYFUNCTION("GOOGLEFINANCE(E96,""changepct"")"),-1.43)</f>
        <v>-1.43</v>
      </c>
      <c r="L96" s="516">
        <f>IFERROR(__xludf.DUMMYFUNCTION("googlefinance(E96,""price"")"),33.77)</f>
        <v>33.77</v>
      </c>
      <c r="M96" s="216"/>
      <c r="N96" s="517">
        <f t="shared" si="57"/>
        <v>-4.54</v>
      </c>
      <c r="O96" s="518">
        <f t="shared" si="58"/>
        <v>-0.1185069173</v>
      </c>
      <c r="P96" s="514">
        <f t="shared" si="59"/>
        <v>-22700</v>
      </c>
      <c r="Q96" s="538">
        <v>0.006</v>
      </c>
      <c r="R96" s="217">
        <v>225.0</v>
      </c>
      <c r="S96" s="519"/>
      <c r="T96" s="520"/>
      <c r="U96" s="521"/>
      <c r="V96" s="522"/>
      <c r="W96" s="523"/>
      <c r="X96" s="524"/>
      <c r="Y96" s="525"/>
      <c r="Z96" s="526"/>
    </row>
    <row r="97">
      <c r="A97" s="344" t="s">
        <v>159</v>
      </c>
      <c r="B97" s="596" t="str">
        <f>I97+I101+I110+I111+I102+I99+I106+I107+I108+I96+I98+I103+I104+I109+I100+I105</f>
        <v>#N/A</v>
      </c>
      <c r="C97" s="512">
        <f>I97/E147</f>
        <v>0.0169952229</v>
      </c>
      <c r="D97" s="344" t="s">
        <v>160</v>
      </c>
      <c r="E97" s="344" t="s">
        <v>161</v>
      </c>
      <c r="F97" s="195">
        <v>8.3</v>
      </c>
      <c r="G97" s="513">
        <v>4000.0</v>
      </c>
      <c r="H97" s="217">
        <f t="shared" si="55"/>
        <v>187000</v>
      </c>
      <c r="I97" s="514">
        <f t="shared" si="56"/>
        <v>169280</v>
      </c>
      <c r="J97" s="216">
        <v>46.75</v>
      </c>
      <c r="K97" s="568">
        <f>IFERROR(__xludf.DUMMYFUNCTION("GOOGLEFINANCE(E97,""changepct"")"),-1.7)</f>
        <v>-1.7</v>
      </c>
      <c r="L97" s="516">
        <f>IFERROR(__xludf.DUMMYFUNCTION("googlefinance(E97,""price"")"),42.32)</f>
        <v>42.32</v>
      </c>
      <c r="M97" s="216"/>
      <c r="N97" s="517">
        <f t="shared" si="57"/>
        <v>-4.43</v>
      </c>
      <c r="O97" s="518">
        <f t="shared" si="58"/>
        <v>-0.09475935829</v>
      </c>
      <c r="P97" s="514">
        <f t="shared" si="59"/>
        <v>-17720</v>
      </c>
      <c r="Q97" s="538">
        <v>0.019</v>
      </c>
      <c r="R97" s="217">
        <v>712.0</v>
      </c>
      <c r="S97" s="523"/>
      <c r="T97" s="520"/>
      <c r="U97" s="521"/>
      <c r="V97" s="522"/>
      <c r="W97" s="523"/>
      <c r="X97" s="524"/>
      <c r="Y97" s="525"/>
      <c r="Z97" s="526"/>
    </row>
    <row r="98">
      <c r="A98" s="104" t="s">
        <v>162</v>
      </c>
      <c r="B98" s="599" t="str">
        <f>B97/E147</f>
        <v>#N/A</v>
      </c>
      <c r="C98" s="512">
        <f>I98/E147</f>
        <v>0.009286732743</v>
      </c>
      <c r="D98" s="344" t="s">
        <v>506</v>
      </c>
      <c r="E98" s="344" t="s">
        <v>169</v>
      </c>
      <c r="F98" s="195">
        <v>8.3</v>
      </c>
      <c r="G98" s="513">
        <v>2500.0</v>
      </c>
      <c r="H98" s="217">
        <f t="shared" si="55"/>
        <v>198700</v>
      </c>
      <c r="I98" s="514">
        <f t="shared" si="56"/>
        <v>92500</v>
      </c>
      <c r="J98" s="216">
        <v>79.48</v>
      </c>
      <c r="K98" s="568">
        <f>IFERROR(__xludf.DUMMYFUNCTION("GOOGLEFINANCE(E98,""changepct"")"),-2.22)</f>
        <v>-2.22</v>
      </c>
      <c r="L98" s="516">
        <f>IFERROR(__xludf.DUMMYFUNCTION("googlefinance(E98,""price"")"),37.0)</f>
        <v>37</v>
      </c>
      <c r="M98" s="216"/>
      <c r="N98" s="517">
        <f t="shared" si="57"/>
        <v>-42.48</v>
      </c>
      <c r="O98" s="518">
        <f t="shared" si="58"/>
        <v>-0.5344740815</v>
      </c>
      <c r="P98" s="514">
        <f t="shared" si="59"/>
        <v>-106200</v>
      </c>
      <c r="Q98" s="538">
        <v>0.039</v>
      </c>
      <c r="R98" s="217">
        <v>1560.0</v>
      </c>
      <c r="S98" s="519"/>
      <c r="T98" s="520"/>
      <c r="U98" s="521"/>
      <c r="V98" s="522"/>
      <c r="W98" s="523"/>
      <c r="X98" s="524"/>
      <c r="Y98" s="525"/>
      <c r="Z98" s="526"/>
    </row>
    <row r="99">
      <c r="A99" s="528"/>
      <c r="B99" s="528"/>
      <c r="C99" s="512">
        <f>I99/E147</f>
        <v>0.02344774521</v>
      </c>
      <c r="D99" s="104" t="s">
        <v>165</v>
      </c>
      <c r="E99" s="104" t="s">
        <v>164</v>
      </c>
      <c r="F99" s="195">
        <v>8.4</v>
      </c>
      <c r="G99" s="513">
        <v>3000.0</v>
      </c>
      <c r="H99" s="217">
        <f t="shared" si="55"/>
        <v>183390</v>
      </c>
      <c r="I99" s="514">
        <f t="shared" si="56"/>
        <v>233550</v>
      </c>
      <c r="J99" s="216">
        <v>61.13</v>
      </c>
      <c r="K99" s="568">
        <f>IFERROR(__xludf.DUMMYFUNCTION("GOOGLEFINANCE(E99,""changepct"")"),-1.02)</f>
        <v>-1.02</v>
      </c>
      <c r="L99" s="516">
        <f>IFERROR(__xludf.DUMMYFUNCTION("googlefinance(E99,""price"")"),77.85)</f>
        <v>77.85</v>
      </c>
      <c r="M99" s="517"/>
      <c r="N99" s="517">
        <f t="shared" si="57"/>
        <v>16.72</v>
      </c>
      <c r="O99" s="518">
        <f t="shared" si="58"/>
        <v>0.2735154589</v>
      </c>
      <c r="P99" s="514">
        <f t="shared" si="59"/>
        <v>50160</v>
      </c>
      <c r="Q99" s="538">
        <v>0.03</v>
      </c>
      <c r="R99" s="217">
        <v>1120.0</v>
      </c>
      <c r="S99" s="523"/>
      <c r="T99" s="524"/>
      <c r="U99" s="525"/>
      <c r="V99" s="526"/>
      <c r="W99" s="519"/>
      <c r="X99" s="520"/>
      <c r="Y99" s="521"/>
      <c r="Z99" s="522"/>
    </row>
    <row r="100">
      <c r="A100" s="528"/>
      <c r="B100" s="528"/>
      <c r="C100" s="512">
        <f>I100/E147</f>
        <v>0.02301603764</v>
      </c>
      <c r="D100" s="344" t="s">
        <v>166</v>
      </c>
      <c r="E100" s="344" t="s">
        <v>167</v>
      </c>
      <c r="F100" s="195">
        <v>8.1</v>
      </c>
      <c r="G100" s="513">
        <v>25000.0</v>
      </c>
      <c r="H100" s="217">
        <f t="shared" si="55"/>
        <v>108750</v>
      </c>
      <c r="I100" s="514">
        <f t="shared" si="56"/>
        <v>229250</v>
      </c>
      <c r="J100" s="216">
        <v>4.35</v>
      </c>
      <c r="K100" s="568">
        <f>IFERROR(__xludf.DUMMYFUNCTION("GOOGLEFINANCE(E100,""changepct"")"),-1.5)</f>
        <v>-1.5</v>
      </c>
      <c r="L100" s="516">
        <f>IFERROR(__xludf.DUMMYFUNCTION("googlefinance(E100,""price"")"),9.17)</f>
        <v>9.17</v>
      </c>
      <c r="M100" s="517"/>
      <c r="N100" s="517">
        <f t="shared" si="57"/>
        <v>4.82</v>
      </c>
      <c r="O100" s="518">
        <f t="shared" si="58"/>
        <v>1.108045977</v>
      </c>
      <c r="P100" s="514">
        <f t="shared" si="59"/>
        <v>120500</v>
      </c>
      <c r="Q100" s="538">
        <v>0.03</v>
      </c>
      <c r="R100" s="217">
        <v>750.0</v>
      </c>
      <c r="S100" s="523"/>
      <c r="T100" s="524"/>
      <c r="U100" s="525"/>
      <c r="V100" s="526"/>
      <c r="W100" s="519" t="s">
        <v>167</v>
      </c>
      <c r="X100" s="520">
        <v>44722.0</v>
      </c>
      <c r="Y100" s="521">
        <v>4.35</v>
      </c>
      <c r="Z100" s="522">
        <v>108750.0</v>
      </c>
    </row>
    <row r="101">
      <c r="A101" s="528"/>
      <c r="B101" s="528"/>
      <c r="C101" s="512">
        <f>I101/E147</f>
        <v>0.02301603764</v>
      </c>
      <c r="D101" s="344" t="s">
        <v>166</v>
      </c>
      <c r="E101" s="344" t="s">
        <v>167</v>
      </c>
      <c r="F101" s="195">
        <v>8.1</v>
      </c>
      <c r="G101" s="513">
        <v>25000.0</v>
      </c>
      <c r="H101" s="217">
        <f t="shared" si="55"/>
        <v>146750</v>
      </c>
      <c r="I101" s="514">
        <f t="shared" si="56"/>
        <v>229250</v>
      </c>
      <c r="J101" s="216">
        <v>5.87</v>
      </c>
      <c r="K101" s="568">
        <f>IFERROR(__xludf.DUMMYFUNCTION("GOOGLEFINANCE(E101,""changepct"")"),-1.5)</f>
        <v>-1.5</v>
      </c>
      <c r="L101" s="516">
        <f>IFERROR(__xludf.DUMMYFUNCTION("googlefinance(E101,""price"")"),9.17)</f>
        <v>9.17</v>
      </c>
      <c r="M101" s="517"/>
      <c r="N101" s="517">
        <f t="shared" si="57"/>
        <v>3.3</v>
      </c>
      <c r="O101" s="518">
        <f t="shared" si="58"/>
        <v>0.5621805792</v>
      </c>
      <c r="P101" s="514">
        <f t="shared" si="59"/>
        <v>82500</v>
      </c>
      <c r="Q101" s="538">
        <v>0.03</v>
      </c>
      <c r="R101" s="217">
        <v>800.0</v>
      </c>
      <c r="S101" s="523"/>
      <c r="T101" s="524"/>
      <c r="U101" s="525"/>
      <c r="V101" s="526"/>
      <c r="W101" s="519"/>
      <c r="X101" s="520"/>
      <c r="Y101" s="521"/>
      <c r="Z101" s="522"/>
    </row>
    <row r="102">
      <c r="A102" s="528"/>
      <c r="B102" s="528"/>
      <c r="C102" s="512" t="str">
        <f>I102/E147</f>
        <v>#N/A</v>
      </c>
      <c r="D102" s="104" t="s">
        <v>617</v>
      </c>
      <c r="E102" s="104" t="s">
        <v>618</v>
      </c>
      <c r="F102" s="195">
        <v>8.2</v>
      </c>
      <c r="G102" s="513">
        <v>30000.0</v>
      </c>
      <c r="H102" s="217">
        <f t="shared" si="55"/>
        <v>167100</v>
      </c>
      <c r="I102" s="514" t="str">
        <f t="shared" si="56"/>
        <v>#N/A</v>
      </c>
      <c r="J102" s="216">
        <v>5.57</v>
      </c>
      <c r="K102" s="568" t="str">
        <f>IFERROR(__xludf.DUMMYFUNCTION("GOOGLEFINANCE(E102,""changepct"")"),"#N/A")</f>
        <v>#N/A</v>
      </c>
      <c r="L102" s="516" t="str">
        <f>IFERROR(__xludf.DUMMYFUNCTION("googlefinance(E102,""price"")"),"#N/A")</f>
        <v>#N/A</v>
      </c>
      <c r="M102" s="216"/>
      <c r="N102" s="528" t="str">
        <f t="shared" si="57"/>
        <v>#N/A</v>
      </c>
      <c r="O102" s="518" t="str">
        <f t="shared" si="58"/>
        <v>#N/A</v>
      </c>
      <c r="P102" s="528" t="str">
        <f t="shared" si="59"/>
        <v>#N/A</v>
      </c>
      <c r="Q102" s="538">
        <v>0.03</v>
      </c>
      <c r="R102" s="217">
        <v>1120.0</v>
      </c>
      <c r="S102" s="523"/>
      <c r="T102" s="520"/>
      <c r="U102" s="521"/>
      <c r="V102" s="522"/>
      <c r="W102" s="519"/>
      <c r="X102" s="520"/>
      <c r="Y102" s="521"/>
      <c r="Z102" s="522"/>
    </row>
    <row r="103">
      <c r="A103" s="528"/>
      <c r="B103" s="528"/>
      <c r="C103" s="512">
        <f>I103/E147</f>
        <v>0.01164104499</v>
      </c>
      <c r="D103" s="104" t="s">
        <v>571</v>
      </c>
      <c r="E103" s="104" t="s">
        <v>172</v>
      </c>
      <c r="F103" s="195">
        <v>8.1</v>
      </c>
      <c r="G103" s="513">
        <v>7500.0</v>
      </c>
      <c r="H103" s="217">
        <f t="shared" si="55"/>
        <v>151575</v>
      </c>
      <c r="I103" s="514">
        <f t="shared" si="56"/>
        <v>115950</v>
      </c>
      <c r="J103" s="216">
        <v>20.21</v>
      </c>
      <c r="K103" s="568">
        <f>IFERROR(__xludf.DUMMYFUNCTION("GOOGLEFINANCE(E103,""changepct"")"),-1.4)</f>
        <v>-1.4</v>
      </c>
      <c r="L103" s="516">
        <f>IFERROR(__xludf.DUMMYFUNCTION("googlefinance(E103,""price"")"),15.46)</f>
        <v>15.46</v>
      </c>
      <c r="M103" s="216"/>
      <c r="N103" s="517">
        <f t="shared" si="57"/>
        <v>-4.75</v>
      </c>
      <c r="O103" s="518">
        <f t="shared" si="58"/>
        <v>-0.2350321623</v>
      </c>
      <c r="P103" s="514">
        <f t="shared" si="59"/>
        <v>-35625</v>
      </c>
      <c r="Q103" s="538">
        <v>0.022</v>
      </c>
      <c r="R103" s="217">
        <v>770.0</v>
      </c>
      <c r="S103" s="523"/>
      <c r="T103" s="520"/>
      <c r="U103" s="521"/>
      <c r="V103" s="522"/>
      <c r="W103" s="519" t="s">
        <v>172</v>
      </c>
      <c r="X103" s="520">
        <v>44722.0</v>
      </c>
      <c r="Y103" s="521">
        <v>20.21</v>
      </c>
      <c r="Z103" s="522">
        <v>151575.0</v>
      </c>
    </row>
    <row r="104">
      <c r="A104" s="528"/>
      <c r="B104" s="528"/>
      <c r="C104" s="512">
        <f>I104/E147</f>
        <v>0.01174244607</v>
      </c>
      <c r="D104" s="104" t="s">
        <v>640</v>
      </c>
      <c r="E104" s="104" t="s">
        <v>641</v>
      </c>
      <c r="F104" s="195">
        <v>8.0</v>
      </c>
      <c r="G104" s="513">
        <v>1000.0</v>
      </c>
      <c r="H104" s="217">
        <f t="shared" si="55"/>
        <v>142890</v>
      </c>
      <c r="I104" s="514">
        <f t="shared" si="56"/>
        <v>116960</v>
      </c>
      <c r="J104" s="216">
        <v>142.89</v>
      </c>
      <c r="K104" s="568">
        <f>IFERROR(__xludf.DUMMYFUNCTION("GOOGLEFINANCE(E104,""changepct"")"),-1.41)</f>
        <v>-1.41</v>
      </c>
      <c r="L104" s="516">
        <f>IFERROR(__xludf.DUMMYFUNCTION("googlefinance(E104,""price"")"),116.96)</f>
        <v>116.96</v>
      </c>
      <c r="M104" s="216"/>
      <c r="N104" s="517">
        <f t="shared" si="57"/>
        <v>-25.93</v>
      </c>
      <c r="O104" s="518">
        <f t="shared" si="58"/>
        <v>-0.1814682623</v>
      </c>
      <c r="P104" s="514">
        <f t="shared" si="59"/>
        <v>-25930</v>
      </c>
      <c r="Q104" s="538">
        <v>0.019</v>
      </c>
      <c r="R104" s="217">
        <v>570.0</v>
      </c>
      <c r="S104" s="523"/>
      <c r="T104" s="520"/>
      <c r="U104" s="521"/>
      <c r="V104" s="522"/>
      <c r="W104" s="519" t="s">
        <v>641</v>
      </c>
      <c r="X104" s="520">
        <v>44722.0</v>
      </c>
      <c r="Y104" s="521">
        <v>142.89</v>
      </c>
      <c r="Z104" s="522">
        <v>142890.0</v>
      </c>
    </row>
    <row r="105">
      <c r="A105" s="528"/>
      <c r="B105" s="528"/>
      <c r="C105" s="512">
        <f>I105/E147</f>
        <v>0.005411404268</v>
      </c>
      <c r="D105" s="104" t="s">
        <v>549</v>
      </c>
      <c r="E105" s="104" t="s">
        <v>550</v>
      </c>
      <c r="F105" s="195">
        <v>8.0</v>
      </c>
      <c r="G105" s="513">
        <v>10000.0</v>
      </c>
      <c r="H105" s="217">
        <f t="shared" si="55"/>
        <v>84500</v>
      </c>
      <c r="I105" s="514">
        <f t="shared" si="56"/>
        <v>53900</v>
      </c>
      <c r="J105" s="216">
        <v>8.45</v>
      </c>
      <c r="K105" s="568">
        <f>IFERROR(__xludf.DUMMYFUNCTION("GOOGLEFINANCE(E105,""changepct"")"),-2.71)</f>
        <v>-2.71</v>
      </c>
      <c r="L105" s="516">
        <f>IFERROR(__xludf.DUMMYFUNCTION("googlefinance(E105,""price"")"),5.39)</f>
        <v>5.39</v>
      </c>
      <c r="M105" s="216"/>
      <c r="N105" s="517">
        <f t="shared" si="57"/>
        <v>-3.06</v>
      </c>
      <c r="O105" s="518">
        <f t="shared" si="58"/>
        <v>-0.3621301775</v>
      </c>
      <c r="P105" s="514">
        <f t="shared" si="59"/>
        <v>-30600</v>
      </c>
      <c r="Q105" s="538">
        <v>0.0035</v>
      </c>
      <c r="R105" s="217">
        <v>70.0</v>
      </c>
      <c r="S105" s="523"/>
      <c r="T105" s="520"/>
      <c r="U105" s="521"/>
      <c r="V105" s="522"/>
      <c r="W105" s="519" t="s">
        <v>550</v>
      </c>
      <c r="X105" s="520">
        <v>44722.0</v>
      </c>
      <c r="Y105" s="521">
        <v>8.45</v>
      </c>
      <c r="Z105" s="522">
        <v>84500.0</v>
      </c>
    </row>
    <row r="106">
      <c r="A106" s="528"/>
      <c r="B106" s="528"/>
      <c r="C106" s="512">
        <f>I106/E147</f>
        <v>0.005411404268</v>
      </c>
      <c r="D106" s="104" t="s">
        <v>549</v>
      </c>
      <c r="E106" s="104" t="s">
        <v>550</v>
      </c>
      <c r="F106" s="195">
        <v>8.0</v>
      </c>
      <c r="G106" s="513">
        <v>10000.0</v>
      </c>
      <c r="H106" s="217">
        <f t="shared" si="55"/>
        <v>131700</v>
      </c>
      <c r="I106" s="514">
        <f t="shared" si="56"/>
        <v>53900</v>
      </c>
      <c r="J106" s="216">
        <v>13.17</v>
      </c>
      <c r="K106" s="568">
        <f>IFERROR(__xludf.DUMMYFUNCTION("GOOGLEFINANCE(E106,""changepct"")"),-2.71)</f>
        <v>-2.71</v>
      </c>
      <c r="L106" s="516">
        <f>IFERROR(__xludf.DUMMYFUNCTION("googlefinance(E106,""price"")"),5.39)</f>
        <v>5.39</v>
      </c>
      <c r="M106" s="216"/>
      <c r="N106" s="517">
        <f t="shared" si="57"/>
        <v>-7.78</v>
      </c>
      <c r="O106" s="518">
        <f t="shared" si="58"/>
        <v>-0.5907365224</v>
      </c>
      <c r="P106" s="514">
        <f t="shared" si="59"/>
        <v>-77800</v>
      </c>
      <c r="Q106" s="538">
        <v>0.0035</v>
      </c>
      <c r="R106" s="217">
        <v>70.0</v>
      </c>
      <c r="S106" s="523"/>
      <c r="T106" s="520"/>
      <c r="U106" s="521"/>
      <c r="V106" s="522"/>
      <c r="W106" s="519"/>
      <c r="X106" s="520"/>
      <c r="Y106" s="521"/>
      <c r="Z106" s="522"/>
    </row>
    <row r="107">
      <c r="A107" s="528"/>
      <c r="B107" s="528"/>
      <c r="C107" s="512">
        <f>I107/E147</f>
        <v>0.01401342872</v>
      </c>
      <c r="D107" s="104" t="s">
        <v>357</v>
      </c>
      <c r="E107" s="104" t="s">
        <v>174</v>
      </c>
      <c r="F107" s="195">
        <v>8.1</v>
      </c>
      <c r="G107" s="513">
        <v>7000.0</v>
      </c>
      <c r="H107" s="217">
        <f t="shared" si="55"/>
        <v>191590</v>
      </c>
      <c r="I107" s="514">
        <f t="shared" si="56"/>
        <v>139580</v>
      </c>
      <c r="J107" s="216">
        <v>27.37</v>
      </c>
      <c r="K107" s="568">
        <f>IFERROR(__xludf.DUMMYFUNCTION("GOOGLEFINANCE(E107,""changepct"")"),-3.11)</f>
        <v>-3.11</v>
      </c>
      <c r="L107" s="516">
        <f>IFERROR(__xludf.DUMMYFUNCTION("googlefinance(E107,""price"")"),19.94)</f>
        <v>19.94</v>
      </c>
      <c r="M107" s="216"/>
      <c r="N107" s="517">
        <f t="shared" si="57"/>
        <v>-7.43</v>
      </c>
      <c r="O107" s="518">
        <f t="shared" si="58"/>
        <v>-0.2714651078</v>
      </c>
      <c r="P107" s="514">
        <f t="shared" si="59"/>
        <v>-52010</v>
      </c>
      <c r="Q107" s="538">
        <v>0.028</v>
      </c>
      <c r="R107" s="217">
        <v>1120.0</v>
      </c>
      <c r="S107" s="523"/>
      <c r="T107" s="520"/>
      <c r="U107" s="521"/>
      <c r="V107" s="522"/>
      <c r="W107" s="519"/>
      <c r="X107" s="520"/>
      <c r="Y107" s="521"/>
      <c r="Z107" s="522"/>
    </row>
    <row r="108">
      <c r="A108" s="528"/>
      <c r="B108" s="528"/>
      <c r="C108" s="512">
        <f>I108/E147</f>
        <v>0.02113359181</v>
      </c>
      <c r="D108" s="104" t="s">
        <v>572</v>
      </c>
      <c r="E108" s="104" t="s">
        <v>573</v>
      </c>
      <c r="F108" s="195">
        <v>8.0</v>
      </c>
      <c r="G108" s="513">
        <v>50000.0</v>
      </c>
      <c r="H108" s="217">
        <f t="shared" si="55"/>
        <v>190000</v>
      </c>
      <c r="I108" s="514">
        <f t="shared" si="56"/>
        <v>210500</v>
      </c>
      <c r="J108" s="216">
        <v>3.8</v>
      </c>
      <c r="K108" s="568">
        <f>IFERROR(__xludf.DUMMYFUNCTION("GOOGLEFINANCE(E108,""changepct"")"),-2.55)</f>
        <v>-2.55</v>
      </c>
      <c r="L108" s="516">
        <f>IFERROR(__xludf.DUMMYFUNCTION("googlefinance(E108,""price"")"),4.21)</f>
        <v>4.21</v>
      </c>
      <c r="M108" s="216"/>
      <c r="N108" s="517">
        <f t="shared" si="57"/>
        <v>0.41</v>
      </c>
      <c r="O108" s="518">
        <f t="shared" si="58"/>
        <v>0.1078947368</v>
      </c>
      <c r="P108" s="514">
        <f t="shared" si="59"/>
        <v>20500</v>
      </c>
      <c r="Q108" s="195" t="s">
        <v>128</v>
      </c>
      <c r="R108" s="217"/>
      <c r="S108" s="523"/>
      <c r="T108" s="520"/>
      <c r="U108" s="521"/>
      <c r="V108" s="522"/>
      <c r="W108" s="519"/>
      <c r="X108" s="520"/>
      <c r="Y108" s="521"/>
      <c r="Z108" s="522"/>
    </row>
    <row r="109">
      <c r="A109" s="528"/>
      <c r="B109" s="528"/>
      <c r="C109" s="512">
        <f>I109/E147</f>
        <v>0.01460777961</v>
      </c>
      <c r="D109" s="104" t="s">
        <v>668</v>
      </c>
      <c r="E109" s="104" t="s">
        <v>669</v>
      </c>
      <c r="F109" s="195">
        <v>8.0</v>
      </c>
      <c r="G109" s="513">
        <v>50000.0</v>
      </c>
      <c r="H109" s="217">
        <f t="shared" si="55"/>
        <v>139500</v>
      </c>
      <c r="I109" s="514">
        <f t="shared" si="56"/>
        <v>145500</v>
      </c>
      <c r="J109" s="216">
        <v>2.79</v>
      </c>
      <c r="K109" s="568">
        <f>IFERROR(__xludf.DUMMYFUNCTION("GOOGLEFINANCE(E109,""changepct"")"),-2.84)</f>
        <v>-2.84</v>
      </c>
      <c r="L109" s="516">
        <f>IFERROR(__xludf.DUMMYFUNCTION("googlefinance(E109,""price"")"),2.91)</f>
        <v>2.91</v>
      </c>
      <c r="M109" s="216"/>
      <c r="N109" s="517">
        <f t="shared" si="57"/>
        <v>0.12</v>
      </c>
      <c r="O109" s="518">
        <f t="shared" si="58"/>
        <v>0.04301075269</v>
      </c>
      <c r="P109" s="514">
        <f t="shared" si="59"/>
        <v>6000</v>
      </c>
      <c r="Q109" s="538">
        <v>0.01</v>
      </c>
      <c r="R109" s="217">
        <v>325.0</v>
      </c>
      <c r="S109" s="523"/>
      <c r="T109" s="520"/>
      <c r="U109" s="521"/>
      <c r="V109" s="522"/>
      <c r="W109" s="519" t="s">
        <v>669</v>
      </c>
      <c r="X109" s="520">
        <v>44722.0</v>
      </c>
      <c r="Y109" s="521">
        <v>2.79</v>
      </c>
      <c r="Z109" s="522">
        <v>139500.0</v>
      </c>
    </row>
    <row r="110">
      <c r="A110" s="528"/>
      <c r="B110" s="528"/>
      <c r="C110" s="512">
        <f>I110/E147</f>
        <v>0.01477343484</v>
      </c>
      <c r="D110" s="344" t="s">
        <v>507</v>
      </c>
      <c r="E110" s="344" t="s">
        <v>508</v>
      </c>
      <c r="F110" s="195">
        <v>8.2</v>
      </c>
      <c r="G110" s="513">
        <v>15000.0</v>
      </c>
      <c r="H110" s="217">
        <f t="shared" si="55"/>
        <v>210000</v>
      </c>
      <c r="I110" s="514">
        <f t="shared" si="56"/>
        <v>147150</v>
      </c>
      <c r="J110" s="216">
        <v>14.0</v>
      </c>
      <c r="K110" s="568">
        <f>IFERROR(__xludf.DUMMYFUNCTION("GOOGLEFINANCE(E110,""changepct"")"),-2.77)</f>
        <v>-2.77</v>
      </c>
      <c r="L110" s="516">
        <f>IFERROR(__xludf.DUMMYFUNCTION("googlefinance(E110,""price"")"),9.81)</f>
        <v>9.81</v>
      </c>
      <c r="M110" s="216"/>
      <c r="N110" s="517">
        <f t="shared" si="57"/>
        <v>-4.19</v>
      </c>
      <c r="O110" s="518">
        <f t="shared" si="58"/>
        <v>-0.2992857143</v>
      </c>
      <c r="P110" s="514">
        <f t="shared" si="59"/>
        <v>-62850</v>
      </c>
      <c r="Q110" s="538">
        <v>0.035</v>
      </c>
      <c r="R110" s="217">
        <v>1700.0</v>
      </c>
      <c r="S110" s="523"/>
      <c r="T110" s="520"/>
      <c r="U110" s="521"/>
      <c r="V110" s="522"/>
      <c r="W110" s="519"/>
      <c r="X110" s="520"/>
      <c r="Y110" s="521"/>
      <c r="Z110" s="522"/>
    </row>
    <row r="111">
      <c r="A111" s="528"/>
      <c r="B111" s="528"/>
      <c r="C111" s="512">
        <f>I111/E147</f>
        <v>0.0172281442</v>
      </c>
      <c r="D111" s="600" t="s">
        <v>179</v>
      </c>
      <c r="E111" s="344" t="s">
        <v>180</v>
      </c>
      <c r="F111" s="195">
        <v>8.3</v>
      </c>
      <c r="G111" s="513">
        <v>15000.0</v>
      </c>
      <c r="H111" s="217">
        <f t="shared" si="55"/>
        <v>214050</v>
      </c>
      <c r="I111" s="514">
        <f t="shared" si="56"/>
        <v>171600</v>
      </c>
      <c r="J111" s="216">
        <v>14.27</v>
      </c>
      <c r="K111" s="568">
        <f>IFERROR(__xludf.DUMMYFUNCTION("GOOGLEFINANCE(E111,""changepct"")"),-2.8)</f>
        <v>-2.8</v>
      </c>
      <c r="L111" s="516">
        <f>IFERROR(__xludf.DUMMYFUNCTION("googlefinance(E111,""price"")"),11.44)</f>
        <v>11.44</v>
      </c>
      <c r="M111" s="216"/>
      <c r="N111" s="517">
        <f t="shared" si="57"/>
        <v>-2.83</v>
      </c>
      <c r="O111" s="518">
        <f t="shared" si="58"/>
        <v>-0.19831815</v>
      </c>
      <c r="P111" s="514">
        <f t="shared" si="59"/>
        <v>-42450</v>
      </c>
      <c r="Q111" s="538">
        <v>0.013</v>
      </c>
      <c r="R111" s="217">
        <v>650.0</v>
      </c>
      <c r="S111" s="519"/>
      <c r="T111" s="520"/>
      <c r="U111" s="521"/>
      <c r="V111" s="522"/>
      <c r="W111" s="519"/>
      <c r="X111" s="520"/>
      <c r="Y111" s="521"/>
      <c r="Z111" s="522"/>
    </row>
    <row r="112">
      <c r="A112" s="173"/>
      <c r="B112" s="173"/>
      <c r="C112" s="13"/>
      <c r="D112" s="13"/>
      <c r="E112" s="13"/>
      <c r="F112" s="13"/>
      <c r="G112" s="509"/>
      <c r="H112" s="509">
        <f t="shared" ref="H112:I112" si="60">SUM(H94:H111)</f>
        <v>3371245</v>
      </c>
      <c r="I112" s="539" t="str">
        <f t="shared" si="60"/>
        <v>#N/A</v>
      </c>
      <c r="J112" s="506"/>
      <c r="K112" s="506"/>
      <c r="L112" s="507"/>
      <c r="M112" s="507"/>
      <c r="N112" s="507"/>
      <c r="O112" s="540">
        <f>P112/H112</f>
        <v>-0.2125757695</v>
      </c>
      <c r="P112" s="625">
        <v>-716645.0</v>
      </c>
      <c r="Q112" s="13"/>
      <c r="R112" s="509">
        <f>SUM(R94:R111)</f>
        <v>11562</v>
      </c>
      <c r="S112" s="510" t="s">
        <v>89</v>
      </c>
      <c r="T112" s="542"/>
      <c r="U112" s="543"/>
      <c r="V112" s="544">
        <f>SUM(V94:V111)</f>
        <v>0</v>
      </c>
      <c r="W112" s="510" t="s">
        <v>89</v>
      </c>
      <c r="X112" s="542"/>
      <c r="Y112" s="542"/>
      <c r="Z112" s="570">
        <f>SUM(Z94:Z111)</f>
        <v>627215</v>
      </c>
    </row>
    <row r="113">
      <c r="A113" s="173"/>
      <c r="B113" s="504" t="s">
        <v>181</v>
      </c>
      <c r="C113" s="504" t="s">
        <v>2</v>
      </c>
      <c r="D113" s="13" t="s">
        <v>182</v>
      </c>
      <c r="E113" s="13" t="s">
        <v>4</v>
      </c>
      <c r="F113" s="13" t="s">
        <v>5</v>
      </c>
      <c r="G113" s="504" t="s">
        <v>6</v>
      </c>
      <c r="H113" s="504" t="s">
        <v>7</v>
      </c>
      <c r="I113" s="505" t="s">
        <v>8</v>
      </c>
      <c r="J113" s="505" t="s">
        <v>9</v>
      </c>
      <c r="K113" s="506" t="s">
        <v>10</v>
      </c>
      <c r="L113" s="506" t="s">
        <v>11</v>
      </c>
      <c r="M113" s="507" t="s">
        <v>476</v>
      </c>
      <c r="N113" s="507" t="s">
        <v>13</v>
      </c>
      <c r="O113" s="504" t="s">
        <v>14</v>
      </c>
      <c r="P113" s="508" t="s">
        <v>15</v>
      </c>
      <c r="Q113" s="13" t="s">
        <v>16</v>
      </c>
      <c r="R113" s="13" t="s">
        <v>17</v>
      </c>
      <c r="S113" s="510" t="s">
        <v>21</v>
      </c>
      <c r="T113" s="510" t="s">
        <v>22</v>
      </c>
      <c r="U113" s="511" t="s">
        <v>23</v>
      </c>
      <c r="V113" s="511" t="s">
        <v>24</v>
      </c>
      <c r="W113" s="510" t="s">
        <v>25</v>
      </c>
      <c r="X113" s="510" t="s">
        <v>26</v>
      </c>
      <c r="Y113" s="510" t="s">
        <v>27</v>
      </c>
      <c r="Z113" s="510" t="s">
        <v>28</v>
      </c>
    </row>
    <row r="114">
      <c r="A114" s="502" t="s">
        <v>29</v>
      </c>
      <c r="B114" s="527">
        <f>I141/E147</f>
        <v>0</v>
      </c>
      <c r="C114" s="512">
        <f>I114/E147</f>
        <v>0</v>
      </c>
      <c r="D114" s="601" t="s">
        <v>413</v>
      </c>
      <c r="E114" s="344" t="s">
        <v>185</v>
      </c>
      <c r="F114" s="195">
        <v>7.1</v>
      </c>
      <c r="G114" s="217" t="s">
        <v>128</v>
      </c>
      <c r="H114" s="217">
        <v>420687.0</v>
      </c>
      <c r="I114" s="217">
        <v>0.0</v>
      </c>
      <c r="J114" s="215">
        <v>45463.0</v>
      </c>
      <c r="K114" s="568"/>
      <c r="L114" s="122"/>
      <c r="M114" s="217">
        <v>44827.0</v>
      </c>
      <c r="N114" s="595">
        <f t="shared" ref="N114:N140" si="61">L114-J114</f>
        <v>-45463</v>
      </c>
      <c r="O114" s="518">
        <f t="shared" ref="O114:O140" si="62">M114/J114-1</f>
        <v>-0.01398939797</v>
      </c>
      <c r="P114" s="514">
        <f t="shared" ref="P114:P140" si="63">H114*O114</f>
        <v>-5885.157865</v>
      </c>
      <c r="Q114" s="528"/>
      <c r="R114" s="528"/>
      <c r="S114" s="519" t="s">
        <v>186</v>
      </c>
      <c r="T114" s="520">
        <v>44658.0</v>
      </c>
      <c r="U114" s="522">
        <v>44827.0</v>
      </c>
      <c r="V114" s="522">
        <v>414802.0</v>
      </c>
      <c r="W114" s="519"/>
      <c r="X114" s="520"/>
      <c r="Y114" s="522"/>
      <c r="Z114" s="522"/>
    </row>
    <row r="115">
      <c r="A115" s="528"/>
      <c r="B115" s="528"/>
      <c r="C115" s="512">
        <f>I115/E147</f>
        <v>0</v>
      </c>
      <c r="D115" s="601" t="s">
        <v>413</v>
      </c>
      <c r="E115" s="344" t="s">
        <v>185</v>
      </c>
      <c r="F115" s="195">
        <v>7.1</v>
      </c>
      <c r="G115" s="217" t="s">
        <v>128</v>
      </c>
      <c r="H115" s="217">
        <v>201877.0</v>
      </c>
      <c r="I115" s="217">
        <v>0.0</v>
      </c>
      <c r="J115" s="216">
        <v>44827.0</v>
      </c>
      <c r="K115" s="568"/>
      <c r="L115" s="122"/>
      <c r="M115" s="217">
        <v>37899.0</v>
      </c>
      <c r="N115" s="595">
        <f t="shared" si="61"/>
        <v>-44827</v>
      </c>
      <c r="O115" s="518">
        <f t="shared" si="62"/>
        <v>-0.1545497133</v>
      </c>
      <c r="P115" s="514">
        <f t="shared" si="63"/>
        <v>-31200.03248</v>
      </c>
      <c r="Q115" s="528"/>
      <c r="R115" s="528"/>
      <c r="S115" s="519" t="s">
        <v>186</v>
      </c>
      <c r="T115" s="520">
        <v>44686.0</v>
      </c>
      <c r="U115" s="522">
        <v>37899.0</v>
      </c>
      <c r="V115" s="522">
        <v>177437.0</v>
      </c>
      <c r="W115" s="519" t="s">
        <v>186</v>
      </c>
      <c r="X115" s="520">
        <v>44658.0</v>
      </c>
      <c r="Y115" s="522">
        <v>44827.0</v>
      </c>
      <c r="Z115" s="522">
        <v>201877.0</v>
      </c>
    </row>
    <row r="116">
      <c r="A116" s="528"/>
      <c r="B116" s="528"/>
      <c r="C116" s="512">
        <f>I116/E147</f>
        <v>0</v>
      </c>
      <c r="D116" s="601" t="s">
        <v>413</v>
      </c>
      <c r="E116" s="344" t="s">
        <v>185</v>
      </c>
      <c r="F116" s="195">
        <v>7.1</v>
      </c>
      <c r="G116" s="217" t="s">
        <v>128</v>
      </c>
      <c r="H116" s="217">
        <v>170680.0</v>
      </c>
      <c r="I116" s="217">
        <v>0.0</v>
      </c>
      <c r="J116" s="216">
        <v>36023.0</v>
      </c>
      <c r="K116" s="568"/>
      <c r="L116" s="122"/>
      <c r="M116" s="217">
        <v>35497.33</v>
      </c>
      <c r="N116" s="595">
        <f t="shared" si="61"/>
        <v>-36023</v>
      </c>
      <c r="O116" s="518">
        <f t="shared" si="62"/>
        <v>-0.01459262138</v>
      </c>
      <c r="P116" s="514">
        <f t="shared" si="63"/>
        <v>-2490.668617</v>
      </c>
      <c r="Q116" s="528"/>
      <c r="R116" s="528"/>
      <c r="S116" s="519" t="s">
        <v>186</v>
      </c>
      <c r="T116" s="520">
        <v>44689.0</v>
      </c>
      <c r="U116" s="522">
        <v>35497.0</v>
      </c>
      <c r="V116" s="522">
        <v>168189.0</v>
      </c>
      <c r="W116" s="519" t="s">
        <v>186</v>
      </c>
      <c r="X116" s="520">
        <v>44687.0</v>
      </c>
      <c r="Y116" s="522">
        <v>36023.0</v>
      </c>
      <c r="Z116" s="522">
        <v>170680.0</v>
      </c>
    </row>
    <row r="117">
      <c r="A117" s="528"/>
      <c r="B117" s="528"/>
      <c r="C117" s="512">
        <f>I117/E147</f>
        <v>0</v>
      </c>
      <c r="D117" s="601" t="s">
        <v>413</v>
      </c>
      <c r="E117" s="344" t="s">
        <v>185</v>
      </c>
      <c r="F117" s="195">
        <v>7.1</v>
      </c>
      <c r="G117" s="217" t="s">
        <v>128</v>
      </c>
      <c r="H117" s="217">
        <v>210445.0</v>
      </c>
      <c r="I117" s="217">
        <v>0.0</v>
      </c>
      <c r="J117" s="216">
        <v>31048.97</v>
      </c>
      <c r="K117" s="568"/>
      <c r="L117" s="122"/>
      <c r="M117" s="217">
        <v>30950.0</v>
      </c>
      <c r="N117" s="595">
        <f t="shared" si="61"/>
        <v>-31048.97</v>
      </c>
      <c r="O117" s="518">
        <f t="shared" si="62"/>
        <v>-0.003187545352</v>
      </c>
      <c r="P117" s="514">
        <f t="shared" si="63"/>
        <v>-670.8029815</v>
      </c>
      <c r="Q117" s="528"/>
      <c r="R117" s="528"/>
      <c r="S117" s="519" t="s">
        <v>186</v>
      </c>
      <c r="T117" s="520">
        <v>44692.0</v>
      </c>
      <c r="U117" s="522">
        <v>30950.0</v>
      </c>
      <c r="V117" s="522">
        <v>209774.0</v>
      </c>
      <c r="W117" s="519" t="s">
        <v>186</v>
      </c>
      <c r="X117" s="520">
        <v>44692.0</v>
      </c>
      <c r="Y117" s="522">
        <v>31048.97</v>
      </c>
      <c r="Z117" s="522">
        <v>210445.0</v>
      </c>
    </row>
    <row r="118">
      <c r="A118" s="528"/>
      <c r="B118" s="528"/>
      <c r="C118" s="512">
        <f>I118/E147</f>
        <v>0</v>
      </c>
      <c r="D118" s="601" t="s">
        <v>413</v>
      </c>
      <c r="E118" s="344" t="s">
        <v>185</v>
      </c>
      <c r="F118" s="195">
        <v>7.1</v>
      </c>
      <c r="G118" s="217" t="s">
        <v>128</v>
      </c>
      <c r="H118" s="217">
        <v>547700.0</v>
      </c>
      <c r="I118" s="217">
        <v>0.0</v>
      </c>
      <c r="J118" s="216">
        <v>23413.0</v>
      </c>
      <c r="K118" s="568"/>
      <c r="L118" s="122"/>
      <c r="M118" s="217">
        <v>20311.0</v>
      </c>
      <c r="N118" s="595">
        <f t="shared" si="61"/>
        <v>-23413</v>
      </c>
      <c r="O118" s="518">
        <f t="shared" si="62"/>
        <v>-0.1324904967</v>
      </c>
      <c r="P118" s="514">
        <f t="shared" si="63"/>
        <v>-72565.04506</v>
      </c>
      <c r="Q118" s="528"/>
      <c r="R118" s="528"/>
      <c r="S118" s="519" t="s">
        <v>186</v>
      </c>
      <c r="T118" s="520">
        <v>44730.0</v>
      </c>
      <c r="U118" s="522">
        <v>20311.0</v>
      </c>
      <c r="V118" s="522">
        <v>475135.0</v>
      </c>
      <c r="W118" s="519" t="s">
        <v>186</v>
      </c>
      <c r="X118" s="520">
        <v>44725.0</v>
      </c>
      <c r="Y118" s="522">
        <v>23413.0</v>
      </c>
      <c r="Z118" s="522">
        <v>547700.0</v>
      </c>
    </row>
    <row r="119">
      <c r="A119" s="528"/>
      <c r="B119" s="528"/>
      <c r="C119" s="512">
        <f>I119/E147</f>
        <v>0</v>
      </c>
      <c r="D119" s="601" t="s">
        <v>413</v>
      </c>
      <c r="E119" s="344" t="s">
        <v>185</v>
      </c>
      <c r="F119" s="195">
        <v>7.1</v>
      </c>
      <c r="G119" s="217" t="s">
        <v>128</v>
      </c>
      <c r="H119" s="217">
        <v>378000.0</v>
      </c>
      <c r="I119" s="217">
        <v>0.0</v>
      </c>
      <c r="J119" s="216">
        <v>19420.0</v>
      </c>
      <c r="K119" s="568"/>
      <c r="L119" s="122"/>
      <c r="M119" s="217">
        <v>19937.0</v>
      </c>
      <c r="N119" s="595">
        <f t="shared" si="61"/>
        <v>-19420</v>
      </c>
      <c r="O119" s="518">
        <f t="shared" si="62"/>
        <v>0.02662203913</v>
      </c>
      <c r="P119" s="514">
        <f t="shared" si="63"/>
        <v>10063.13079</v>
      </c>
      <c r="Q119" s="528"/>
      <c r="R119" s="528"/>
      <c r="S119" s="519" t="s">
        <v>186</v>
      </c>
      <c r="T119" s="520">
        <v>44742.0</v>
      </c>
      <c r="U119" s="522">
        <v>19937.0</v>
      </c>
      <c r="V119" s="522">
        <v>388063.0</v>
      </c>
      <c r="W119" s="519" t="s">
        <v>186</v>
      </c>
      <c r="X119" s="520">
        <v>44732.0</v>
      </c>
      <c r="Y119" s="522">
        <v>19420.0</v>
      </c>
      <c r="Z119" s="522">
        <v>378000.0</v>
      </c>
    </row>
    <row r="120">
      <c r="A120" s="528"/>
      <c r="B120" s="528"/>
      <c r="C120" s="512">
        <f>I120/E147</f>
        <v>0</v>
      </c>
      <c r="D120" s="104" t="s">
        <v>414</v>
      </c>
      <c r="E120" s="529" t="s">
        <v>188</v>
      </c>
      <c r="F120" s="195">
        <v>7.0</v>
      </c>
      <c r="G120" s="217" t="s">
        <v>128</v>
      </c>
      <c r="H120" s="217">
        <v>241000.0</v>
      </c>
      <c r="I120" s="217">
        <v>0.0</v>
      </c>
      <c r="J120" s="216">
        <v>1053.0</v>
      </c>
      <c r="K120" s="568"/>
      <c r="L120" s="122"/>
      <c r="M120" s="217">
        <v>1083.0</v>
      </c>
      <c r="N120" s="595">
        <f t="shared" si="61"/>
        <v>-1053</v>
      </c>
      <c r="O120" s="518">
        <f t="shared" si="62"/>
        <v>0.02849002849</v>
      </c>
      <c r="P120" s="514">
        <f t="shared" si="63"/>
        <v>6866.096866</v>
      </c>
      <c r="Q120" s="528"/>
      <c r="R120" s="528"/>
      <c r="S120" s="519" t="s">
        <v>189</v>
      </c>
      <c r="T120" s="520">
        <v>44742.0</v>
      </c>
      <c r="U120" s="522">
        <v>1083.0</v>
      </c>
      <c r="V120" s="522">
        <v>247866.0</v>
      </c>
      <c r="W120" s="519" t="s">
        <v>189</v>
      </c>
      <c r="X120" s="520">
        <v>44732.0</v>
      </c>
      <c r="Y120" s="522">
        <v>1053.0</v>
      </c>
      <c r="Z120" s="522">
        <v>241000.0</v>
      </c>
    </row>
    <row r="121">
      <c r="A121" s="528"/>
      <c r="B121" s="528"/>
      <c r="C121" s="512">
        <f>I121/E147</f>
        <v>0</v>
      </c>
      <c r="D121" s="104" t="s">
        <v>414</v>
      </c>
      <c r="E121" s="529" t="s">
        <v>188</v>
      </c>
      <c r="F121" s="195">
        <v>7.0</v>
      </c>
      <c r="G121" s="217" t="s">
        <v>128</v>
      </c>
      <c r="H121" s="217">
        <v>287644.0</v>
      </c>
      <c r="I121" s="217">
        <v>0.0</v>
      </c>
      <c r="J121" s="216">
        <v>1251.0</v>
      </c>
      <c r="K121" s="568"/>
      <c r="L121" s="122"/>
      <c r="M121" s="217">
        <v>1069.0</v>
      </c>
      <c r="N121" s="595">
        <f t="shared" si="61"/>
        <v>-1251</v>
      </c>
      <c r="O121" s="518">
        <f t="shared" si="62"/>
        <v>-0.1454836131</v>
      </c>
      <c r="P121" s="514">
        <f t="shared" si="63"/>
        <v>-41847.48841</v>
      </c>
      <c r="Q121" s="528"/>
      <c r="R121" s="528"/>
      <c r="S121" s="519" t="s">
        <v>189</v>
      </c>
      <c r="T121" s="520">
        <v>44730.0</v>
      </c>
      <c r="U121" s="522">
        <v>1069.0</v>
      </c>
      <c r="V121" s="522">
        <v>245797.0</v>
      </c>
      <c r="W121" s="519" t="s">
        <v>189</v>
      </c>
      <c r="X121" s="520">
        <v>44725.0</v>
      </c>
      <c r="Y121" s="522">
        <v>1251.0</v>
      </c>
      <c r="Z121" s="522">
        <v>287644.0</v>
      </c>
    </row>
    <row r="122">
      <c r="A122" s="528"/>
      <c r="B122" s="528"/>
      <c r="C122" s="512">
        <f>I122/E147</f>
        <v>0</v>
      </c>
      <c r="D122" s="104" t="s">
        <v>414</v>
      </c>
      <c r="E122" s="529" t="s">
        <v>188</v>
      </c>
      <c r="F122" s="195">
        <v>7.0</v>
      </c>
      <c r="G122" s="217" t="s">
        <v>128</v>
      </c>
      <c r="H122" s="217">
        <v>180785.0</v>
      </c>
      <c r="I122" s="217">
        <v>0.0</v>
      </c>
      <c r="J122" s="216">
        <v>2328.25</v>
      </c>
      <c r="K122" s="568"/>
      <c r="L122" s="122"/>
      <c r="M122" s="217">
        <v>2349.0</v>
      </c>
      <c r="N122" s="595">
        <f t="shared" si="61"/>
        <v>-2328.25</v>
      </c>
      <c r="O122" s="518">
        <f t="shared" si="62"/>
        <v>0.008912273167</v>
      </c>
      <c r="P122" s="514">
        <f t="shared" si="63"/>
        <v>1611.205304</v>
      </c>
      <c r="Q122" s="528"/>
      <c r="R122" s="528"/>
      <c r="S122" s="519" t="s">
        <v>189</v>
      </c>
      <c r="T122" s="520">
        <v>44692.0</v>
      </c>
      <c r="U122" s="522">
        <v>2349.0</v>
      </c>
      <c r="V122" s="522">
        <v>182396.0</v>
      </c>
      <c r="W122" s="519" t="s">
        <v>189</v>
      </c>
      <c r="X122" s="520">
        <v>44692.0</v>
      </c>
      <c r="Y122" s="522">
        <v>2328.25</v>
      </c>
      <c r="Z122" s="522">
        <v>180785.0</v>
      </c>
    </row>
    <row r="123">
      <c r="A123" s="528"/>
      <c r="B123" s="528"/>
      <c r="C123" s="512">
        <f>I123/E147</f>
        <v>0</v>
      </c>
      <c r="D123" s="104" t="s">
        <v>414</v>
      </c>
      <c r="E123" s="529" t="s">
        <v>188</v>
      </c>
      <c r="F123" s="195">
        <v>7.0</v>
      </c>
      <c r="G123" s="217" t="s">
        <v>128</v>
      </c>
      <c r="H123" s="217">
        <v>145637.0</v>
      </c>
      <c r="I123" s="217">
        <v>0.0</v>
      </c>
      <c r="J123" s="216">
        <v>2691.0</v>
      </c>
      <c r="K123" s="568"/>
      <c r="L123" s="122"/>
      <c r="M123" s="217">
        <v>2671.92</v>
      </c>
      <c r="N123" s="595">
        <f t="shared" si="61"/>
        <v>-2691</v>
      </c>
      <c r="O123" s="518">
        <f t="shared" si="62"/>
        <v>-0.007090301003</v>
      </c>
      <c r="P123" s="514">
        <f t="shared" si="63"/>
        <v>-1032.610167</v>
      </c>
      <c r="Q123" s="528"/>
      <c r="R123" s="528"/>
      <c r="S123" s="519" t="s">
        <v>189</v>
      </c>
      <c r="T123" s="520">
        <v>44689.0</v>
      </c>
      <c r="U123" s="522">
        <v>26791.92</v>
      </c>
      <c r="V123" s="522">
        <v>144604.0</v>
      </c>
      <c r="W123" s="519" t="s">
        <v>189</v>
      </c>
      <c r="X123" s="520">
        <v>44687.0</v>
      </c>
      <c r="Y123" s="522">
        <v>2691.0</v>
      </c>
      <c r="Z123" s="522">
        <v>145637.0</v>
      </c>
    </row>
    <row r="124">
      <c r="A124" s="528"/>
      <c r="B124" s="528"/>
      <c r="C124" s="512">
        <f>I124/E147</f>
        <v>0</v>
      </c>
      <c r="D124" s="104" t="s">
        <v>414</v>
      </c>
      <c r="E124" s="529" t="s">
        <v>188</v>
      </c>
      <c r="F124" s="195">
        <v>7.0</v>
      </c>
      <c r="G124" s="217" t="s">
        <v>128</v>
      </c>
      <c r="H124" s="217">
        <v>187465.0</v>
      </c>
      <c r="I124" s="217">
        <v>0.0</v>
      </c>
      <c r="J124" s="216">
        <v>3013.87</v>
      </c>
      <c r="K124" s="568"/>
      <c r="L124" s="122"/>
      <c r="M124" s="217">
        <v>2895.0</v>
      </c>
      <c r="N124" s="595">
        <f t="shared" si="61"/>
        <v>-3013.87</v>
      </c>
      <c r="O124" s="518">
        <f t="shared" si="62"/>
        <v>-0.03944098451</v>
      </c>
      <c r="P124" s="514">
        <f t="shared" si="63"/>
        <v>-7393.804162</v>
      </c>
      <c r="Q124" s="528"/>
      <c r="R124" s="528"/>
      <c r="S124" s="519" t="s">
        <v>189</v>
      </c>
      <c r="T124" s="520">
        <v>44686.0</v>
      </c>
      <c r="U124" s="522">
        <v>2895.0</v>
      </c>
      <c r="V124" s="522">
        <v>180071.0</v>
      </c>
      <c r="W124" s="519" t="s">
        <v>189</v>
      </c>
      <c r="X124" s="520">
        <v>44664.0</v>
      </c>
      <c r="Y124" s="522">
        <v>3013.87</v>
      </c>
      <c r="Z124" s="522">
        <v>187465.0</v>
      </c>
    </row>
    <row r="125">
      <c r="A125" s="528"/>
      <c r="B125" s="528"/>
      <c r="C125" s="512">
        <f>I125/E147</f>
        <v>0</v>
      </c>
      <c r="D125" s="104" t="s">
        <v>574</v>
      </c>
      <c r="E125" s="529" t="s">
        <v>213</v>
      </c>
      <c r="F125" s="195">
        <v>6.8</v>
      </c>
      <c r="G125" s="217" t="s">
        <v>128</v>
      </c>
      <c r="H125" s="217">
        <v>101645.0</v>
      </c>
      <c r="I125" s="217">
        <v>0.0</v>
      </c>
      <c r="J125" s="216">
        <v>0.941</v>
      </c>
      <c r="K125" s="568"/>
      <c r="L125" s="122"/>
      <c r="M125" s="216">
        <v>0.846</v>
      </c>
      <c r="N125" s="595">
        <f t="shared" si="61"/>
        <v>-0.941</v>
      </c>
      <c r="O125" s="518">
        <f t="shared" si="62"/>
        <v>-0.1009564293</v>
      </c>
      <c r="P125" s="514">
        <f t="shared" si="63"/>
        <v>-10261.71626</v>
      </c>
      <c r="Q125" s="528"/>
      <c r="R125" s="528"/>
      <c r="S125" s="519" t="s">
        <v>214</v>
      </c>
      <c r="T125" s="520">
        <v>44686.0</v>
      </c>
      <c r="U125" s="521">
        <v>0.846</v>
      </c>
      <c r="V125" s="522">
        <v>91383.0</v>
      </c>
      <c r="W125" s="519" t="s">
        <v>214</v>
      </c>
      <c r="X125" s="520">
        <v>44664.0</v>
      </c>
      <c r="Y125" s="531">
        <v>0.941</v>
      </c>
      <c r="Z125" s="522">
        <v>101645.0</v>
      </c>
    </row>
    <row r="126">
      <c r="A126" s="528"/>
      <c r="B126" s="528"/>
      <c r="C126" s="512">
        <f>I126/E147</f>
        <v>0</v>
      </c>
      <c r="D126" s="104" t="s">
        <v>574</v>
      </c>
      <c r="E126" s="529" t="s">
        <v>213</v>
      </c>
      <c r="F126" s="195">
        <v>6.8</v>
      </c>
      <c r="G126" s="217" t="s">
        <v>128</v>
      </c>
      <c r="H126" s="217">
        <v>147668.0</v>
      </c>
      <c r="I126" s="217">
        <v>0.0</v>
      </c>
      <c r="J126" s="216">
        <v>1.145</v>
      </c>
      <c r="K126" s="568"/>
      <c r="L126" s="122"/>
      <c r="M126" s="216">
        <v>1.09</v>
      </c>
      <c r="N126" s="595">
        <f t="shared" si="61"/>
        <v>-1.145</v>
      </c>
      <c r="O126" s="518">
        <f t="shared" si="62"/>
        <v>-0.0480349345</v>
      </c>
      <c r="P126" s="514">
        <f t="shared" si="63"/>
        <v>-7093.222707</v>
      </c>
      <c r="Q126" s="528"/>
      <c r="R126" s="528"/>
      <c r="S126" s="519" t="s">
        <v>214</v>
      </c>
      <c r="T126" s="520">
        <v>44658.0</v>
      </c>
      <c r="U126" s="521">
        <v>1.09</v>
      </c>
      <c r="V126" s="522">
        <v>140575.0</v>
      </c>
      <c r="W126" s="519"/>
      <c r="X126" s="520"/>
      <c r="Y126" s="531"/>
      <c r="Z126" s="522"/>
    </row>
    <row r="127">
      <c r="A127" s="528"/>
      <c r="B127" s="528"/>
      <c r="C127" s="512">
        <f>I127/E147</f>
        <v>0</v>
      </c>
      <c r="D127" s="344" t="s">
        <v>209</v>
      </c>
      <c r="E127" s="344" t="s">
        <v>210</v>
      </c>
      <c r="F127" s="195">
        <v>7.0</v>
      </c>
      <c r="G127" s="217" t="s">
        <v>128</v>
      </c>
      <c r="H127" s="217">
        <v>120440.0</v>
      </c>
      <c r="I127" s="217">
        <v>0.0</v>
      </c>
      <c r="J127" s="216">
        <v>6.11</v>
      </c>
      <c r="K127" s="568"/>
      <c r="L127" s="122"/>
      <c r="M127" s="216">
        <v>6.04</v>
      </c>
      <c r="N127" s="595">
        <f t="shared" si="61"/>
        <v>-6.11</v>
      </c>
      <c r="O127" s="518">
        <f t="shared" si="62"/>
        <v>-0.01145662848</v>
      </c>
      <c r="P127" s="514">
        <f t="shared" si="63"/>
        <v>-1379.836334</v>
      </c>
      <c r="Q127" s="528"/>
      <c r="R127" s="528"/>
      <c r="S127" s="519" t="s">
        <v>211</v>
      </c>
      <c r="T127" s="520">
        <v>44730.0</v>
      </c>
      <c r="U127" s="521">
        <v>6.04</v>
      </c>
      <c r="V127" s="522">
        <v>119060.0</v>
      </c>
      <c r="W127" s="519" t="s">
        <v>211</v>
      </c>
      <c r="X127" s="520">
        <v>44725.0</v>
      </c>
      <c r="Y127" s="531">
        <v>6.11</v>
      </c>
      <c r="Z127" s="522">
        <v>120440.0</v>
      </c>
    </row>
    <row r="128">
      <c r="A128" s="528"/>
      <c r="B128" s="528"/>
      <c r="C128" s="512">
        <f>I128/E147</f>
        <v>0</v>
      </c>
      <c r="D128" s="344" t="s">
        <v>209</v>
      </c>
      <c r="E128" s="344" t="s">
        <v>210</v>
      </c>
      <c r="F128" s="195">
        <v>7.0</v>
      </c>
      <c r="G128" s="217" t="s">
        <v>128</v>
      </c>
      <c r="H128" s="217">
        <v>111249.0</v>
      </c>
      <c r="I128" s="217">
        <v>0.0</v>
      </c>
      <c r="J128" s="216">
        <v>8.41</v>
      </c>
      <c r="K128" s="568"/>
      <c r="L128" s="122"/>
      <c r="M128" s="216">
        <v>7.95</v>
      </c>
      <c r="N128" s="595">
        <f t="shared" si="61"/>
        <v>-8.41</v>
      </c>
      <c r="O128" s="518">
        <f t="shared" si="62"/>
        <v>-0.05469678954</v>
      </c>
      <c r="P128" s="514">
        <f t="shared" si="63"/>
        <v>-6084.963139</v>
      </c>
      <c r="Q128" s="528"/>
      <c r="R128" s="528"/>
      <c r="S128" s="519" t="s">
        <v>211</v>
      </c>
      <c r="T128" s="520">
        <v>44692.0</v>
      </c>
      <c r="U128" s="521">
        <v>7.95</v>
      </c>
      <c r="V128" s="522">
        <v>105164.0</v>
      </c>
      <c r="W128" s="519" t="s">
        <v>211</v>
      </c>
      <c r="X128" s="520">
        <v>44692.0</v>
      </c>
      <c r="Y128" s="531">
        <v>8.41</v>
      </c>
      <c r="Z128" s="522">
        <v>111249.0</v>
      </c>
    </row>
    <row r="129">
      <c r="A129" s="528"/>
      <c r="B129" s="528"/>
      <c r="C129" s="512">
        <f>I129/E147</f>
        <v>0</v>
      </c>
      <c r="D129" s="344" t="s">
        <v>209</v>
      </c>
      <c r="E129" s="344" t="s">
        <v>210</v>
      </c>
      <c r="F129" s="195">
        <v>7.0</v>
      </c>
      <c r="G129" s="217" t="s">
        <v>128</v>
      </c>
      <c r="H129" s="217">
        <v>133290.0</v>
      </c>
      <c r="I129" s="217">
        <v>0.0</v>
      </c>
      <c r="J129" s="216">
        <v>10.71</v>
      </c>
      <c r="K129" s="568"/>
      <c r="L129" s="122"/>
      <c r="M129" s="216">
        <v>10.57</v>
      </c>
      <c r="N129" s="595">
        <f t="shared" si="61"/>
        <v>-10.71</v>
      </c>
      <c r="O129" s="518">
        <f t="shared" si="62"/>
        <v>-0.01307189542</v>
      </c>
      <c r="P129" s="514">
        <f t="shared" si="63"/>
        <v>-1742.352941</v>
      </c>
      <c r="Q129" s="528"/>
      <c r="R129" s="528"/>
      <c r="S129" s="519" t="s">
        <v>211</v>
      </c>
      <c r="T129" s="520">
        <v>44689.0</v>
      </c>
      <c r="U129" s="521">
        <v>10.57</v>
      </c>
      <c r="V129" s="522">
        <v>131548.0</v>
      </c>
      <c r="W129" s="519" t="s">
        <v>211</v>
      </c>
      <c r="X129" s="520">
        <v>44687.0</v>
      </c>
      <c r="Y129" s="531">
        <v>10.71</v>
      </c>
      <c r="Z129" s="522">
        <v>133290.0</v>
      </c>
    </row>
    <row r="130">
      <c r="A130" s="528"/>
      <c r="B130" s="528"/>
      <c r="C130" s="512">
        <f>I130/E147</f>
        <v>0</v>
      </c>
      <c r="D130" s="344" t="s">
        <v>209</v>
      </c>
      <c r="E130" s="344" t="s">
        <v>210</v>
      </c>
      <c r="F130" s="195">
        <v>7.0</v>
      </c>
      <c r="G130" s="217" t="s">
        <v>128</v>
      </c>
      <c r="H130" s="217">
        <v>166882.0</v>
      </c>
      <c r="I130" s="217">
        <v>0.0</v>
      </c>
      <c r="J130" s="216">
        <v>16.77</v>
      </c>
      <c r="K130" s="568"/>
      <c r="L130" s="122"/>
      <c r="M130" s="216">
        <v>11.7</v>
      </c>
      <c r="N130" s="595">
        <f t="shared" si="61"/>
        <v>-16.77</v>
      </c>
      <c r="O130" s="518">
        <f t="shared" si="62"/>
        <v>-0.3023255814</v>
      </c>
      <c r="P130" s="514">
        <f t="shared" si="63"/>
        <v>-50452.69767</v>
      </c>
      <c r="Q130" s="528"/>
      <c r="R130" s="528"/>
      <c r="S130" s="519" t="s">
        <v>211</v>
      </c>
      <c r="T130" s="520">
        <v>44686.0</v>
      </c>
      <c r="U130" s="521">
        <v>11.7</v>
      </c>
      <c r="V130" s="522">
        <v>116429.0</v>
      </c>
      <c r="W130" s="519"/>
      <c r="X130" s="520"/>
      <c r="Y130" s="531"/>
      <c r="Z130" s="522"/>
    </row>
    <row r="131">
      <c r="A131" s="528"/>
      <c r="B131" s="528"/>
      <c r="C131" s="512">
        <f>I131/E147</f>
        <v>0</v>
      </c>
      <c r="D131" s="104" t="s">
        <v>509</v>
      </c>
      <c r="E131" s="104" t="s">
        <v>510</v>
      </c>
      <c r="F131" s="195">
        <v>7.0</v>
      </c>
      <c r="G131" s="217" t="s">
        <v>128</v>
      </c>
      <c r="H131" s="217">
        <v>148570.0</v>
      </c>
      <c r="I131" s="217">
        <v>0.0</v>
      </c>
      <c r="J131" s="216">
        <v>31.89</v>
      </c>
      <c r="K131" s="568"/>
      <c r="L131" s="122"/>
      <c r="M131" s="216">
        <v>32.24</v>
      </c>
      <c r="N131" s="595">
        <f t="shared" si="61"/>
        <v>-31.89</v>
      </c>
      <c r="O131" s="518">
        <f t="shared" si="62"/>
        <v>0.01097522734</v>
      </c>
      <c r="P131" s="514">
        <f t="shared" si="63"/>
        <v>1630.589526</v>
      </c>
      <c r="Q131" s="528"/>
      <c r="R131" s="528"/>
      <c r="S131" s="519" t="s">
        <v>511</v>
      </c>
      <c r="T131" s="520">
        <v>44742.0</v>
      </c>
      <c r="U131" s="521">
        <v>32.24</v>
      </c>
      <c r="V131" s="522">
        <v>150201.0</v>
      </c>
      <c r="W131" s="519" t="s">
        <v>511</v>
      </c>
      <c r="X131" s="520">
        <v>44732.0</v>
      </c>
      <c r="Y131" s="531">
        <v>31.89</v>
      </c>
      <c r="Z131" s="522">
        <v>148570.0</v>
      </c>
    </row>
    <row r="132">
      <c r="A132" s="528"/>
      <c r="B132" s="528"/>
      <c r="C132" s="512">
        <f>I132/E147</f>
        <v>0</v>
      </c>
      <c r="D132" s="104" t="s">
        <v>509</v>
      </c>
      <c r="E132" s="104" t="s">
        <v>510</v>
      </c>
      <c r="F132" s="195">
        <v>7.0</v>
      </c>
      <c r="G132" s="217" t="s">
        <v>128</v>
      </c>
      <c r="H132" s="217">
        <v>157080.0</v>
      </c>
      <c r="I132" s="217">
        <v>0.0</v>
      </c>
      <c r="J132" s="216">
        <v>29.03</v>
      </c>
      <c r="K132" s="568"/>
      <c r="L132" s="122"/>
      <c r="M132" s="216">
        <v>29.8</v>
      </c>
      <c r="N132" s="595">
        <f t="shared" si="61"/>
        <v>-29.03</v>
      </c>
      <c r="O132" s="518">
        <f t="shared" si="62"/>
        <v>0.02652428522</v>
      </c>
      <c r="P132" s="514">
        <f t="shared" si="63"/>
        <v>4166.434723</v>
      </c>
      <c r="Q132" s="528"/>
      <c r="R132" s="528"/>
      <c r="S132" s="519" t="s">
        <v>511</v>
      </c>
      <c r="T132" s="520">
        <v>44730.0</v>
      </c>
      <c r="U132" s="521">
        <v>29.8</v>
      </c>
      <c r="V132" s="522">
        <v>161246.0</v>
      </c>
      <c r="W132" s="519" t="s">
        <v>511</v>
      </c>
      <c r="X132" s="520">
        <v>44725.0</v>
      </c>
      <c r="Y132" s="531">
        <v>29.03</v>
      </c>
      <c r="Z132" s="522">
        <v>157080.0</v>
      </c>
    </row>
    <row r="133">
      <c r="A133" s="528"/>
      <c r="B133" s="528"/>
      <c r="C133" s="512">
        <f>I133/E147</f>
        <v>0</v>
      </c>
      <c r="D133" s="104" t="s">
        <v>509</v>
      </c>
      <c r="E133" s="104" t="s">
        <v>510</v>
      </c>
      <c r="F133" s="195">
        <v>7.0</v>
      </c>
      <c r="G133" s="217" t="s">
        <v>128</v>
      </c>
      <c r="H133" s="217">
        <v>143777.0</v>
      </c>
      <c r="I133" s="217">
        <v>0.0</v>
      </c>
      <c r="J133" s="216">
        <v>64.78</v>
      </c>
      <c r="K133" s="568"/>
      <c r="L133" s="122"/>
      <c r="M133" s="216">
        <v>59.94</v>
      </c>
      <c r="N133" s="595">
        <f t="shared" si="61"/>
        <v>-64.78</v>
      </c>
      <c r="O133" s="518">
        <f t="shared" si="62"/>
        <v>-0.07471441803</v>
      </c>
      <c r="P133" s="514">
        <f t="shared" si="63"/>
        <v>-10742.21488</v>
      </c>
      <c r="Q133" s="528"/>
      <c r="R133" s="528"/>
      <c r="S133" s="519" t="s">
        <v>511</v>
      </c>
      <c r="T133" s="520">
        <v>44692.0</v>
      </c>
      <c r="U133" s="521">
        <v>59.94</v>
      </c>
      <c r="V133" s="522">
        <v>133035.0</v>
      </c>
      <c r="W133" s="519" t="s">
        <v>511</v>
      </c>
      <c r="X133" s="520">
        <v>44692.0</v>
      </c>
      <c r="Y133" s="531">
        <v>64.78</v>
      </c>
      <c r="Z133" s="522">
        <v>143777.0</v>
      </c>
    </row>
    <row r="134">
      <c r="A134" s="528"/>
      <c r="B134" s="528"/>
      <c r="C134" s="512">
        <f>I134/E147</f>
        <v>0</v>
      </c>
      <c r="D134" s="104" t="s">
        <v>509</v>
      </c>
      <c r="E134" s="104" t="s">
        <v>510</v>
      </c>
      <c r="F134" s="195">
        <v>7.0</v>
      </c>
      <c r="G134" s="217" t="s">
        <v>128</v>
      </c>
      <c r="H134" s="217">
        <v>93650.0</v>
      </c>
      <c r="I134" s="217">
        <v>0.0</v>
      </c>
      <c r="J134" s="216">
        <v>81.71</v>
      </c>
      <c r="K134" s="568"/>
      <c r="L134" s="122"/>
      <c r="M134" s="216">
        <v>79.94</v>
      </c>
      <c r="N134" s="595">
        <f t="shared" si="61"/>
        <v>-81.71</v>
      </c>
      <c r="O134" s="518">
        <f t="shared" si="62"/>
        <v>-0.02166197528</v>
      </c>
      <c r="P134" s="514">
        <f t="shared" si="63"/>
        <v>-2028.643985</v>
      </c>
      <c r="Q134" s="528"/>
      <c r="R134" s="528"/>
      <c r="S134" s="519" t="s">
        <v>511</v>
      </c>
      <c r="T134" s="520">
        <v>44689.0</v>
      </c>
      <c r="U134" s="521">
        <v>79.94</v>
      </c>
      <c r="V134" s="522">
        <v>91621.0</v>
      </c>
      <c r="W134" s="519" t="s">
        <v>511</v>
      </c>
      <c r="X134" s="520">
        <v>44687.0</v>
      </c>
      <c r="Y134" s="531">
        <v>81.71</v>
      </c>
      <c r="Z134" s="522">
        <v>93650.0</v>
      </c>
    </row>
    <row r="135">
      <c r="A135" s="528"/>
      <c r="B135" s="528"/>
      <c r="C135" s="512">
        <f>I135/E147</f>
        <v>0</v>
      </c>
      <c r="D135" s="104" t="s">
        <v>509</v>
      </c>
      <c r="E135" s="104" t="s">
        <v>510</v>
      </c>
      <c r="F135" s="195">
        <v>7.0</v>
      </c>
      <c r="G135" s="217" t="s">
        <v>128</v>
      </c>
      <c r="H135" s="217">
        <v>201880.0</v>
      </c>
      <c r="I135" s="217">
        <v>0.0</v>
      </c>
      <c r="J135" s="216">
        <v>99.8</v>
      </c>
      <c r="K135" s="568"/>
      <c r="L135" s="122"/>
      <c r="M135" s="216">
        <v>89.94</v>
      </c>
      <c r="N135" s="595">
        <f t="shared" si="61"/>
        <v>-99.8</v>
      </c>
      <c r="O135" s="518">
        <f t="shared" si="62"/>
        <v>-0.09879759519</v>
      </c>
      <c r="P135" s="514">
        <f t="shared" si="63"/>
        <v>-19945.25852</v>
      </c>
      <c r="Q135" s="528"/>
      <c r="R135" s="528"/>
      <c r="S135" s="519" t="s">
        <v>511</v>
      </c>
      <c r="T135" s="520">
        <v>44686.0</v>
      </c>
      <c r="U135" s="521">
        <v>89.94</v>
      </c>
      <c r="V135" s="522">
        <v>181934.0</v>
      </c>
      <c r="W135" s="519" t="s">
        <v>511</v>
      </c>
      <c r="X135" s="520">
        <v>44677.0</v>
      </c>
      <c r="Y135" s="531">
        <v>99.8</v>
      </c>
      <c r="Z135" s="522">
        <v>201880.0</v>
      </c>
    </row>
    <row r="136">
      <c r="A136" s="528"/>
      <c r="B136" s="528"/>
      <c r="C136" s="512">
        <f>I136/E147</f>
        <v>0</v>
      </c>
      <c r="D136" s="104" t="s">
        <v>509</v>
      </c>
      <c r="E136" s="104" t="s">
        <v>510</v>
      </c>
      <c r="F136" s="195">
        <v>7.0</v>
      </c>
      <c r="G136" s="217" t="s">
        <v>128</v>
      </c>
      <c r="H136" s="217">
        <v>156780.0</v>
      </c>
      <c r="I136" s="217">
        <v>0.0</v>
      </c>
      <c r="J136" s="216">
        <v>121.76</v>
      </c>
      <c r="K136" s="568"/>
      <c r="L136" s="122"/>
      <c r="M136" s="216">
        <v>99.3</v>
      </c>
      <c r="N136" s="595">
        <f t="shared" si="61"/>
        <v>-121.76</v>
      </c>
      <c r="O136" s="518">
        <f t="shared" si="62"/>
        <v>-0.1844612352</v>
      </c>
      <c r="P136" s="514">
        <f t="shared" si="63"/>
        <v>-28919.83246</v>
      </c>
      <c r="Q136" s="528"/>
      <c r="R136" s="528"/>
      <c r="S136" s="519" t="s">
        <v>511</v>
      </c>
      <c r="T136" s="520">
        <v>44676.0</v>
      </c>
      <c r="U136" s="521">
        <v>99.3</v>
      </c>
      <c r="V136" s="522">
        <v>127860.0</v>
      </c>
      <c r="W136" s="519"/>
      <c r="X136" s="520"/>
      <c r="Y136" s="531"/>
      <c r="Z136" s="522"/>
    </row>
    <row r="137">
      <c r="A137" s="528"/>
      <c r="B137" s="528"/>
      <c r="C137" s="512">
        <f>I137/E147</f>
        <v>0</v>
      </c>
      <c r="D137" s="104" t="s">
        <v>417</v>
      </c>
      <c r="E137" s="104" t="s">
        <v>418</v>
      </c>
      <c r="F137" s="195">
        <v>7.1</v>
      </c>
      <c r="G137" s="217" t="s">
        <v>128</v>
      </c>
      <c r="H137" s="217">
        <v>146880.0</v>
      </c>
      <c r="I137" s="217">
        <v>0.0</v>
      </c>
      <c r="J137" s="216">
        <v>163.8</v>
      </c>
      <c r="K137" s="568"/>
      <c r="L137" s="122"/>
      <c r="M137" s="216">
        <v>131.3</v>
      </c>
      <c r="N137" s="595">
        <f t="shared" si="61"/>
        <v>-163.8</v>
      </c>
      <c r="O137" s="518">
        <f t="shared" si="62"/>
        <v>-0.1984126984</v>
      </c>
      <c r="P137" s="514">
        <f t="shared" si="63"/>
        <v>-29142.85714</v>
      </c>
      <c r="Q137" s="528"/>
      <c r="R137" s="528"/>
      <c r="S137" s="519" t="s">
        <v>419</v>
      </c>
      <c r="T137" s="520">
        <v>44686.0</v>
      </c>
      <c r="U137" s="521">
        <v>131.3</v>
      </c>
      <c r="V137" s="522">
        <v>117737.0</v>
      </c>
      <c r="W137" s="519" t="s">
        <v>419</v>
      </c>
      <c r="X137" s="520">
        <v>44677.0</v>
      </c>
      <c r="Y137" s="531">
        <v>163.8</v>
      </c>
      <c r="Z137" s="522">
        <v>146880.0</v>
      </c>
    </row>
    <row r="138">
      <c r="A138" s="528"/>
      <c r="B138" s="528"/>
      <c r="C138" s="512">
        <f>I138/E147</f>
        <v>0</v>
      </c>
      <c r="D138" s="104" t="s">
        <v>417</v>
      </c>
      <c r="E138" s="104" t="s">
        <v>418</v>
      </c>
      <c r="F138" s="195">
        <v>7.1</v>
      </c>
      <c r="G138" s="217" t="s">
        <v>128</v>
      </c>
      <c r="H138" s="217">
        <v>133846.0</v>
      </c>
      <c r="I138" s="217">
        <v>0.0</v>
      </c>
      <c r="J138" s="216">
        <v>145.1</v>
      </c>
      <c r="K138" s="568"/>
      <c r="L138" s="122"/>
      <c r="M138" s="216">
        <v>180.9</v>
      </c>
      <c r="N138" s="595">
        <f t="shared" si="61"/>
        <v>-145.1</v>
      </c>
      <c r="O138" s="518">
        <f t="shared" si="62"/>
        <v>0.2467263956</v>
      </c>
      <c r="P138" s="514">
        <f t="shared" si="63"/>
        <v>33023.34114</v>
      </c>
      <c r="Q138" s="528"/>
      <c r="R138" s="528"/>
      <c r="S138" s="519" t="s">
        <v>419</v>
      </c>
      <c r="T138" s="520">
        <v>44676.0</v>
      </c>
      <c r="U138" s="521">
        <v>180.9</v>
      </c>
      <c r="V138" s="522">
        <v>166869.0</v>
      </c>
      <c r="W138" s="519" t="s">
        <v>419</v>
      </c>
      <c r="X138" s="520">
        <v>44664.0</v>
      </c>
      <c r="Y138" s="531">
        <v>145.1</v>
      </c>
      <c r="Z138" s="522">
        <v>133846.0</v>
      </c>
    </row>
    <row r="139">
      <c r="A139" s="528"/>
      <c r="B139" s="528"/>
      <c r="C139" s="512">
        <f>I139/E147</f>
        <v>0</v>
      </c>
      <c r="D139" s="104" t="s">
        <v>622</v>
      </c>
      <c r="E139" s="104" t="s">
        <v>195</v>
      </c>
      <c r="F139" s="195">
        <v>6.9</v>
      </c>
      <c r="G139" s="217" t="s">
        <v>128</v>
      </c>
      <c r="H139" s="217">
        <v>147880.0</v>
      </c>
      <c r="I139" s="217">
        <v>0.0</v>
      </c>
      <c r="J139" s="216">
        <v>17.51</v>
      </c>
      <c r="K139" s="568"/>
      <c r="L139" s="122"/>
      <c r="M139" s="216">
        <v>18.16</v>
      </c>
      <c r="N139" s="595">
        <f t="shared" si="61"/>
        <v>-17.51</v>
      </c>
      <c r="O139" s="518">
        <f t="shared" si="62"/>
        <v>0.03712164477</v>
      </c>
      <c r="P139" s="514">
        <f t="shared" si="63"/>
        <v>5489.548829</v>
      </c>
      <c r="Q139" s="528"/>
      <c r="R139" s="528"/>
      <c r="S139" s="519" t="s">
        <v>196</v>
      </c>
      <c r="T139" s="520">
        <v>44676.0</v>
      </c>
      <c r="U139" s="521">
        <v>18.16</v>
      </c>
      <c r="V139" s="522">
        <v>153370.0</v>
      </c>
      <c r="W139" s="519" t="s">
        <v>196</v>
      </c>
      <c r="X139" s="520">
        <v>44664.0</v>
      </c>
      <c r="Y139" s="531">
        <v>17.51</v>
      </c>
      <c r="Z139" s="522">
        <v>147880.0</v>
      </c>
    </row>
    <row r="140">
      <c r="A140" s="528"/>
      <c r="B140" s="528"/>
      <c r="C140" s="512">
        <f>I140/E147</f>
        <v>0</v>
      </c>
      <c r="D140" s="104" t="s">
        <v>622</v>
      </c>
      <c r="E140" s="104" t="s">
        <v>195</v>
      </c>
      <c r="F140" s="195">
        <v>6.9</v>
      </c>
      <c r="G140" s="217" t="s">
        <v>128</v>
      </c>
      <c r="H140" s="217">
        <v>144670.0</v>
      </c>
      <c r="I140" s="217">
        <v>0.0</v>
      </c>
      <c r="J140" s="216">
        <v>21.22</v>
      </c>
      <c r="K140" s="568"/>
      <c r="L140" s="122"/>
      <c r="M140" s="216">
        <v>20.28</v>
      </c>
      <c r="N140" s="595">
        <f t="shared" si="61"/>
        <v>-21.22</v>
      </c>
      <c r="O140" s="518">
        <f t="shared" si="62"/>
        <v>-0.04429783223</v>
      </c>
      <c r="P140" s="514">
        <f t="shared" si="63"/>
        <v>-6408.567389</v>
      </c>
      <c r="Q140" s="528"/>
      <c r="R140" s="528"/>
      <c r="S140" s="519" t="s">
        <v>196</v>
      </c>
      <c r="T140" s="520">
        <v>44658.0</v>
      </c>
      <c r="U140" s="521">
        <v>20.28</v>
      </c>
      <c r="V140" s="522">
        <v>138261.0</v>
      </c>
      <c r="W140" s="519"/>
      <c r="X140" s="520"/>
      <c r="Y140" s="531"/>
      <c r="Z140" s="522"/>
    </row>
    <row r="141">
      <c r="A141" s="13"/>
      <c r="B141" s="13"/>
      <c r="C141" s="173"/>
      <c r="D141" s="173"/>
      <c r="E141" s="173"/>
      <c r="F141" s="173"/>
      <c r="G141" s="509"/>
      <c r="H141" s="509">
        <f t="shared" ref="H141:I141" si="64">SUM(H114:H140)</f>
        <v>5228107</v>
      </c>
      <c r="I141" s="193">
        <f t="shared" si="64"/>
        <v>0</v>
      </c>
      <c r="J141" s="607"/>
      <c r="K141" s="173"/>
      <c r="L141" s="13"/>
      <c r="M141" s="173"/>
      <c r="N141" s="173"/>
      <c r="O141" s="541">
        <f>P141/H141</f>
        <v>-0.05249269496</v>
      </c>
      <c r="P141" s="509">
        <f>SUM(P114:P140)</f>
        <v>-274437.426</v>
      </c>
      <c r="Q141" s="173"/>
      <c r="R141" s="173"/>
      <c r="S141" s="510" t="s">
        <v>89</v>
      </c>
      <c r="T141" s="542"/>
      <c r="U141" s="543"/>
      <c r="V141" s="570">
        <f>SUM(V114:V140)</f>
        <v>4960427</v>
      </c>
      <c r="W141" s="510" t="s">
        <v>89</v>
      </c>
      <c r="X141" s="542"/>
      <c r="Y141" s="608"/>
      <c r="Z141" s="544">
        <f>SUM(Z114:Z140)</f>
        <v>4191420</v>
      </c>
    </row>
    <row r="142">
      <c r="A142" s="13" t="s">
        <v>227</v>
      </c>
      <c r="B142" s="13" t="s">
        <v>228</v>
      </c>
      <c r="C142" s="504" t="s">
        <v>229</v>
      </c>
      <c r="D142" s="504" t="s">
        <v>670</v>
      </c>
      <c r="E142" s="504" t="s">
        <v>231</v>
      </c>
      <c r="F142" s="504" t="s">
        <v>14</v>
      </c>
      <c r="G142" s="504" t="s">
        <v>671</v>
      </c>
      <c r="H142" s="13" t="s">
        <v>233</v>
      </c>
      <c r="I142" s="13" t="s">
        <v>234</v>
      </c>
      <c r="J142" s="609" t="s">
        <v>627</v>
      </c>
      <c r="K142" s="609" t="s">
        <v>423</v>
      </c>
      <c r="L142" s="173"/>
      <c r="M142" s="173"/>
      <c r="N142" s="173"/>
      <c r="O142" s="173"/>
      <c r="P142" s="173"/>
      <c r="Q142" s="173"/>
      <c r="R142" s="610"/>
      <c r="S142" s="610"/>
      <c r="T142" s="610"/>
      <c r="U142" s="610"/>
      <c r="V142" s="610"/>
      <c r="W142" s="610"/>
      <c r="X142" s="610"/>
      <c r="Y142" s="610"/>
      <c r="Z142" s="610"/>
    </row>
    <row r="143">
      <c r="A143" s="344" t="s">
        <v>374</v>
      </c>
      <c r="B143" s="512">
        <f>E143/E147</f>
        <v>0.642482676</v>
      </c>
      <c r="C143" s="514">
        <f>H33+H41+H48+H61+H83+H92</f>
        <v>12486449.6</v>
      </c>
      <c r="D143" s="611">
        <v>7587875.0</v>
      </c>
      <c r="E143" s="217">
        <v>6399414.0</v>
      </c>
      <c r="F143" s="518">
        <f>G143/C143</f>
        <v>-0.08242871537</v>
      </c>
      <c r="G143" s="612">
        <v>-1029242.0</v>
      </c>
      <c r="H143" s="612">
        <v>187655.0</v>
      </c>
      <c r="I143" s="612">
        <f>R112+R92+R83+R61+R48+R33</f>
        <v>51429</v>
      </c>
      <c r="J143" s="612">
        <v>307689.0</v>
      </c>
      <c r="K143" s="612">
        <f>G143+H143+I143+J143</f>
        <v>-482469</v>
      </c>
      <c r="L143" s="528"/>
      <c r="M143" s="528"/>
      <c r="N143" s="528"/>
      <c r="O143" s="528"/>
      <c r="P143" s="528"/>
      <c r="Q143" s="528"/>
      <c r="R143" s="610"/>
      <c r="S143" s="610"/>
      <c r="T143" s="610"/>
      <c r="U143" s="610"/>
      <c r="V143" s="610"/>
      <c r="W143" s="610"/>
      <c r="X143" s="610"/>
      <c r="Y143" s="610"/>
      <c r="Z143" s="610"/>
    </row>
    <row r="144">
      <c r="A144" s="344" t="s">
        <v>409</v>
      </c>
      <c r="B144" s="512">
        <f>E144/E147</f>
        <v>0.2665141701</v>
      </c>
      <c r="C144" s="514">
        <f>H112</f>
        <v>3371245</v>
      </c>
      <c r="D144" s="217">
        <v>2744030.0</v>
      </c>
      <c r="E144" s="217">
        <v>2654600.0</v>
      </c>
      <c r="F144" s="518">
        <f>O112</f>
        <v>-0.2125757695</v>
      </c>
      <c r="G144" s="612">
        <v>-716645.0</v>
      </c>
      <c r="H144" s="613"/>
      <c r="I144" s="518"/>
      <c r="J144" s="518"/>
      <c r="K144" s="518">
        <f>K143/C143</f>
        <v>-0.03863940635</v>
      </c>
      <c r="L144" s="528"/>
      <c r="M144" s="528"/>
      <c r="N144" s="528"/>
      <c r="O144" s="528"/>
      <c r="P144" s="528"/>
      <c r="Q144" s="528"/>
      <c r="R144" s="610"/>
      <c r="S144" s="610"/>
      <c r="T144" s="610"/>
      <c r="U144" s="610"/>
      <c r="V144" s="610"/>
      <c r="W144" s="610"/>
      <c r="X144" s="610"/>
      <c r="Y144" s="610"/>
      <c r="Z144" s="610"/>
    </row>
    <row r="145">
      <c r="A145" s="344" t="s">
        <v>240</v>
      </c>
      <c r="B145" s="512">
        <f>E145/E147</f>
        <v>0</v>
      </c>
      <c r="C145" s="514">
        <f>H141</f>
        <v>5228107</v>
      </c>
      <c r="D145" s="217">
        <v>1036687.0</v>
      </c>
      <c r="E145" s="217">
        <v>0.0</v>
      </c>
      <c r="F145" s="518">
        <f>O141</f>
        <v>-0.05249269496</v>
      </c>
      <c r="G145" s="612">
        <v>-274437.0</v>
      </c>
      <c r="H145" s="614"/>
      <c r="I145" s="614"/>
      <c r="J145" s="614"/>
      <c r="K145" s="614"/>
      <c r="L145" s="528"/>
      <c r="M145" s="528"/>
      <c r="N145" s="528"/>
      <c r="O145" s="528"/>
      <c r="P145" s="528"/>
      <c r="Q145" s="528"/>
      <c r="R145" s="610"/>
      <c r="S145" s="610"/>
      <c r="T145" s="610"/>
      <c r="U145" s="610"/>
      <c r="V145" s="610"/>
      <c r="W145" s="610"/>
      <c r="X145" s="610"/>
      <c r="Y145" s="610"/>
      <c r="Z145" s="610"/>
    </row>
    <row r="146">
      <c r="A146" s="344" t="s">
        <v>461</v>
      </c>
      <c r="B146" s="512">
        <f>E146/E147</f>
        <v>0.0932225324</v>
      </c>
      <c r="C146" s="217" t="s">
        <v>128</v>
      </c>
      <c r="D146" s="217">
        <v>65405.0</v>
      </c>
      <c r="E146" s="217">
        <v>928538.0</v>
      </c>
      <c r="F146" s="588" t="s">
        <v>128</v>
      </c>
      <c r="G146" s="612">
        <v>546773.0</v>
      </c>
      <c r="H146" s="224"/>
      <c r="I146" s="224"/>
      <c r="J146" s="224"/>
      <c r="K146" s="224"/>
      <c r="L146" s="528"/>
      <c r="M146" s="528"/>
      <c r="N146" s="528"/>
      <c r="O146" s="528"/>
      <c r="P146" s="528"/>
      <c r="Q146" s="528"/>
      <c r="R146" s="610"/>
      <c r="S146" s="610"/>
      <c r="T146" s="610"/>
      <c r="U146" s="610"/>
      <c r="V146" s="610"/>
      <c r="W146" s="610"/>
      <c r="X146" s="610"/>
      <c r="Y146" s="610"/>
      <c r="Z146" s="610"/>
    </row>
    <row r="147">
      <c r="A147" s="13" t="s">
        <v>246</v>
      </c>
      <c r="B147" s="615">
        <v>1.0</v>
      </c>
      <c r="C147" s="616" t="s">
        <v>128</v>
      </c>
      <c r="D147" s="193">
        <f>SUM(D143:D146)</f>
        <v>11433997</v>
      </c>
      <c r="E147" s="193">
        <v>9960446.0</v>
      </c>
      <c r="F147" s="518">
        <f>G147/D147</f>
        <v>-0.1288745309</v>
      </c>
      <c r="G147" s="193">
        <f>SUM(G143:G146)</f>
        <v>-1473551</v>
      </c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610"/>
      <c r="S147" s="610"/>
      <c r="T147" s="610"/>
      <c r="U147" s="610"/>
      <c r="V147" s="610"/>
      <c r="W147" s="610"/>
      <c r="X147" s="610"/>
      <c r="Y147" s="610"/>
      <c r="Z147" s="610"/>
    </row>
    <row r="149">
      <c r="A149" s="201" t="s">
        <v>248</v>
      </c>
      <c r="B149" s="617"/>
      <c r="C149" s="618" t="s">
        <v>672</v>
      </c>
      <c r="D149" s="618" t="s">
        <v>673</v>
      </c>
      <c r="E149" s="619" t="s">
        <v>15</v>
      </c>
      <c r="F149" s="620" t="s">
        <v>578</v>
      </c>
    </row>
    <row r="150">
      <c r="A150" s="89" t="s">
        <v>265</v>
      </c>
      <c r="B150" s="16" t="s">
        <v>266</v>
      </c>
      <c r="C150" s="621">
        <v>34678.0</v>
      </c>
      <c r="D150" s="621">
        <v>30775.0</v>
      </c>
      <c r="E150" s="206">
        <f t="shared" ref="E150:E154" si="65">D150-C150</f>
        <v>-3903</v>
      </c>
      <c r="F150" s="622">
        <f t="shared" ref="F150:F154" si="66">D150/C150-1</f>
        <v>-0.1125497434</v>
      </c>
    </row>
    <row r="151">
      <c r="A151" s="89" t="s">
        <v>267</v>
      </c>
      <c r="B151" s="16" t="s">
        <v>268</v>
      </c>
      <c r="C151" s="621">
        <v>4530.0</v>
      </c>
      <c r="D151" s="621">
        <v>3785.0</v>
      </c>
      <c r="E151" s="206">
        <f t="shared" si="65"/>
        <v>-745</v>
      </c>
      <c r="F151" s="622">
        <f t="shared" si="66"/>
        <v>-0.1644591611</v>
      </c>
    </row>
    <row r="152">
      <c r="A152" s="89" t="s">
        <v>269</v>
      </c>
      <c r="B152" s="16" t="s">
        <v>270</v>
      </c>
      <c r="C152" s="621">
        <v>14221.0</v>
      </c>
      <c r="D152" s="621">
        <v>11029.0</v>
      </c>
      <c r="E152" s="206">
        <f t="shared" si="65"/>
        <v>-3192</v>
      </c>
      <c r="F152" s="622">
        <f t="shared" si="66"/>
        <v>-0.2244567893</v>
      </c>
    </row>
    <row r="153">
      <c r="A153" s="89" t="s">
        <v>271</v>
      </c>
      <c r="B153" s="16" t="s">
        <v>272</v>
      </c>
      <c r="C153" s="621">
        <v>2070.0</v>
      </c>
      <c r="D153" s="621">
        <v>1708.0</v>
      </c>
      <c r="E153" s="206">
        <f t="shared" si="65"/>
        <v>-362</v>
      </c>
      <c r="F153" s="622">
        <f t="shared" si="66"/>
        <v>-0.1748792271</v>
      </c>
    </row>
    <row r="154">
      <c r="A154" s="89" t="s">
        <v>273</v>
      </c>
      <c r="B154" s="16" t="s">
        <v>274</v>
      </c>
      <c r="C154" s="621">
        <v>16671.0</v>
      </c>
      <c r="D154" s="621">
        <v>14488.0</v>
      </c>
      <c r="E154" s="206">
        <f t="shared" si="65"/>
        <v>-2183</v>
      </c>
      <c r="F154" s="622">
        <f t="shared" si="66"/>
        <v>-0.1309459541</v>
      </c>
    </row>
    <row r="155">
      <c r="H155" s="634"/>
    </row>
    <row r="156">
      <c r="H156" s="635"/>
    </row>
    <row r="159">
      <c r="H159" s="634" t="str">
        <f>H155</f>
        <v/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13"/>
    <col customWidth="1" min="3" max="3" width="17.38"/>
    <col customWidth="1" min="4" max="4" width="20.63"/>
    <col customWidth="1" min="5" max="5" width="21.88"/>
    <col customWidth="1" min="6" max="6" width="10.88"/>
    <col customWidth="1" min="7" max="7" width="11.63"/>
    <col customWidth="1" min="8" max="8" width="22.63"/>
    <col customWidth="1" min="9" max="9" width="23.75"/>
    <col customWidth="1" min="10" max="10" width="17.38"/>
    <col customWidth="1" min="11" max="11" width="18.13"/>
    <col customWidth="1" min="12" max="12" width="11.25"/>
    <col customWidth="1" min="13" max="13" width="8.63"/>
    <col customWidth="1" min="14" max="14" width="11.13"/>
    <col customWidth="1" min="15" max="15" width="10.63"/>
    <col customWidth="1" min="16" max="16" width="8.88"/>
    <col customWidth="1" min="17" max="17" width="7.75"/>
    <col customWidth="1" min="18" max="18" width="9.63"/>
    <col customWidth="1" min="19" max="19" width="13.25"/>
    <col customWidth="1" min="20" max="20" width="7.63"/>
    <col customWidth="1" min="21" max="21" width="9.13"/>
    <col customWidth="1" min="22" max="22" width="11.38"/>
    <col customWidth="1" min="23" max="23" width="13.0"/>
    <col customWidth="1" min="24" max="24" width="9.75"/>
    <col customWidth="1" min="25" max="25" width="10.25"/>
    <col customWidth="1" min="26" max="26" width="10.88"/>
  </cols>
  <sheetData>
    <row r="1">
      <c r="A1" s="502" t="s">
        <v>557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9"/>
      <c r="T1" s="229"/>
      <c r="U1" s="229"/>
      <c r="V1" s="229"/>
      <c r="W1" s="229"/>
      <c r="X1" s="229"/>
      <c r="Y1" s="229"/>
      <c r="Z1" s="229"/>
    </row>
    <row r="2">
      <c r="A2" s="13" t="s">
        <v>374</v>
      </c>
      <c r="B2" s="504" t="s">
        <v>647</v>
      </c>
      <c r="C2" s="504" t="s">
        <v>2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7</v>
      </c>
      <c r="I2" s="505" t="s">
        <v>8</v>
      </c>
      <c r="J2" s="505" t="s">
        <v>9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14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04" t="s">
        <v>29</v>
      </c>
      <c r="B3" s="504" t="s">
        <v>29</v>
      </c>
      <c r="C3" s="512">
        <f>I3/E131</f>
        <v>0</v>
      </c>
      <c r="D3" s="344" t="s">
        <v>30</v>
      </c>
      <c r="E3" s="344" t="s">
        <v>31</v>
      </c>
      <c r="F3" s="195">
        <v>8.4</v>
      </c>
      <c r="G3" s="513">
        <v>75.0</v>
      </c>
      <c r="H3" s="217">
        <f t="shared" ref="H3:H25" si="1">G3*J3</f>
        <v>215827.5</v>
      </c>
      <c r="I3" s="217">
        <v>0.0</v>
      </c>
      <c r="J3" s="216">
        <v>2877.7</v>
      </c>
      <c r="K3" s="515">
        <f>IFERROR(__xludf.DUMMYFUNCTION("GOOGLEFINANCE(E3,""changepct"")"),-0.7)</f>
        <v>-0.7</v>
      </c>
      <c r="L3" s="516">
        <f>IFERROR(__xludf.DUMMYFUNCTION("googlefinance(E3,""price"")"),192.69)</f>
        <v>192.69</v>
      </c>
      <c r="M3" s="216">
        <v>2802.3</v>
      </c>
      <c r="N3" s="517">
        <f t="shared" ref="N3:N25" si="2">L3-J3</f>
        <v>-2685.01</v>
      </c>
      <c r="O3" s="518">
        <f>M3/J3-1</f>
        <v>-0.02620148035</v>
      </c>
      <c r="P3" s="514">
        <f t="shared" ref="P3:P25" si="3">H3*O3</f>
        <v>-5655</v>
      </c>
      <c r="Q3" s="512"/>
      <c r="R3" s="514"/>
      <c r="S3" s="519" t="s">
        <v>31</v>
      </c>
      <c r="T3" s="520">
        <v>44566.0</v>
      </c>
      <c r="U3" s="521">
        <v>2802.3</v>
      </c>
      <c r="V3" s="522">
        <v>210173.0</v>
      </c>
      <c r="W3" s="523"/>
      <c r="X3" s="524"/>
      <c r="Y3" s="525"/>
      <c r="Z3" s="526"/>
    </row>
    <row r="4">
      <c r="A4" s="527">
        <f>B127</f>
        <v>0.6195808867</v>
      </c>
      <c r="B4" s="527">
        <f>I26/E131</f>
        <v>0.2159387045</v>
      </c>
      <c r="C4" s="512">
        <f>I4/E131</f>
        <v>0.008101279019</v>
      </c>
      <c r="D4" s="344" t="s">
        <v>632</v>
      </c>
      <c r="E4" s="344" t="s">
        <v>674</v>
      </c>
      <c r="F4" s="195">
        <v>8.1</v>
      </c>
      <c r="G4" s="513">
        <v>500.0</v>
      </c>
      <c r="H4" s="217">
        <f t="shared" si="1"/>
        <v>168175</v>
      </c>
      <c r="I4" s="514">
        <f t="shared" ref="I4:I5" si="4">H4+P4</f>
        <v>92630</v>
      </c>
      <c r="J4" s="216">
        <v>336.35</v>
      </c>
      <c r="K4" s="515">
        <f>IFERROR(__xludf.DUMMYFUNCTION("GOOGLEFINANCE(E4,""changepct"")"),0.0)</f>
        <v>0</v>
      </c>
      <c r="L4" s="516">
        <f>IFERROR(__xludf.DUMMYFUNCTION("googlefinance(E4,""price"")"),185.26)</f>
        <v>185.26</v>
      </c>
      <c r="M4" s="517"/>
      <c r="N4" s="517">
        <f t="shared" si="2"/>
        <v>-151.09</v>
      </c>
      <c r="O4" s="518">
        <f t="shared" ref="O4:O5" si="5">L4/J4-1</f>
        <v>-0.4492046975</v>
      </c>
      <c r="P4" s="514">
        <f t="shared" si="3"/>
        <v>-75545</v>
      </c>
      <c r="Q4" s="512"/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528"/>
      <c r="B5" s="528"/>
      <c r="C5" s="512">
        <f>I5/E131</f>
        <v>0.0008426187273</v>
      </c>
      <c r="D5" s="344" t="s">
        <v>30</v>
      </c>
      <c r="E5" s="344" t="s">
        <v>31</v>
      </c>
      <c r="F5" s="195">
        <v>8.4</v>
      </c>
      <c r="G5" s="513">
        <v>50.0</v>
      </c>
      <c r="H5" s="217">
        <f t="shared" si="1"/>
        <v>136601</v>
      </c>
      <c r="I5" s="217">
        <f t="shared" si="4"/>
        <v>9634.5</v>
      </c>
      <c r="J5" s="216">
        <v>2732.02</v>
      </c>
      <c r="K5" s="515">
        <f>IFERROR(__xludf.DUMMYFUNCTION("GOOGLEFINANCE(E5,""changepct"")"),-0.7)</f>
        <v>-0.7</v>
      </c>
      <c r="L5" s="516">
        <f>IFERROR(__xludf.DUMMYFUNCTION("googlefinance(E5,""price"")"),192.69)</f>
        <v>192.69</v>
      </c>
      <c r="M5" s="216"/>
      <c r="N5" s="517">
        <f t="shared" si="2"/>
        <v>-2539.33</v>
      </c>
      <c r="O5" s="518">
        <f t="shared" si="5"/>
        <v>-0.9294697696</v>
      </c>
      <c r="P5" s="514">
        <f t="shared" si="3"/>
        <v>-126966.5</v>
      </c>
      <c r="Q5" s="512"/>
      <c r="R5" s="514"/>
      <c r="S5" s="519"/>
      <c r="T5" s="520"/>
      <c r="U5" s="531"/>
      <c r="V5" s="522"/>
      <c r="W5" s="519" t="s">
        <v>31</v>
      </c>
      <c r="X5" s="520">
        <v>44571.0</v>
      </c>
      <c r="Y5" s="521">
        <v>2732.02</v>
      </c>
      <c r="Z5" s="522">
        <v>136601.0</v>
      </c>
    </row>
    <row r="6">
      <c r="A6" s="528"/>
      <c r="B6" s="528"/>
      <c r="C6" s="512">
        <f>I6/E131</f>
        <v>0</v>
      </c>
      <c r="D6" s="529" t="s">
        <v>648</v>
      </c>
      <c r="E6" s="529" t="s">
        <v>36</v>
      </c>
      <c r="F6" s="530">
        <v>7.4</v>
      </c>
      <c r="G6" s="513">
        <v>100.0</v>
      </c>
      <c r="H6" s="217">
        <f t="shared" si="1"/>
        <v>101639</v>
      </c>
      <c r="I6" s="217">
        <v>0.0</v>
      </c>
      <c r="J6" s="216">
        <v>1016.39</v>
      </c>
      <c r="K6" s="515">
        <f>IFERROR(__xludf.DUMMYFUNCTION("GOOGLEFINANCE(E6,""changepct"")"),-3.3)</f>
        <v>-3.3</v>
      </c>
      <c r="L6" s="516">
        <f>IFERROR(__xludf.DUMMYFUNCTION("googlefinance(E6,""price"")"),417.41)</f>
        <v>417.41</v>
      </c>
      <c r="M6" s="216">
        <v>915.36</v>
      </c>
      <c r="N6" s="517">
        <f t="shared" si="2"/>
        <v>-598.98</v>
      </c>
      <c r="O6" s="518">
        <f t="shared" ref="O6:O7" si="6">M6/J6-1</f>
        <v>-0.09940082055</v>
      </c>
      <c r="P6" s="514">
        <f t="shared" si="3"/>
        <v>-10103</v>
      </c>
      <c r="Q6" s="512"/>
      <c r="R6" s="514"/>
      <c r="S6" s="519" t="s">
        <v>36</v>
      </c>
      <c r="T6" s="520">
        <v>44608.0</v>
      </c>
      <c r="U6" s="531">
        <v>915.36</v>
      </c>
      <c r="V6" s="522">
        <v>91536.0</v>
      </c>
      <c r="W6" s="519" t="s">
        <v>36</v>
      </c>
      <c r="X6" s="520">
        <v>44571.0</v>
      </c>
      <c r="Y6" s="521">
        <v>1016.39</v>
      </c>
      <c r="Z6" s="522">
        <v>101639.0</v>
      </c>
    </row>
    <row r="7">
      <c r="A7" s="528"/>
      <c r="B7" s="528"/>
      <c r="C7" s="512">
        <f>I7/E131</f>
        <v>0</v>
      </c>
      <c r="D7" s="529" t="s">
        <v>648</v>
      </c>
      <c r="E7" s="529" t="s">
        <v>36</v>
      </c>
      <c r="F7" s="530">
        <v>7.4</v>
      </c>
      <c r="G7" s="513">
        <v>100.0</v>
      </c>
      <c r="H7" s="217">
        <f t="shared" si="1"/>
        <v>105724</v>
      </c>
      <c r="I7" s="217">
        <v>0.0</v>
      </c>
      <c r="J7" s="216">
        <v>1057.24</v>
      </c>
      <c r="K7" s="515">
        <f>IFERROR(__xludf.DUMMYFUNCTION("GOOGLEFINANCE(E7,""changepct"")"),-3.3)</f>
        <v>-3.3</v>
      </c>
      <c r="L7" s="516">
        <f>IFERROR(__xludf.DUMMYFUNCTION("googlefinance(E7,""price"")"),417.41)</f>
        <v>417.41</v>
      </c>
      <c r="M7" s="216">
        <v>1129.3</v>
      </c>
      <c r="N7" s="517">
        <f t="shared" si="2"/>
        <v>-639.83</v>
      </c>
      <c r="O7" s="518">
        <f t="shared" si="6"/>
        <v>0.06815860164</v>
      </c>
      <c r="P7" s="514">
        <f t="shared" si="3"/>
        <v>7206</v>
      </c>
      <c r="Q7" s="512"/>
      <c r="R7" s="514"/>
      <c r="S7" s="519" t="s">
        <v>36</v>
      </c>
      <c r="T7" s="520">
        <v>44566.0</v>
      </c>
      <c r="U7" s="531">
        <v>1129.3</v>
      </c>
      <c r="V7" s="522">
        <v>112930.0</v>
      </c>
      <c r="W7" s="519"/>
      <c r="X7" s="520"/>
      <c r="Y7" s="521"/>
      <c r="Z7" s="522"/>
    </row>
    <row r="8">
      <c r="A8" s="528"/>
      <c r="B8" s="528"/>
      <c r="C8" s="512">
        <f>I8/E131</f>
        <v>0.01070841631</v>
      </c>
      <c r="D8" s="534" t="s">
        <v>558</v>
      </c>
      <c r="E8" s="535" t="s">
        <v>40</v>
      </c>
      <c r="F8" s="533">
        <v>8.1</v>
      </c>
      <c r="G8" s="513">
        <v>1000.0</v>
      </c>
      <c r="H8" s="217">
        <f t="shared" si="1"/>
        <v>104270</v>
      </c>
      <c r="I8" s="217">
        <f t="shared" ref="I8:I9" si="7">H8+P8</f>
        <v>122440</v>
      </c>
      <c r="J8" s="216">
        <v>104.27</v>
      </c>
      <c r="K8" s="515">
        <f>IFERROR(__xludf.DUMMYFUNCTION("GOOGLEFINANCE(E8,""changepct"")"),-2.2)</f>
        <v>-2.2</v>
      </c>
      <c r="L8" s="516">
        <f>IFERROR(__xludf.DUMMYFUNCTION("googlefinance(E8,""price"")"),122.44)</f>
        <v>122.44</v>
      </c>
      <c r="M8" s="216"/>
      <c r="N8" s="517">
        <f t="shared" si="2"/>
        <v>18.17</v>
      </c>
      <c r="O8" s="518">
        <f t="shared" ref="O8:O9" si="8">L8/J8-1</f>
        <v>0.1742591349</v>
      </c>
      <c r="P8" s="514">
        <f t="shared" si="3"/>
        <v>18170</v>
      </c>
      <c r="Q8" s="512"/>
      <c r="R8" s="514"/>
      <c r="S8" s="519"/>
      <c r="T8" s="520"/>
      <c r="U8" s="521"/>
      <c r="V8" s="522"/>
      <c r="W8" s="519" t="s">
        <v>40</v>
      </c>
      <c r="X8" s="520">
        <v>44635.0</v>
      </c>
      <c r="Y8" s="521">
        <v>104.27</v>
      </c>
      <c r="Z8" s="522">
        <v>104270.0</v>
      </c>
    </row>
    <row r="9">
      <c r="A9" s="528"/>
      <c r="B9" s="528"/>
      <c r="C9" s="512">
        <f>I9/E131</f>
        <v>0.01070841631</v>
      </c>
      <c r="D9" s="534" t="s">
        <v>558</v>
      </c>
      <c r="E9" s="535" t="s">
        <v>40</v>
      </c>
      <c r="F9" s="533">
        <v>8.1</v>
      </c>
      <c r="G9" s="513">
        <v>1000.0</v>
      </c>
      <c r="H9" s="217">
        <f t="shared" si="1"/>
        <v>107600</v>
      </c>
      <c r="I9" s="217">
        <f t="shared" si="7"/>
        <v>122440</v>
      </c>
      <c r="J9" s="216">
        <v>107.6</v>
      </c>
      <c r="K9" s="515">
        <f>IFERROR(__xludf.DUMMYFUNCTION("GOOGLEFINANCE(E9,""changepct"")"),-2.2)</f>
        <v>-2.2</v>
      </c>
      <c r="L9" s="516">
        <f>IFERROR(__xludf.DUMMYFUNCTION("googlefinance(E9,""price"")"),122.44)</f>
        <v>122.44</v>
      </c>
      <c r="M9" s="216"/>
      <c r="N9" s="517">
        <f t="shared" si="2"/>
        <v>14.84</v>
      </c>
      <c r="O9" s="518">
        <f t="shared" si="8"/>
        <v>0.1379182156</v>
      </c>
      <c r="P9" s="514">
        <f t="shared" si="3"/>
        <v>14840</v>
      </c>
      <c r="Q9" s="512"/>
      <c r="R9" s="514"/>
      <c r="S9" s="519"/>
      <c r="T9" s="520"/>
      <c r="U9" s="521"/>
      <c r="V9" s="522"/>
      <c r="W9" s="519" t="s">
        <v>40</v>
      </c>
      <c r="X9" s="520">
        <v>44592.0</v>
      </c>
      <c r="Y9" s="521">
        <v>107.6</v>
      </c>
      <c r="Z9" s="522">
        <v>107600.0</v>
      </c>
    </row>
    <row r="10">
      <c r="A10" s="528"/>
      <c r="B10" s="528"/>
      <c r="C10" s="512">
        <f>I10/E131</f>
        <v>0</v>
      </c>
      <c r="D10" s="534" t="s">
        <v>558</v>
      </c>
      <c r="E10" s="535" t="s">
        <v>40</v>
      </c>
      <c r="F10" s="533">
        <v>8.1</v>
      </c>
      <c r="G10" s="513">
        <v>1000.0</v>
      </c>
      <c r="H10" s="217">
        <f t="shared" si="1"/>
        <v>128120</v>
      </c>
      <c r="I10" s="217">
        <v>0.0</v>
      </c>
      <c r="J10" s="216">
        <v>128.12</v>
      </c>
      <c r="K10" s="515">
        <f>IFERROR(__xludf.DUMMYFUNCTION("GOOGLEFINANCE(E10,""changepct"")"),-2.2)</f>
        <v>-2.2</v>
      </c>
      <c r="L10" s="516">
        <f>IFERROR(__xludf.DUMMYFUNCTION("googlefinance(E10,""price"")"),122.44)</f>
        <v>122.44</v>
      </c>
      <c r="M10" s="216">
        <v>119.79</v>
      </c>
      <c r="N10" s="517">
        <f t="shared" si="2"/>
        <v>-5.68</v>
      </c>
      <c r="O10" s="518">
        <f t="shared" ref="O10:O11" si="9">M10/J10-1</f>
        <v>-0.0650171714</v>
      </c>
      <c r="P10" s="514">
        <f t="shared" si="3"/>
        <v>-8330</v>
      </c>
      <c r="Q10" s="512"/>
      <c r="R10" s="514"/>
      <c r="S10" s="519" t="s">
        <v>40</v>
      </c>
      <c r="T10" s="520">
        <v>44608.0</v>
      </c>
      <c r="U10" s="521">
        <v>119.79</v>
      </c>
      <c r="V10" s="522">
        <v>119790.0</v>
      </c>
      <c r="W10" s="519" t="s">
        <v>40</v>
      </c>
      <c r="X10" s="520">
        <v>44571.0</v>
      </c>
      <c r="Y10" s="521">
        <v>128.12</v>
      </c>
      <c r="Z10" s="522">
        <v>128120.0</v>
      </c>
    </row>
    <row r="11">
      <c r="A11" s="528"/>
      <c r="B11" s="528"/>
      <c r="C11" s="512">
        <f>I11/E131</f>
        <v>0</v>
      </c>
      <c r="D11" s="534" t="s">
        <v>558</v>
      </c>
      <c r="E11" s="535" t="s">
        <v>40</v>
      </c>
      <c r="F11" s="533">
        <v>8.1</v>
      </c>
      <c r="G11" s="513">
        <v>600.0</v>
      </c>
      <c r="H11" s="217">
        <f t="shared" si="1"/>
        <v>86358</v>
      </c>
      <c r="I11" s="217">
        <v>0.0</v>
      </c>
      <c r="J11" s="216">
        <v>143.93</v>
      </c>
      <c r="K11" s="515">
        <f>IFERROR(__xludf.DUMMYFUNCTION("GOOGLEFINANCE(E11,""changepct"")"),-2.2)</f>
        <v>-2.2</v>
      </c>
      <c r="L11" s="516">
        <f>IFERROR(__xludf.DUMMYFUNCTION("googlefinance(E11,""price"")"),122.44)</f>
        <v>122.44</v>
      </c>
      <c r="M11" s="216">
        <v>138.61</v>
      </c>
      <c r="N11" s="517">
        <f t="shared" si="2"/>
        <v>-21.49</v>
      </c>
      <c r="O11" s="518">
        <f t="shared" si="9"/>
        <v>-0.03696241228</v>
      </c>
      <c r="P11" s="514">
        <f t="shared" si="3"/>
        <v>-3192</v>
      </c>
      <c r="Q11" s="512"/>
      <c r="R11" s="514"/>
      <c r="S11" s="519" t="s">
        <v>40</v>
      </c>
      <c r="T11" s="520">
        <v>44566.0</v>
      </c>
      <c r="U11" s="521">
        <v>138.61</v>
      </c>
      <c r="V11" s="522">
        <v>83166.0</v>
      </c>
      <c r="W11" s="519"/>
      <c r="X11" s="520"/>
      <c r="Y11" s="521"/>
      <c r="Z11" s="522"/>
    </row>
    <row r="12">
      <c r="A12" s="528"/>
      <c r="B12" s="528"/>
      <c r="C12" s="512">
        <f>I12/E131</f>
        <v>0.03937511965</v>
      </c>
      <c r="D12" s="529" t="s">
        <v>581</v>
      </c>
      <c r="E12" s="536" t="s">
        <v>582</v>
      </c>
      <c r="F12" s="537">
        <v>8.0</v>
      </c>
      <c r="G12" s="513">
        <v>500.0</v>
      </c>
      <c r="H12" s="217">
        <f t="shared" si="1"/>
        <v>176035</v>
      </c>
      <c r="I12" s="217">
        <f>H12+P12</f>
        <v>450215</v>
      </c>
      <c r="J12" s="216">
        <v>352.07</v>
      </c>
      <c r="K12" s="515">
        <f>IFERROR(__xludf.DUMMYFUNCTION("GOOGLEFINANCE(E12,""changepct"")"),-0.78)</f>
        <v>-0.78</v>
      </c>
      <c r="L12" s="516">
        <f>IFERROR(__xludf.DUMMYFUNCTION("googlefinance(E12,""price"")"),900.43)</f>
        <v>900.43</v>
      </c>
      <c r="M12" s="216"/>
      <c r="N12" s="517">
        <f t="shared" si="2"/>
        <v>548.36</v>
      </c>
      <c r="O12" s="518">
        <f>L12/J12-1</f>
        <v>1.557531173</v>
      </c>
      <c r="P12" s="514">
        <f t="shared" si="3"/>
        <v>274180</v>
      </c>
      <c r="Q12" s="512"/>
      <c r="R12" s="514"/>
      <c r="S12" s="519"/>
      <c r="T12" s="520"/>
      <c r="U12" s="521"/>
      <c r="V12" s="522"/>
      <c r="W12" s="529" t="s">
        <v>582</v>
      </c>
      <c r="X12" s="520">
        <v>44629.0</v>
      </c>
      <c r="Y12" s="521">
        <v>352.07</v>
      </c>
      <c r="Z12" s="522">
        <v>176035.0</v>
      </c>
    </row>
    <row r="13">
      <c r="A13" s="528"/>
      <c r="B13" s="528"/>
      <c r="C13" s="512">
        <f>I13/E131</f>
        <v>0</v>
      </c>
      <c r="D13" s="529" t="s">
        <v>581</v>
      </c>
      <c r="E13" s="536" t="s">
        <v>582</v>
      </c>
      <c r="F13" s="537">
        <v>8.0</v>
      </c>
      <c r="G13" s="513">
        <v>350.0</v>
      </c>
      <c r="H13" s="217">
        <f t="shared" si="1"/>
        <v>124040</v>
      </c>
      <c r="I13" s="217">
        <v>0.0</v>
      </c>
      <c r="J13" s="216">
        <v>354.4</v>
      </c>
      <c r="K13" s="515">
        <f>IFERROR(__xludf.DUMMYFUNCTION("GOOGLEFINANCE(E13,""changepct"")"),-0.78)</f>
        <v>-0.78</v>
      </c>
      <c r="L13" s="516">
        <f>IFERROR(__xludf.DUMMYFUNCTION("googlefinance(E13,""price"")"),900.43)</f>
        <v>900.43</v>
      </c>
      <c r="M13" s="216">
        <v>402.58</v>
      </c>
      <c r="N13" s="517">
        <f t="shared" si="2"/>
        <v>546.03</v>
      </c>
      <c r="O13" s="518">
        <f>M13/J13-1</f>
        <v>0.1359480813</v>
      </c>
      <c r="P13" s="514">
        <f t="shared" si="3"/>
        <v>16863</v>
      </c>
      <c r="Q13" s="512"/>
      <c r="R13" s="514"/>
      <c r="S13" s="519" t="s">
        <v>582</v>
      </c>
      <c r="T13" s="520">
        <v>44608.0</v>
      </c>
      <c r="U13" s="521">
        <v>402.58</v>
      </c>
      <c r="V13" s="522">
        <v>140903.0</v>
      </c>
      <c r="W13" s="529" t="s">
        <v>582</v>
      </c>
      <c r="X13" s="520">
        <v>44585.0</v>
      </c>
      <c r="Y13" s="521">
        <v>354.4</v>
      </c>
      <c r="Z13" s="522">
        <v>124040.0</v>
      </c>
    </row>
    <row r="14">
      <c r="A14" s="528"/>
      <c r="B14" s="528"/>
      <c r="C14" s="512">
        <f>I14/E131</f>
        <v>0.00515086719</v>
      </c>
      <c r="D14" s="529" t="s">
        <v>583</v>
      </c>
      <c r="E14" s="536" t="s">
        <v>55</v>
      </c>
      <c r="F14" s="537">
        <v>8.2</v>
      </c>
      <c r="G14" s="513">
        <v>250.0</v>
      </c>
      <c r="H14" s="217">
        <f t="shared" si="1"/>
        <v>146750</v>
      </c>
      <c r="I14" s="217">
        <f>H14+P14</f>
        <v>58895</v>
      </c>
      <c r="J14" s="216">
        <v>587.0</v>
      </c>
      <c r="K14" s="515">
        <f>IFERROR(__xludf.DUMMYFUNCTION("GOOGLEFINANCE(E14,""changepct"")"),-2.55)</f>
        <v>-2.55</v>
      </c>
      <c r="L14" s="516">
        <f>IFERROR(__xludf.DUMMYFUNCTION("googlefinance(E14,""price"")"),235.58)</f>
        <v>235.58</v>
      </c>
      <c r="M14" s="216"/>
      <c r="N14" s="517">
        <f t="shared" si="2"/>
        <v>-351.42</v>
      </c>
      <c r="O14" s="518">
        <f>L14/J14-1</f>
        <v>-0.5986712095</v>
      </c>
      <c r="P14" s="514">
        <f t="shared" si="3"/>
        <v>-87855</v>
      </c>
      <c r="Q14" s="512"/>
      <c r="R14" s="514"/>
      <c r="S14" s="519"/>
      <c r="T14" s="520"/>
      <c r="U14" s="521"/>
      <c r="V14" s="522"/>
      <c r="W14" s="529" t="s">
        <v>55</v>
      </c>
      <c r="X14" s="520">
        <v>44629.0</v>
      </c>
      <c r="Y14" s="521">
        <v>587.0</v>
      </c>
      <c r="Z14" s="522">
        <v>146750.0</v>
      </c>
    </row>
    <row r="15">
      <c r="A15" s="528"/>
      <c r="B15" s="528"/>
      <c r="C15" s="512">
        <f>I15/E131</f>
        <v>0</v>
      </c>
      <c r="D15" s="529" t="s">
        <v>583</v>
      </c>
      <c r="E15" s="536" t="s">
        <v>55</v>
      </c>
      <c r="F15" s="537">
        <v>8.2</v>
      </c>
      <c r="G15" s="513">
        <v>200.0</v>
      </c>
      <c r="H15" s="217">
        <f t="shared" si="1"/>
        <v>121974</v>
      </c>
      <c r="I15" s="217">
        <v>0.0</v>
      </c>
      <c r="J15" s="216">
        <v>609.87</v>
      </c>
      <c r="K15" s="515">
        <f>IFERROR(__xludf.DUMMYFUNCTION("GOOGLEFINANCE(E15,""changepct"")"),-2.55)</f>
        <v>-2.55</v>
      </c>
      <c r="L15" s="516">
        <f>IFERROR(__xludf.DUMMYFUNCTION("googlefinance(E15,""price"")"),235.58)</f>
        <v>235.58</v>
      </c>
      <c r="M15" s="216">
        <v>597.0</v>
      </c>
      <c r="N15" s="517">
        <f t="shared" si="2"/>
        <v>-374.29</v>
      </c>
      <c r="O15" s="518">
        <f t="shared" ref="O15:O16" si="10">M15/J15-1</f>
        <v>-0.02110285799</v>
      </c>
      <c r="P15" s="514">
        <f t="shared" si="3"/>
        <v>-2574</v>
      </c>
      <c r="Q15" s="512"/>
      <c r="R15" s="514"/>
      <c r="S15" s="519" t="s">
        <v>55</v>
      </c>
      <c r="T15" s="520">
        <v>44608.0</v>
      </c>
      <c r="U15" s="521">
        <v>597.0</v>
      </c>
      <c r="V15" s="522">
        <v>119400.0</v>
      </c>
      <c r="W15" s="529" t="s">
        <v>55</v>
      </c>
      <c r="X15" s="520">
        <v>44571.0</v>
      </c>
      <c r="Y15" s="521">
        <v>609.87</v>
      </c>
      <c r="Z15" s="522">
        <v>121974.0</v>
      </c>
    </row>
    <row r="16">
      <c r="A16" s="528"/>
      <c r="B16" s="528"/>
      <c r="C16" s="512">
        <f>I16/E131</f>
        <v>0</v>
      </c>
      <c r="D16" s="529" t="s">
        <v>675</v>
      </c>
      <c r="E16" s="536" t="s">
        <v>676</v>
      </c>
      <c r="F16" s="537">
        <v>7.9</v>
      </c>
      <c r="G16" s="513">
        <v>200.0</v>
      </c>
      <c r="H16" s="217">
        <f t="shared" si="1"/>
        <v>103578</v>
      </c>
      <c r="I16" s="217">
        <v>0.0</v>
      </c>
      <c r="J16" s="216">
        <v>517.89</v>
      </c>
      <c r="K16" s="515">
        <f>IFERROR(__xludf.DUMMYFUNCTION("GOOGLEFINANCE(E16,""changepct"")"),-0.15)</f>
        <v>-0.15</v>
      </c>
      <c r="L16" s="516">
        <f>IFERROR(__xludf.DUMMYFUNCTION("googlefinance(E16,""price"")"),445.8)</f>
        <v>445.8</v>
      </c>
      <c r="M16" s="216">
        <v>476.0</v>
      </c>
      <c r="N16" s="517">
        <f t="shared" si="2"/>
        <v>-72.09</v>
      </c>
      <c r="O16" s="518">
        <f t="shared" si="10"/>
        <v>-0.08088590241</v>
      </c>
      <c r="P16" s="514">
        <f t="shared" si="3"/>
        <v>-8378</v>
      </c>
      <c r="Q16" s="512"/>
      <c r="R16" s="514"/>
      <c r="S16" s="519" t="s">
        <v>676</v>
      </c>
      <c r="T16" s="520">
        <v>44608.0</v>
      </c>
      <c r="U16" s="521">
        <v>476.0</v>
      </c>
      <c r="V16" s="522">
        <v>95200.0</v>
      </c>
      <c r="W16" s="529" t="s">
        <v>676</v>
      </c>
      <c r="X16" s="520">
        <v>44571.0</v>
      </c>
      <c r="Y16" s="521">
        <v>517.89</v>
      </c>
      <c r="Z16" s="522">
        <v>103578.0</v>
      </c>
    </row>
    <row r="17">
      <c r="A17" s="528"/>
      <c r="B17" s="528"/>
      <c r="C17" s="512">
        <f>H17/E131</f>
        <v>0.02394735629</v>
      </c>
      <c r="D17" s="529" t="s">
        <v>527</v>
      </c>
      <c r="E17" s="536" t="s">
        <v>43</v>
      </c>
      <c r="F17" s="537">
        <v>8.3</v>
      </c>
      <c r="G17" s="513">
        <v>100.0</v>
      </c>
      <c r="H17" s="217">
        <f t="shared" si="1"/>
        <v>273814</v>
      </c>
      <c r="I17" s="217">
        <f>H17+P17</f>
        <v>22130</v>
      </c>
      <c r="J17" s="216">
        <v>2738.14</v>
      </c>
      <c r="K17" s="515">
        <f>IFERROR(__xludf.DUMMYFUNCTION("GOOGLEFINANCE(E17,""changepct"")"),-1.09)</f>
        <v>-1.09</v>
      </c>
      <c r="L17" s="516">
        <f>IFERROR(__xludf.DUMMYFUNCTION("googlefinance(E17,""price"")"),221.3)</f>
        <v>221.3</v>
      </c>
      <c r="M17" s="216"/>
      <c r="N17" s="517">
        <f t="shared" si="2"/>
        <v>-2516.84</v>
      </c>
      <c r="O17" s="518">
        <f>L17/J17-1</f>
        <v>-0.9191787126</v>
      </c>
      <c r="P17" s="514">
        <f t="shared" si="3"/>
        <v>-251684</v>
      </c>
      <c r="Q17" s="512"/>
      <c r="R17" s="514"/>
      <c r="S17" s="519"/>
      <c r="T17" s="520"/>
      <c r="U17" s="521"/>
      <c r="V17" s="522"/>
      <c r="W17" s="529" t="s">
        <v>43</v>
      </c>
      <c r="X17" s="520">
        <v>44629.0</v>
      </c>
      <c r="Y17" s="521">
        <v>2738.14</v>
      </c>
      <c r="Z17" s="522">
        <v>273814.0</v>
      </c>
    </row>
    <row r="18">
      <c r="A18" s="528"/>
      <c r="B18" s="528"/>
      <c r="C18" s="512">
        <f>I18/E131</f>
        <v>0</v>
      </c>
      <c r="D18" s="529" t="s">
        <v>527</v>
      </c>
      <c r="E18" s="536" t="s">
        <v>43</v>
      </c>
      <c r="F18" s="537">
        <v>8.3</v>
      </c>
      <c r="G18" s="513">
        <v>100.0</v>
      </c>
      <c r="H18" s="217">
        <f t="shared" si="1"/>
        <v>272412</v>
      </c>
      <c r="I18" s="217">
        <v>0.0</v>
      </c>
      <c r="J18" s="216">
        <v>2724.12</v>
      </c>
      <c r="K18" s="515">
        <f>IFERROR(__xludf.DUMMYFUNCTION("GOOGLEFINANCE(E18,""changepct"")"),-1.09)</f>
        <v>-1.09</v>
      </c>
      <c r="L18" s="516">
        <f>IFERROR(__xludf.DUMMYFUNCTION("googlefinance(E18,""price"")"),221.3)</f>
        <v>221.3</v>
      </c>
      <c r="M18" s="216">
        <v>3122.0</v>
      </c>
      <c r="N18" s="517">
        <f t="shared" si="2"/>
        <v>-2502.82</v>
      </c>
      <c r="O18" s="518">
        <f>M18/J18-1</f>
        <v>0.1460581766</v>
      </c>
      <c r="P18" s="514">
        <f t="shared" si="3"/>
        <v>39788</v>
      </c>
      <c r="Q18" s="512"/>
      <c r="R18" s="514"/>
      <c r="S18" s="519" t="s">
        <v>43</v>
      </c>
      <c r="T18" s="520">
        <v>44608.0</v>
      </c>
      <c r="U18" s="521">
        <v>3122.0</v>
      </c>
      <c r="V18" s="522">
        <v>312200.0</v>
      </c>
      <c r="W18" s="529" t="s">
        <v>43</v>
      </c>
      <c r="X18" s="520">
        <v>44585.0</v>
      </c>
      <c r="Y18" s="521">
        <v>2724.12</v>
      </c>
      <c r="Z18" s="522">
        <v>272412.0</v>
      </c>
    </row>
    <row r="19">
      <c r="A19" s="528"/>
      <c r="B19" s="528"/>
      <c r="C19" s="512">
        <f>I19/E131</f>
        <v>0.08437556875</v>
      </c>
      <c r="D19" s="529" t="s">
        <v>559</v>
      </c>
      <c r="E19" s="529" t="s">
        <v>46</v>
      </c>
      <c r="F19" s="530">
        <v>7.7</v>
      </c>
      <c r="G19" s="513">
        <v>12500.0</v>
      </c>
      <c r="H19" s="217">
        <f t="shared" si="1"/>
        <v>148750</v>
      </c>
      <c r="I19" s="514">
        <f>H19+P19</f>
        <v>964750</v>
      </c>
      <c r="J19" s="216">
        <v>11.9</v>
      </c>
      <c r="K19" s="515">
        <f>IFERROR(__xludf.DUMMYFUNCTION("GOOGLEFINANCE(E19,""changepct"")"),-2.4)</f>
        <v>-2.4</v>
      </c>
      <c r="L19" s="516">
        <f>IFERROR(__xludf.DUMMYFUNCTION("googlefinance(E19,""price"")"),77.18)</f>
        <v>77.18</v>
      </c>
      <c r="M19" s="216"/>
      <c r="N19" s="517">
        <f t="shared" si="2"/>
        <v>65.28</v>
      </c>
      <c r="O19" s="518">
        <f>L19/J19-1</f>
        <v>5.485714286</v>
      </c>
      <c r="P19" s="514">
        <f t="shared" si="3"/>
        <v>816000</v>
      </c>
      <c r="Q19" s="512"/>
      <c r="R19" s="514"/>
      <c r="S19" s="519"/>
      <c r="T19" s="520"/>
      <c r="U19" s="521"/>
      <c r="V19" s="522"/>
      <c r="W19" s="529" t="s">
        <v>46</v>
      </c>
      <c r="X19" s="520">
        <v>44585.0</v>
      </c>
      <c r="Y19" s="521">
        <v>11.9</v>
      </c>
      <c r="Z19" s="522">
        <v>148750.0</v>
      </c>
    </row>
    <row r="20">
      <c r="A20" s="528"/>
      <c r="B20" s="528"/>
      <c r="C20" s="512">
        <f>I20/E131</f>
        <v>0</v>
      </c>
      <c r="D20" s="529" t="s">
        <v>559</v>
      </c>
      <c r="E20" s="529" t="s">
        <v>46</v>
      </c>
      <c r="F20" s="530">
        <v>7.7</v>
      </c>
      <c r="G20" s="513">
        <v>7500.0</v>
      </c>
      <c r="H20" s="217">
        <f t="shared" si="1"/>
        <v>134850</v>
      </c>
      <c r="I20" s="217">
        <v>0.0</v>
      </c>
      <c r="J20" s="216">
        <v>17.98</v>
      </c>
      <c r="K20" s="515">
        <f>IFERROR(__xludf.DUMMYFUNCTION("GOOGLEFINANCE(E20,""changepct"")"),-2.4)</f>
        <v>-2.4</v>
      </c>
      <c r="L20" s="516">
        <f>IFERROR(__xludf.DUMMYFUNCTION("googlefinance(E20,""price"")"),77.18)</f>
        <v>77.18</v>
      </c>
      <c r="M20" s="216">
        <v>14.07</v>
      </c>
      <c r="N20" s="517">
        <f t="shared" si="2"/>
        <v>59.2</v>
      </c>
      <c r="O20" s="518">
        <f t="shared" ref="O20:O21" si="11">M20/J20-1</f>
        <v>-0.2174638487</v>
      </c>
      <c r="P20" s="514">
        <f t="shared" si="3"/>
        <v>-29325</v>
      </c>
      <c r="Q20" s="512"/>
      <c r="R20" s="514"/>
      <c r="S20" s="519" t="s">
        <v>46</v>
      </c>
      <c r="T20" s="520">
        <v>44608.0</v>
      </c>
      <c r="U20" s="521">
        <v>14.07</v>
      </c>
      <c r="V20" s="522">
        <v>105525.0</v>
      </c>
      <c r="W20" s="529"/>
      <c r="X20" s="520"/>
      <c r="Y20" s="521"/>
      <c r="Z20" s="522"/>
    </row>
    <row r="21">
      <c r="A21" s="528"/>
      <c r="B21" s="528"/>
      <c r="C21" s="512">
        <f>I21/E131</f>
        <v>0</v>
      </c>
      <c r="D21" s="529" t="s">
        <v>440</v>
      </c>
      <c r="E21" s="529" t="s">
        <v>77</v>
      </c>
      <c r="F21" s="530">
        <v>8.4</v>
      </c>
      <c r="G21" s="513">
        <v>800.0</v>
      </c>
      <c r="H21" s="217">
        <f t="shared" si="1"/>
        <v>146312</v>
      </c>
      <c r="I21" s="217">
        <v>0.0</v>
      </c>
      <c r="J21" s="216">
        <v>182.89</v>
      </c>
      <c r="K21" s="515">
        <f>IFERROR(__xludf.DUMMYFUNCTION("GOOGLEFINANCE(E21,""changepct"")"),-1.69)</f>
        <v>-1.69</v>
      </c>
      <c r="L21" s="516">
        <f>IFERROR(__xludf.DUMMYFUNCTION("googlefinance(E21,""price"")"),154.58)</f>
        <v>154.58</v>
      </c>
      <c r="M21" s="216">
        <v>171.98</v>
      </c>
      <c r="N21" s="517">
        <f t="shared" si="2"/>
        <v>-28.31</v>
      </c>
      <c r="O21" s="518">
        <f t="shared" si="11"/>
        <v>-0.05965334354</v>
      </c>
      <c r="P21" s="514">
        <f t="shared" si="3"/>
        <v>-8728</v>
      </c>
      <c r="Q21" s="538">
        <v>0.017</v>
      </c>
      <c r="R21" s="217"/>
      <c r="S21" s="519" t="s">
        <v>77</v>
      </c>
      <c r="T21" s="520">
        <v>44608.0</v>
      </c>
      <c r="U21" s="521">
        <v>171.98</v>
      </c>
      <c r="V21" s="522">
        <v>137584.0</v>
      </c>
      <c r="W21" s="519"/>
      <c r="X21" s="520"/>
      <c r="Y21" s="521"/>
      <c r="Z21" s="522"/>
    </row>
    <row r="22">
      <c r="A22" s="528"/>
      <c r="B22" s="528"/>
      <c r="C22" s="512">
        <f>I22/E131</f>
        <v>0.01366976045</v>
      </c>
      <c r="D22" s="529" t="s">
        <v>584</v>
      </c>
      <c r="E22" s="529" t="s">
        <v>585</v>
      </c>
      <c r="F22" s="530">
        <v>7.8</v>
      </c>
      <c r="G22" s="513">
        <v>10000.0</v>
      </c>
      <c r="H22" s="217">
        <f t="shared" si="1"/>
        <v>99400</v>
      </c>
      <c r="I22" s="514">
        <f t="shared" ref="I22:I25" si="12">H22+P22</f>
        <v>156300</v>
      </c>
      <c r="J22" s="216">
        <v>9.94</v>
      </c>
      <c r="K22" s="515">
        <f>IFERROR(__xludf.DUMMYFUNCTION("GOOGLEFINANCE(E22,""changepct"")"),-2.19)</f>
        <v>-2.19</v>
      </c>
      <c r="L22" s="516">
        <f>IFERROR(__xludf.DUMMYFUNCTION("googlefinance(E22,""price"")"),15.63)</f>
        <v>15.63</v>
      </c>
      <c r="M22" s="216"/>
      <c r="N22" s="517">
        <f t="shared" si="2"/>
        <v>5.69</v>
      </c>
      <c r="O22" s="518">
        <f t="shared" ref="O22:O25" si="13">L22/J22-1</f>
        <v>0.5724346076</v>
      </c>
      <c r="P22" s="514">
        <f t="shared" si="3"/>
        <v>56900</v>
      </c>
      <c r="Q22" s="538"/>
      <c r="R22" s="217"/>
      <c r="S22" s="519"/>
      <c r="T22" s="520"/>
      <c r="U22" s="521"/>
      <c r="V22" s="522"/>
      <c r="W22" s="519" t="s">
        <v>585</v>
      </c>
      <c r="X22" s="520">
        <v>44629.0</v>
      </c>
      <c r="Y22" s="521">
        <v>9.94</v>
      </c>
      <c r="Z22" s="522">
        <v>99400.0</v>
      </c>
    </row>
    <row r="23">
      <c r="A23" s="528"/>
      <c r="B23" s="528"/>
      <c r="C23" s="512">
        <f>I23/E131</f>
        <v>0.01366976045</v>
      </c>
      <c r="D23" s="529" t="s">
        <v>584</v>
      </c>
      <c r="E23" s="529" t="s">
        <v>585</v>
      </c>
      <c r="F23" s="530">
        <v>7.8</v>
      </c>
      <c r="G23" s="513">
        <v>10000.0</v>
      </c>
      <c r="H23" s="217">
        <f t="shared" si="1"/>
        <v>135700</v>
      </c>
      <c r="I23" s="514">
        <f t="shared" si="12"/>
        <v>156300</v>
      </c>
      <c r="J23" s="216">
        <v>13.57</v>
      </c>
      <c r="K23" s="515">
        <f>IFERROR(__xludf.DUMMYFUNCTION("GOOGLEFINANCE(E23,""changepct"")"),-2.19)</f>
        <v>-2.19</v>
      </c>
      <c r="L23" s="516">
        <f>IFERROR(__xludf.DUMMYFUNCTION("googlefinance(E23,""price"")"),15.63)</f>
        <v>15.63</v>
      </c>
      <c r="M23" s="216"/>
      <c r="N23" s="517">
        <f t="shared" si="2"/>
        <v>2.06</v>
      </c>
      <c r="O23" s="518">
        <f t="shared" si="13"/>
        <v>0.1518054532</v>
      </c>
      <c r="P23" s="514">
        <f t="shared" si="3"/>
        <v>20600</v>
      </c>
      <c r="Q23" s="538"/>
      <c r="R23" s="217"/>
      <c r="S23" s="519"/>
      <c r="T23" s="520"/>
      <c r="U23" s="521"/>
      <c r="V23" s="522"/>
      <c r="W23" s="519" t="s">
        <v>585</v>
      </c>
      <c r="X23" s="520">
        <v>44580.0</v>
      </c>
      <c r="Y23" s="521">
        <v>13.57</v>
      </c>
      <c r="Z23" s="522">
        <v>135700.0</v>
      </c>
    </row>
    <row r="24">
      <c r="A24" s="528"/>
      <c r="B24" s="528"/>
      <c r="C24" s="512">
        <f>I24/E131</f>
        <v>0.01977436237</v>
      </c>
      <c r="D24" s="529" t="s">
        <v>483</v>
      </c>
      <c r="E24" s="529" t="s">
        <v>484</v>
      </c>
      <c r="F24" s="530">
        <v>8.1</v>
      </c>
      <c r="G24" s="513">
        <v>10000.0</v>
      </c>
      <c r="H24" s="217">
        <f t="shared" si="1"/>
        <v>246000</v>
      </c>
      <c r="I24" s="514">
        <f t="shared" si="12"/>
        <v>226100</v>
      </c>
      <c r="J24" s="216">
        <v>24.6</v>
      </c>
      <c r="K24" s="515">
        <f>IFERROR(__xludf.DUMMYFUNCTION("GOOGLEFINANCE(E24,""changepct"")"),-1.09)</f>
        <v>-1.09</v>
      </c>
      <c r="L24" s="516">
        <f>IFERROR(__xludf.DUMMYFUNCTION("googlefinance(E24,""price"")"),22.61)</f>
        <v>22.61</v>
      </c>
      <c r="M24" s="216"/>
      <c r="N24" s="517">
        <f t="shared" si="2"/>
        <v>-1.99</v>
      </c>
      <c r="O24" s="518">
        <f t="shared" si="13"/>
        <v>-0.08089430894</v>
      </c>
      <c r="P24" s="514">
        <f t="shared" si="3"/>
        <v>-19900</v>
      </c>
      <c r="Q24" s="538">
        <v>0.082</v>
      </c>
      <c r="R24" s="217">
        <v>4720.0</v>
      </c>
      <c r="S24" s="519"/>
      <c r="T24" s="520"/>
      <c r="U24" s="521"/>
      <c r="V24" s="522"/>
      <c r="W24" s="519"/>
      <c r="X24" s="520"/>
      <c r="Y24" s="521"/>
      <c r="Z24" s="522"/>
    </row>
    <row r="25">
      <c r="A25" s="528"/>
      <c r="B25" s="528"/>
      <c r="C25" s="512">
        <f>I25/E131</f>
        <v>0.00762707914</v>
      </c>
      <c r="D25" s="529" t="s">
        <v>337</v>
      </c>
      <c r="E25" s="529" t="s">
        <v>338</v>
      </c>
      <c r="F25" s="530">
        <v>8.2</v>
      </c>
      <c r="G25" s="513">
        <v>4400.0</v>
      </c>
      <c r="H25" s="217">
        <f t="shared" si="1"/>
        <v>226600</v>
      </c>
      <c r="I25" s="514">
        <f t="shared" si="12"/>
        <v>87208</v>
      </c>
      <c r="J25" s="216">
        <v>51.5</v>
      </c>
      <c r="K25" s="515">
        <f>IFERROR(__xludf.DUMMYFUNCTION("GOOGLEFINANCE(E25,""changepct"")"),-2.36)</f>
        <v>-2.36</v>
      </c>
      <c r="L25" s="516">
        <f>IFERROR(__xludf.DUMMYFUNCTION("googlefinance(E25,""price"")"),19.82)</f>
        <v>19.82</v>
      </c>
      <c r="M25" s="216"/>
      <c r="N25" s="517">
        <f t="shared" si="2"/>
        <v>-31.68</v>
      </c>
      <c r="O25" s="518">
        <f t="shared" si="13"/>
        <v>-0.6151456311</v>
      </c>
      <c r="P25" s="514">
        <f t="shared" si="3"/>
        <v>-139392</v>
      </c>
      <c r="Q25" s="538">
        <v>0.027</v>
      </c>
      <c r="R25" s="217">
        <v>1485.0</v>
      </c>
      <c r="S25" s="519"/>
      <c r="T25" s="520"/>
      <c r="U25" s="521"/>
      <c r="V25" s="522"/>
      <c r="W25" s="519"/>
      <c r="X25" s="520"/>
      <c r="Y25" s="521"/>
      <c r="Z25" s="522"/>
    </row>
    <row r="26">
      <c r="A26" s="13"/>
      <c r="B26" s="13"/>
      <c r="C26" s="13"/>
      <c r="D26" s="13"/>
      <c r="E26" s="13"/>
      <c r="F26" s="13"/>
      <c r="G26" s="509"/>
      <c r="H26" s="509">
        <f t="shared" ref="H26:I26" si="14">SUM(H3:H25)</f>
        <v>3510529.5</v>
      </c>
      <c r="I26" s="539">
        <f t="shared" si="14"/>
        <v>2469042.5</v>
      </c>
      <c r="J26" s="506"/>
      <c r="K26" s="506"/>
      <c r="L26" s="506"/>
      <c r="M26" s="507"/>
      <c r="N26" s="507"/>
      <c r="O26" s="540">
        <f>P26/H26</f>
        <v>-0.007666934575</v>
      </c>
      <c r="P26" s="625">
        <v>-26915.0</v>
      </c>
      <c r="Q26" s="541"/>
      <c r="R26" s="193">
        <f>SUM(R3:R25)</f>
        <v>6205</v>
      </c>
      <c r="S26" s="510" t="s">
        <v>89</v>
      </c>
      <c r="T26" s="542"/>
      <c r="U26" s="543"/>
      <c r="V26" s="544">
        <f>SUM(V3:V25)</f>
        <v>1528407</v>
      </c>
      <c r="W26" s="510" t="s">
        <v>89</v>
      </c>
      <c r="X26" s="542"/>
      <c r="Y26" s="543"/>
      <c r="Z26" s="544">
        <f>SUM(Z3:Z25)</f>
        <v>2180683</v>
      </c>
    </row>
    <row r="27">
      <c r="A27" s="173"/>
      <c r="B27" s="504" t="s">
        <v>342</v>
      </c>
      <c r="C27" s="504" t="s">
        <v>2</v>
      </c>
      <c r="D27" s="545" t="s">
        <v>3</v>
      </c>
      <c r="E27" s="545" t="s">
        <v>4</v>
      </c>
      <c r="F27" s="546" t="s">
        <v>5</v>
      </c>
      <c r="G27" s="547" t="s">
        <v>6</v>
      </c>
      <c r="H27" s="504" t="s">
        <v>7</v>
      </c>
      <c r="I27" s="505" t="s">
        <v>8</v>
      </c>
      <c r="J27" s="505" t="s">
        <v>9</v>
      </c>
      <c r="K27" s="548" t="s">
        <v>10</v>
      </c>
      <c r="L27" s="548" t="s">
        <v>11</v>
      </c>
      <c r="M27" s="548" t="s">
        <v>476</v>
      </c>
      <c r="N27" s="549" t="s">
        <v>13</v>
      </c>
      <c r="O27" s="504" t="s">
        <v>14</v>
      </c>
      <c r="P27" s="508" t="s">
        <v>15</v>
      </c>
      <c r="Q27" s="550" t="s">
        <v>16</v>
      </c>
      <c r="R27" s="551" t="s">
        <v>17</v>
      </c>
      <c r="S27" s="546" t="s">
        <v>21</v>
      </c>
      <c r="T27" s="552" t="s">
        <v>22</v>
      </c>
      <c r="U27" s="553" t="s">
        <v>23</v>
      </c>
      <c r="V27" s="553" t="s">
        <v>24</v>
      </c>
      <c r="W27" s="545" t="s">
        <v>25</v>
      </c>
      <c r="X27" s="545" t="s">
        <v>26</v>
      </c>
      <c r="Y27" s="553" t="s">
        <v>27</v>
      </c>
      <c r="Z27" s="551" t="s">
        <v>28</v>
      </c>
    </row>
    <row r="28">
      <c r="A28" s="502" t="s">
        <v>29</v>
      </c>
      <c r="B28" s="321">
        <f>I35/E131</f>
        <v>0.05538981688</v>
      </c>
      <c r="C28" s="512">
        <f>I28/E131</f>
        <v>0.008829458325</v>
      </c>
      <c r="D28" s="344" t="s">
        <v>346</v>
      </c>
      <c r="E28" s="344" t="s">
        <v>347</v>
      </c>
      <c r="F28" s="195">
        <v>8.0</v>
      </c>
      <c r="G28" s="513">
        <v>1200.0</v>
      </c>
      <c r="H28" s="217">
        <f t="shared" ref="H28:H34" si="15">G28*J28</f>
        <v>139404</v>
      </c>
      <c r="I28" s="514">
        <f t="shared" ref="I28:I34" si="16">H28+P28</f>
        <v>100956</v>
      </c>
      <c r="J28" s="216">
        <v>116.17</v>
      </c>
      <c r="K28" s="515">
        <f>IFERROR(__xludf.DUMMYFUNCTION("GOOGLEFINANCE(E28,""changepct"")"),-1.09)</f>
        <v>-1.09</v>
      </c>
      <c r="L28" s="516">
        <f>IFERROR(__xludf.DUMMYFUNCTION("googlefinance(E28,""price"")"),84.13)</f>
        <v>84.13</v>
      </c>
      <c r="M28" s="216"/>
      <c r="N28" s="517">
        <f t="shared" ref="N28:N34" si="17">L28-J28</f>
        <v>-32.04</v>
      </c>
      <c r="O28" s="518">
        <f t="shared" ref="O28:O34" si="18">L28/J28-1</f>
        <v>-0.2758027029</v>
      </c>
      <c r="P28" s="514">
        <f t="shared" ref="P28:P34" si="19">H28*O28</f>
        <v>-38448</v>
      </c>
      <c r="Q28" s="14"/>
      <c r="R28" s="19"/>
      <c r="S28" s="626"/>
      <c r="T28" s="627"/>
      <c r="U28" s="628"/>
      <c r="V28" s="629"/>
      <c r="W28" s="630"/>
      <c r="X28" s="630"/>
      <c r="Y28" s="628"/>
      <c r="Z28" s="629"/>
    </row>
    <row r="29">
      <c r="A29" s="528"/>
      <c r="B29" s="38"/>
      <c r="C29" s="512">
        <f>I29/E131</f>
        <v>0.008829458325</v>
      </c>
      <c r="D29" s="344" t="s">
        <v>346</v>
      </c>
      <c r="E29" s="344" t="s">
        <v>347</v>
      </c>
      <c r="F29" s="195">
        <v>8.0</v>
      </c>
      <c r="G29" s="513">
        <v>1200.0</v>
      </c>
      <c r="H29" s="217">
        <f t="shared" si="15"/>
        <v>148824</v>
      </c>
      <c r="I29" s="514">
        <f t="shared" si="16"/>
        <v>100956</v>
      </c>
      <c r="J29" s="216">
        <v>124.02</v>
      </c>
      <c r="K29" s="515">
        <f>IFERROR(__xludf.DUMMYFUNCTION("GOOGLEFINANCE(E29,""changepct"")"),-1.09)</f>
        <v>-1.09</v>
      </c>
      <c r="L29" s="516">
        <f>IFERROR(__xludf.DUMMYFUNCTION("googlefinance(E29,""price"")"),84.13)</f>
        <v>84.13</v>
      </c>
      <c r="M29" s="517"/>
      <c r="N29" s="517">
        <f t="shared" si="17"/>
        <v>-39.89</v>
      </c>
      <c r="O29" s="518">
        <f t="shared" si="18"/>
        <v>-0.3216416707</v>
      </c>
      <c r="P29" s="514">
        <f t="shared" si="19"/>
        <v>-47868</v>
      </c>
      <c r="Q29" s="34"/>
      <c r="R29" s="29"/>
      <c r="S29" s="555"/>
      <c r="T29" s="556"/>
      <c r="U29" s="557"/>
      <c r="V29" s="558"/>
      <c r="W29" s="555" t="s">
        <v>347</v>
      </c>
      <c r="X29" s="556">
        <v>44567.0</v>
      </c>
      <c r="Y29" s="557">
        <v>124.02</v>
      </c>
      <c r="Z29" s="558">
        <v>148824.0</v>
      </c>
    </row>
    <row r="30">
      <c r="A30" s="528"/>
      <c r="B30" s="38"/>
      <c r="C30" s="512">
        <f>I30/E131</f>
        <v>0.00367544263</v>
      </c>
      <c r="D30" s="344" t="s">
        <v>530</v>
      </c>
      <c r="E30" s="344" t="s">
        <v>34</v>
      </c>
      <c r="F30" s="195">
        <v>8.2</v>
      </c>
      <c r="G30" s="513">
        <v>500.0</v>
      </c>
      <c r="H30" s="217">
        <f t="shared" si="15"/>
        <v>76560</v>
      </c>
      <c r="I30" s="514">
        <f t="shared" si="16"/>
        <v>42025</v>
      </c>
      <c r="J30" s="216">
        <v>153.12</v>
      </c>
      <c r="K30" s="515">
        <f>IFERROR(__xludf.DUMMYFUNCTION("GOOGLEFINANCE(E30,""changepct"")"),-2.94)</f>
        <v>-2.94</v>
      </c>
      <c r="L30" s="516">
        <f>IFERROR(__xludf.DUMMYFUNCTION("googlefinance(E30,""price"")"),84.05)</f>
        <v>84.05</v>
      </c>
      <c r="M30" s="517"/>
      <c r="N30" s="517">
        <f t="shared" si="17"/>
        <v>-69.07</v>
      </c>
      <c r="O30" s="518">
        <f t="shared" si="18"/>
        <v>-0.451084117</v>
      </c>
      <c r="P30" s="514">
        <f t="shared" si="19"/>
        <v>-34535</v>
      </c>
      <c r="Q30" s="34"/>
      <c r="R30" s="29"/>
      <c r="S30" s="555"/>
      <c r="T30" s="556"/>
      <c r="U30" s="557"/>
      <c r="V30" s="558"/>
      <c r="W30" s="555" t="s">
        <v>34</v>
      </c>
      <c r="X30" s="556">
        <v>44568.0</v>
      </c>
      <c r="Y30" s="557">
        <v>153.12</v>
      </c>
      <c r="Z30" s="558">
        <v>76560.0</v>
      </c>
    </row>
    <row r="31">
      <c r="A31" s="528"/>
      <c r="B31" s="38"/>
      <c r="C31" s="512">
        <f>I31/E131</f>
        <v>0.007350885259</v>
      </c>
      <c r="D31" s="344" t="s">
        <v>530</v>
      </c>
      <c r="E31" s="344" t="s">
        <v>34</v>
      </c>
      <c r="F31" s="195">
        <v>8.2</v>
      </c>
      <c r="G31" s="513">
        <v>1000.0</v>
      </c>
      <c r="H31" s="217">
        <f t="shared" si="15"/>
        <v>145410</v>
      </c>
      <c r="I31" s="514">
        <f t="shared" si="16"/>
        <v>84050</v>
      </c>
      <c r="J31" s="216">
        <v>145.41</v>
      </c>
      <c r="K31" s="515">
        <f>IFERROR(__xludf.DUMMYFUNCTION("GOOGLEFINANCE(E31,""changepct"")"),-2.94)</f>
        <v>-2.94</v>
      </c>
      <c r="L31" s="516">
        <f>IFERROR(__xludf.DUMMYFUNCTION("googlefinance(E31,""price"")"),84.05)</f>
        <v>84.05</v>
      </c>
      <c r="M31" s="517"/>
      <c r="N31" s="517">
        <f t="shared" si="17"/>
        <v>-61.36</v>
      </c>
      <c r="O31" s="518">
        <f t="shared" si="18"/>
        <v>-0.4219792311</v>
      </c>
      <c r="P31" s="514">
        <f t="shared" si="19"/>
        <v>-61360</v>
      </c>
      <c r="Q31" s="34"/>
      <c r="R31" s="29"/>
      <c r="S31" s="555"/>
      <c r="T31" s="556"/>
      <c r="U31" s="557"/>
      <c r="V31" s="558"/>
      <c r="W31" s="559"/>
      <c r="X31" s="560"/>
      <c r="Y31" s="561"/>
      <c r="Z31" s="562"/>
    </row>
    <row r="32">
      <c r="A32" s="528"/>
      <c r="B32" s="38"/>
      <c r="C32" s="512">
        <f>I32/E131</f>
        <v>0.00851845597</v>
      </c>
      <c r="D32" s="529" t="s">
        <v>651</v>
      </c>
      <c r="E32" s="529" t="s">
        <v>652</v>
      </c>
      <c r="F32" s="530">
        <v>7.0</v>
      </c>
      <c r="G32" s="513">
        <v>10000.0</v>
      </c>
      <c r="H32" s="217">
        <f t="shared" si="15"/>
        <v>43900</v>
      </c>
      <c r="I32" s="514">
        <f t="shared" si="16"/>
        <v>97400</v>
      </c>
      <c r="J32" s="216">
        <v>4.39</v>
      </c>
      <c r="K32" s="515">
        <f>IFERROR(__xludf.DUMMYFUNCTION("GOOGLEFINANCE(E32,""changepct"")"),13.39)</f>
        <v>13.39</v>
      </c>
      <c r="L32" s="516">
        <f>IFERROR(__xludf.DUMMYFUNCTION("googlefinance(E32,""price"")"),9.74)</f>
        <v>9.74</v>
      </c>
      <c r="M32" s="216"/>
      <c r="N32" s="517">
        <f t="shared" si="17"/>
        <v>5.35</v>
      </c>
      <c r="O32" s="518">
        <f t="shared" si="18"/>
        <v>1.218678815</v>
      </c>
      <c r="P32" s="514">
        <f t="shared" si="19"/>
        <v>53500</v>
      </c>
      <c r="Q32" s="34"/>
      <c r="R32" s="29"/>
      <c r="S32" s="555"/>
      <c r="T32" s="556"/>
      <c r="U32" s="557"/>
      <c r="V32" s="558"/>
      <c r="W32" s="555" t="s">
        <v>652</v>
      </c>
      <c r="X32" s="556">
        <v>44568.0</v>
      </c>
      <c r="Y32" s="557">
        <v>4.39</v>
      </c>
      <c r="Z32" s="558">
        <v>43900.0</v>
      </c>
    </row>
    <row r="33">
      <c r="A33" s="528"/>
      <c r="B33" s="38"/>
      <c r="C33" s="512">
        <f>I33/E131</f>
        <v>0.01703691194</v>
      </c>
      <c r="D33" s="529" t="s">
        <v>651</v>
      </c>
      <c r="E33" s="529" t="s">
        <v>652</v>
      </c>
      <c r="F33" s="530">
        <v>7.0</v>
      </c>
      <c r="G33" s="513">
        <v>20000.0</v>
      </c>
      <c r="H33" s="217">
        <f t="shared" si="15"/>
        <v>91400</v>
      </c>
      <c r="I33" s="514">
        <f t="shared" si="16"/>
        <v>194800</v>
      </c>
      <c r="J33" s="216">
        <v>4.57</v>
      </c>
      <c r="K33" s="515">
        <f>IFERROR(__xludf.DUMMYFUNCTION("GOOGLEFINANCE(E33,""changepct"")"),13.39)</f>
        <v>13.39</v>
      </c>
      <c r="L33" s="516">
        <f>IFERROR(__xludf.DUMMYFUNCTION("googlefinance(E33,""price"")"),9.74)</f>
        <v>9.74</v>
      </c>
      <c r="M33" s="216"/>
      <c r="N33" s="517">
        <f t="shared" si="17"/>
        <v>5.17</v>
      </c>
      <c r="O33" s="518">
        <f t="shared" si="18"/>
        <v>1.131291028</v>
      </c>
      <c r="P33" s="514">
        <f t="shared" si="19"/>
        <v>103400</v>
      </c>
      <c r="Q33" s="512"/>
      <c r="R33" s="29"/>
      <c r="S33" s="555"/>
      <c r="T33" s="556"/>
      <c r="U33" s="557"/>
      <c r="V33" s="558"/>
      <c r="W33" s="555"/>
      <c r="X33" s="556"/>
      <c r="Y33" s="557"/>
      <c r="Z33" s="558"/>
    </row>
    <row r="34">
      <c r="A34" s="528"/>
      <c r="B34" s="38"/>
      <c r="C34" s="512">
        <f>I34/E131</f>
        <v>0.00114920443</v>
      </c>
      <c r="D34" s="563" t="s">
        <v>490</v>
      </c>
      <c r="E34" s="563" t="s">
        <v>349</v>
      </c>
      <c r="F34" s="530">
        <v>7.5</v>
      </c>
      <c r="G34" s="513">
        <v>3000.0</v>
      </c>
      <c r="H34" s="217">
        <f t="shared" si="15"/>
        <v>95040</v>
      </c>
      <c r="I34" s="514">
        <f t="shared" si="16"/>
        <v>13140</v>
      </c>
      <c r="J34" s="216">
        <v>31.68</v>
      </c>
      <c r="K34" s="515">
        <f>IFERROR(__xludf.DUMMYFUNCTION("GOOGLEFINANCE(E34,""changepct"")"),-2.23)</f>
        <v>-2.23</v>
      </c>
      <c r="L34" s="516">
        <f>IFERROR(__xludf.DUMMYFUNCTION("googlefinance(E34,""price"")"),4.38)</f>
        <v>4.38</v>
      </c>
      <c r="M34" s="216"/>
      <c r="N34" s="517">
        <f t="shared" si="17"/>
        <v>-27.3</v>
      </c>
      <c r="O34" s="518">
        <f t="shared" si="18"/>
        <v>-0.8617424242</v>
      </c>
      <c r="P34" s="514">
        <f t="shared" si="19"/>
        <v>-81900</v>
      </c>
      <c r="Q34" s="512"/>
      <c r="R34" s="514"/>
      <c r="S34" s="555"/>
      <c r="T34" s="556"/>
      <c r="U34" s="557"/>
      <c r="V34" s="558"/>
      <c r="W34" s="559"/>
      <c r="X34" s="560"/>
      <c r="Y34" s="561"/>
      <c r="Z34" s="562"/>
    </row>
    <row r="35">
      <c r="A35" s="13"/>
      <c r="B35" s="13"/>
      <c r="C35" s="13"/>
      <c r="D35" s="13"/>
      <c r="E35" s="13"/>
      <c r="F35" s="13"/>
      <c r="G35" s="564"/>
      <c r="H35" s="509">
        <f t="shared" ref="H35:I35" si="20">SUM(H28:H34)</f>
        <v>740538</v>
      </c>
      <c r="I35" s="539">
        <f t="shared" si="20"/>
        <v>633327</v>
      </c>
      <c r="J35" s="506"/>
      <c r="K35" s="506"/>
      <c r="L35" s="506"/>
      <c r="M35" s="507"/>
      <c r="N35" s="507"/>
      <c r="O35" s="540">
        <f>P35/H35</f>
        <v>-0.246331721</v>
      </c>
      <c r="P35" s="625">
        <v>-182418.0</v>
      </c>
      <c r="Q35" s="13"/>
      <c r="R35" s="509"/>
      <c r="S35" s="510" t="s">
        <v>89</v>
      </c>
      <c r="T35" s="542"/>
      <c r="U35" s="542"/>
      <c r="V35" s="544">
        <v>0.0</v>
      </c>
      <c r="W35" s="510" t="s">
        <v>89</v>
      </c>
      <c r="X35" s="542"/>
      <c r="Y35" s="543"/>
      <c r="Z35" s="544">
        <f>SUM(Z28:Z34)</f>
        <v>269284</v>
      </c>
    </row>
    <row r="36">
      <c r="A36" s="173"/>
      <c r="B36" s="504" t="s">
        <v>588</v>
      </c>
      <c r="C36" s="504" t="s">
        <v>2</v>
      </c>
      <c r="D36" s="13" t="s">
        <v>3</v>
      </c>
      <c r="E36" s="13" t="s">
        <v>4</v>
      </c>
      <c r="F36" s="13" t="s">
        <v>5</v>
      </c>
      <c r="G36" s="504" t="s">
        <v>6</v>
      </c>
      <c r="H36" s="504" t="s">
        <v>7</v>
      </c>
      <c r="I36" s="505" t="s">
        <v>8</v>
      </c>
      <c r="J36" s="505" t="s">
        <v>9</v>
      </c>
      <c r="K36" s="506" t="s">
        <v>10</v>
      </c>
      <c r="L36" s="506" t="s">
        <v>11</v>
      </c>
      <c r="M36" s="507" t="s">
        <v>476</v>
      </c>
      <c r="N36" s="507" t="s">
        <v>13</v>
      </c>
      <c r="O36" s="504" t="s">
        <v>14</v>
      </c>
      <c r="P36" s="508" t="s">
        <v>15</v>
      </c>
      <c r="Q36" s="13" t="s">
        <v>16</v>
      </c>
      <c r="R36" s="13" t="s">
        <v>17</v>
      </c>
      <c r="S36" s="510" t="s">
        <v>21</v>
      </c>
      <c r="T36" s="510" t="s">
        <v>22</v>
      </c>
      <c r="U36" s="511" t="s">
        <v>23</v>
      </c>
      <c r="V36" s="511" t="s">
        <v>24</v>
      </c>
      <c r="W36" s="510" t="s">
        <v>25</v>
      </c>
      <c r="X36" s="510" t="s">
        <v>26</v>
      </c>
      <c r="Y36" s="510" t="s">
        <v>27</v>
      </c>
      <c r="Z36" s="510" t="s">
        <v>28</v>
      </c>
    </row>
    <row r="37">
      <c r="A37" s="502" t="s">
        <v>29</v>
      </c>
      <c r="B37" s="527">
        <f>I46/E131</f>
        <v>0.07776790566</v>
      </c>
      <c r="C37" s="512">
        <f>I37/E131</f>
        <v>0.02253175333</v>
      </c>
      <c r="D37" s="344" t="s">
        <v>677</v>
      </c>
      <c r="E37" s="344" t="s">
        <v>315</v>
      </c>
      <c r="F37" s="569">
        <v>8.1</v>
      </c>
      <c r="G37" s="513">
        <v>2800.0</v>
      </c>
      <c r="H37" s="217">
        <f t="shared" ref="H37:H45" si="21">J37*G37</f>
        <v>201208</v>
      </c>
      <c r="I37" s="514">
        <f t="shared" ref="I37:I39" si="22">H37+P37</f>
        <v>257628</v>
      </c>
      <c r="J37" s="216">
        <v>71.86</v>
      </c>
      <c r="K37" s="568">
        <f>IFERROR(__xludf.DUMMYFUNCTION("GOOGLEFINANCE(E37,""changepct"")"),-2.23)</f>
        <v>-2.23</v>
      </c>
      <c r="L37" s="516">
        <f>IFERROR(__xludf.DUMMYFUNCTION("googlefinance(E37,""price"")"),92.01)</f>
        <v>92.01</v>
      </c>
      <c r="M37" s="517"/>
      <c r="N37" s="517">
        <f t="shared" ref="N37:N45" si="23">L37-J37</f>
        <v>20.15</v>
      </c>
      <c r="O37" s="518">
        <f t="shared" ref="O37:O39" si="24">L37/J37-1</f>
        <v>0.2804063457</v>
      </c>
      <c r="P37" s="495">
        <f t="shared" ref="P37:P45" si="25">H37*O37</f>
        <v>56420</v>
      </c>
      <c r="Q37" s="538">
        <v>0.043</v>
      </c>
      <c r="R37" s="217">
        <v>1790.0</v>
      </c>
      <c r="S37" s="523"/>
      <c r="T37" s="524"/>
      <c r="U37" s="525"/>
      <c r="V37" s="526"/>
      <c r="W37" s="523"/>
      <c r="X37" s="524"/>
      <c r="Y37" s="525"/>
      <c r="Z37" s="526"/>
    </row>
    <row r="38">
      <c r="A38" s="528"/>
      <c r="B38" s="528"/>
      <c r="C38" s="512">
        <f>I38/E131</f>
        <v>0.0006935457478</v>
      </c>
      <c r="D38" s="567" t="s">
        <v>653</v>
      </c>
      <c r="E38" s="104" t="s">
        <v>561</v>
      </c>
      <c r="F38" s="195">
        <v>7.1</v>
      </c>
      <c r="G38" s="513">
        <v>1000.0</v>
      </c>
      <c r="H38" s="217">
        <f t="shared" si="21"/>
        <v>126070</v>
      </c>
      <c r="I38" s="514">
        <f t="shared" si="22"/>
        <v>7930</v>
      </c>
      <c r="J38" s="216">
        <v>126.07</v>
      </c>
      <c r="K38" s="568">
        <f>IFERROR(__xludf.DUMMYFUNCTION("GOOGLEFINANCE(E38,""changepct"")"),-4.23)</f>
        <v>-4.23</v>
      </c>
      <c r="L38" s="516">
        <f>IFERROR(__xludf.DUMMYFUNCTION("googlefinance(E38,""price"")"),7.93)</f>
        <v>7.93</v>
      </c>
      <c r="M38" s="216"/>
      <c r="N38" s="517">
        <f t="shared" si="23"/>
        <v>-118.14</v>
      </c>
      <c r="O38" s="518">
        <f t="shared" si="24"/>
        <v>-0.9370984374</v>
      </c>
      <c r="P38" s="495">
        <f t="shared" si="25"/>
        <v>-118140</v>
      </c>
      <c r="Q38" s="512"/>
      <c r="R38" s="514"/>
      <c r="S38" s="519"/>
      <c r="T38" s="520"/>
      <c r="U38" s="521"/>
      <c r="V38" s="522"/>
      <c r="W38" s="519" t="s">
        <v>561</v>
      </c>
      <c r="X38" s="520">
        <v>44568.0</v>
      </c>
      <c r="Y38" s="521">
        <v>126.07</v>
      </c>
      <c r="Z38" s="522">
        <v>126070.0</v>
      </c>
    </row>
    <row r="39">
      <c r="A39" s="528"/>
      <c r="B39" s="528"/>
      <c r="C39" s="512">
        <f>I39/E131</f>
        <v>0.0006935457478</v>
      </c>
      <c r="D39" s="567" t="s">
        <v>653</v>
      </c>
      <c r="E39" s="104" t="s">
        <v>561</v>
      </c>
      <c r="F39" s="195">
        <v>7.1</v>
      </c>
      <c r="G39" s="513">
        <v>1000.0</v>
      </c>
      <c r="H39" s="217">
        <f t="shared" si="21"/>
        <v>67540</v>
      </c>
      <c r="I39" s="514">
        <f t="shared" si="22"/>
        <v>7930</v>
      </c>
      <c r="J39" s="216">
        <v>67.54</v>
      </c>
      <c r="K39" s="568">
        <f>IFERROR(__xludf.DUMMYFUNCTION("GOOGLEFINANCE(E39,""changepct"")"),-4.23)</f>
        <v>-4.23</v>
      </c>
      <c r="L39" s="516">
        <f>IFERROR(__xludf.DUMMYFUNCTION("googlefinance(E39,""price"")"),7.93)</f>
        <v>7.93</v>
      </c>
      <c r="M39" s="216"/>
      <c r="N39" s="517">
        <f t="shared" si="23"/>
        <v>-59.61</v>
      </c>
      <c r="O39" s="518">
        <f t="shared" si="24"/>
        <v>-0.8825880959</v>
      </c>
      <c r="P39" s="495">
        <f t="shared" si="25"/>
        <v>-59610</v>
      </c>
      <c r="Q39" s="512"/>
      <c r="R39" s="514"/>
      <c r="S39" s="519"/>
      <c r="T39" s="520"/>
      <c r="U39" s="521"/>
      <c r="V39" s="522"/>
      <c r="W39" s="519" t="s">
        <v>561</v>
      </c>
      <c r="X39" s="520">
        <v>44585.0</v>
      </c>
      <c r="Y39" s="521">
        <v>67.54</v>
      </c>
      <c r="Z39" s="522">
        <v>67540.0</v>
      </c>
    </row>
    <row r="40">
      <c r="A40" s="528"/>
      <c r="B40" s="528"/>
      <c r="C40" s="512">
        <f>I40/E131</f>
        <v>0</v>
      </c>
      <c r="D40" s="567" t="s">
        <v>653</v>
      </c>
      <c r="E40" s="104" t="s">
        <v>561</v>
      </c>
      <c r="F40" s="195">
        <v>7.1</v>
      </c>
      <c r="G40" s="513">
        <v>800.0</v>
      </c>
      <c r="H40" s="217">
        <f t="shared" si="21"/>
        <v>110208</v>
      </c>
      <c r="I40" s="217">
        <v>0.0</v>
      </c>
      <c r="J40" s="216">
        <v>137.76</v>
      </c>
      <c r="K40" s="568">
        <f>IFERROR(__xludf.DUMMYFUNCTION("GOOGLEFINANCE(E40,""changepct"")"),-4.23)</f>
        <v>-4.23</v>
      </c>
      <c r="L40" s="516">
        <f>IFERROR(__xludf.DUMMYFUNCTION("googlefinance(E40,""price"")"),7.93)</f>
        <v>7.93</v>
      </c>
      <c r="M40" s="216">
        <v>126.51</v>
      </c>
      <c r="N40" s="517">
        <f t="shared" si="23"/>
        <v>-129.83</v>
      </c>
      <c r="O40" s="518">
        <f t="shared" ref="O40:O41" si="26">M40/J40-1</f>
        <v>-0.08166376307</v>
      </c>
      <c r="P40" s="514">
        <f t="shared" si="25"/>
        <v>-9000</v>
      </c>
      <c r="Q40" s="512"/>
      <c r="R40" s="514"/>
      <c r="S40" s="519" t="s">
        <v>561</v>
      </c>
      <c r="T40" s="520">
        <v>44566.0</v>
      </c>
      <c r="U40" s="521">
        <v>126.51</v>
      </c>
      <c r="V40" s="522">
        <v>101208.0</v>
      </c>
      <c r="W40" s="519"/>
      <c r="X40" s="520"/>
      <c r="Y40" s="521"/>
      <c r="Z40" s="522"/>
    </row>
    <row r="41">
      <c r="A41" s="528"/>
      <c r="B41" s="528"/>
      <c r="C41" s="512">
        <f>I41/E131</f>
        <v>0</v>
      </c>
      <c r="D41" s="631" t="s">
        <v>654</v>
      </c>
      <c r="E41" s="344" t="s">
        <v>655</v>
      </c>
      <c r="F41" s="195">
        <v>7.0</v>
      </c>
      <c r="G41" s="513">
        <v>500.0</v>
      </c>
      <c r="H41" s="217">
        <f t="shared" si="21"/>
        <v>117860</v>
      </c>
      <c r="I41" s="217">
        <v>0.0</v>
      </c>
      <c r="J41" s="216">
        <v>235.72</v>
      </c>
      <c r="K41" s="568">
        <f>IFERROR(__xludf.DUMMYFUNCTION("GOOGLEFINANCE(E41,""changepct"")"),-1.87)</f>
        <v>-1.87</v>
      </c>
      <c r="L41" s="516">
        <f>IFERROR(__xludf.DUMMYFUNCTION("googlefinance(E41,""price"")"),39.38)</f>
        <v>39.38</v>
      </c>
      <c r="M41" s="216">
        <v>220.06</v>
      </c>
      <c r="N41" s="517">
        <f t="shared" si="23"/>
        <v>-196.34</v>
      </c>
      <c r="O41" s="518">
        <f t="shared" si="26"/>
        <v>-0.0664347531</v>
      </c>
      <c r="P41" s="514">
        <f t="shared" si="25"/>
        <v>-7830</v>
      </c>
      <c r="Q41" s="512"/>
      <c r="R41" s="514"/>
      <c r="S41" s="519" t="s">
        <v>655</v>
      </c>
      <c r="T41" s="520">
        <v>44566.0</v>
      </c>
      <c r="U41" s="521">
        <v>220.06</v>
      </c>
      <c r="V41" s="522">
        <v>110030.0</v>
      </c>
      <c r="W41" s="519"/>
      <c r="X41" s="520"/>
      <c r="Y41" s="521"/>
      <c r="Z41" s="522"/>
    </row>
    <row r="42">
      <c r="A42" s="528"/>
      <c r="B42" s="528"/>
      <c r="C42" s="512">
        <f>I42/E131</f>
        <v>0.003444114949</v>
      </c>
      <c r="D42" s="631" t="s">
        <v>654</v>
      </c>
      <c r="E42" s="344" t="s">
        <v>655</v>
      </c>
      <c r="F42" s="195">
        <v>7.0</v>
      </c>
      <c r="G42" s="513">
        <v>1000.0</v>
      </c>
      <c r="H42" s="217">
        <f t="shared" si="21"/>
        <v>178670</v>
      </c>
      <c r="I42" s="514">
        <f t="shared" ref="I42:I45" si="27">H42+P42</f>
        <v>39380</v>
      </c>
      <c r="J42" s="216">
        <v>178.67</v>
      </c>
      <c r="K42" s="568">
        <f>IFERROR(__xludf.DUMMYFUNCTION("GOOGLEFINANCE(E42,""changepct"")"),-1.87)</f>
        <v>-1.87</v>
      </c>
      <c r="L42" s="516">
        <f>IFERROR(__xludf.DUMMYFUNCTION("googlefinance(E42,""price"")"),39.38)</f>
        <v>39.38</v>
      </c>
      <c r="M42" s="216"/>
      <c r="N42" s="517">
        <f t="shared" si="23"/>
        <v>-139.29</v>
      </c>
      <c r="O42" s="518">
        <f t="shared" ref="O42:O45" si="28">L42/J42-1</f>
        <v>-0.7795936643</v>
      </c>
      <c r="P42" s="514">
        <f t="shared" si="25"/>
        <v>-139290</v>
      </c>
      <c r="Q42" s="538"/>
      <c r="R42" s="514"/>
      <c r="S42" s="519"/>
      <c r="T42" s="520"/>
      <c r="U42" s="521"/>
      <c r="V42" s="522"/>
      <c r="W42" s="519" t="s">
        <v>655</v>
      </c>
      <c r="X42" s="520">
        <v>44580.0</v>
      </c>
      <c r="Y42" s="521">
        <v>178.67</v>
      </c>
      <c r="Z42" s="522">
        <v>178670.0</v>
      </c>
    </row>
    <row r="43">
      <c r="A43" s="528"/>
      <c r="B43" s="528"/>
      <c r="C43" s="512">
        <f>I43/E131</f>
        <v>0.0147087672</v>
      </c>
      <c r="D43" s="567" t="s">
        <v>316</v>
      </c>
      <c r="E43" s="104" t="s">
        <v>317</v>
      </c>
      <c r="F43" s="195">
        <v>8.0</v>
      </c>
      <c r="G43" s="513">
        <v>3000.0</v>
      </c>
      <c r="H43" s="217">
        <f t="shared" si="21"/>
        <v>184680</v>
      </c>
      <c r="I43" s="514">
        <f t="shared" si="27"/>
        <v>168180</v>
      </c>
      <c r="J43" s="216">
        <v>61.56</v>
      </c>
      <c r="K43" s="568">
        <f>IFERROR(__xludf.DUMMYFUNCTION("GOOGLEFINANCE(E43,""changepct"")"),-2.81)</f>
        <v>-2.81</v>
      </c>
      <c r="L43" s="516">
        <f>IFERROR(__xludf.DUMMYFUNCTION("googlefinance(E43,""price"")"),56.06)</f>
        <v>56.06</v>
      </c>
      <c r="M43" s="216"/>
      <c r="N43" s="517">
        <f t="shared" si="23"/>
        <v>-5.5</v>
      </c>
      <c r="O43" s="518">
        <f t="shared" si="28"/>
        <v>-0.08934372969</v>
      </c>
      <c r="P43" s="514">
        <f t="shared" si="25"/>
        <v>-16500</v>
      </c>
      <c r="Q43" s="538">
        <v>0.035</v>
      </c>
      <c r="R43" s="217">
        <v>1920.0</v>
      </c>
      <c r="S43" s="519"/>
      <c r="T43" s="520"/>
      <c r="U43" s="521"/>
      <c r="V43" s="522"/>
      <c r="W43" s="519"/>
      <c r="X43" s="520"/>
      <c r="Y43" s="521"/>
      <c r="Z43" s="522"/>
    </row>
    <row r="44">
      <c r="A44" s="528"/>
      <c r="B44" s="528"/>
      <c r="C44" s="512">
        <f>I44/E131</f>
        <v>0.01849222105</v>
      </c>
      <c r="D44" s="567" t="s">
        <v>111</v>
      </c>
      <c r="E44" s="104" t="s">
        <v>112</v>
      </c>
      <c r="F44" s="195">
        <v>8.1</v>
      </c>
      <c r="G44" s="513">
        <v>1200.0</v>
      </c>
      <c r="H44" s="217">
        <f t="shared" si="21"/>
        <v>160584</v>
      </c>
      <c r="I44" s="514">
        <f t="shared" si="27"/>
        <v>211440</v>
      </c>
      <c r="J44" s="216">
        <v>133.82</v>
      </c>
      <c r="K44" s="568">
        <f>IFERROR(__xludf.DUMMYFUNCTION("GOOGLEFINANCE(E44,""changepct"")"),-1.02)</f>
        <v>-1.02</v>
      </c>
      <c r="L44" s="516">
        <f>IFERROR(__xludf.DUMMYFUNCTION("googlefinance(E44,""price"")"),176.2)</f>
        <v>176.2</v>
      </c>
      <c r="M44" s="216"/>
      <c r="N44" s="517">
        <f t="shared" si="23"/>
        <v>42.38</v>
      </c>
      <c r="O44" s="518">
        <f t="shared" si="28"/>
        <v>0.3166940667</v>
      </c>
      <c r="P44" s="514">
        <f t="shared" si="25"/>
        <v>50856</v>
      </c>
      <c r="Q44" s="538">
        <v>0.042</v>
      </c>
      <c r="R44" s="217">
        <v>2000.0</v>
      </c>
      <c r="S44" s="519"/>
      <c r="T44" s="520"/>
      <c r="U44" s="521"/>
      <c r="V44" s="522"/>
      <c r="W44" s="519"/>
      <c r="X44" s="520"/>
      <c r="Y44" s="521"/>
      <c r="Z44" s="522"/>
    </row>
    <row r="45">
      <c r="A45" s="528"/>
      <c r="B45" s="528"/>
      <c r="C45" s="512">
        <f>I45/E131</f>
        <v>0.01720395764</v>
      </c>
      <c r="D45" s="104" t="s">
        <v>591</v>
      </c>
      <c r="E45" s="104" t="s">
        <v>592</v>
      </c>
      <c r="F45" s="569">
        <v>8.0</v>
      </c>
      <c r="G45" s="513">
        <v>3000.0</v>
      </c>
      <c r="H45" s="217">
        <f t="shared" si="21"/>
        <v>173580</v>
      </c>
      <c r="I45" s="514">
        <f t="shared" si="27"/>
        <v>196710</v>
      </c>
      <c r="J45" s="216">
        <v>57.86</v>
      </c>
      <c r="K45" s="568">
        <f>IFERROR(__xludf.DUMMYFUNCTION("GOOGLEFINANCE(E45,""changepct"")"),-1.04)</f>
        <v>-1.04</v>
      </c>
      <c r="L45" s="516">
        <f>IFERROR(__xludf.DUMMYFUNCTION("googlefinance(E45,""price"")"),65.57)</f>
        <v>65.57</v>
      </c>
      <c r="M45" s="517"/>
      <c r="N45" s="517">
        <f t="shared" si="23"/>
        <v>7.71</v>
      </c>
      <c r="O45" s="518">
        <f t="shared" si="28"/>
        <v>0.1332526789</v>
      </c>
      <c r="P45" s="514">
        <f t="shared" si="25"/>
        <v>23130</v>
      </c>
      <c r="Q45" s="538">
        <v>0.024</v>
      </c>
      <c r="R45" s="217">
        <v>1194.0</v>
      </c>
      <c r="S45" s="523"/>
      <c r="T45" s="524"/>
      <c r="U45" s="525"/>
      <c r="V45" s="526"/>
      <c r="W45" s="519"/>
      <c r="X45" s="520"/>
      <c r="Y45" s="521"/>
      <c r="Z45" s="522"/>
    </row>
    <row r="46">
      <c r="A46" s="13"/>
      <c r="B46" s="13"/>
      <c r="C46" s="504" t="s">
        <v>89</v>
      </c>
      <c r="D46" s="13"/>
      <c r="E46" s="13"/>
      <c r="F46" s="13"/>
      <c r="G46" s="564"/>
      <c r="H46" s="509">
        <f t="shared" ref="H46:I46" si="29">SUM(H37:H45)</f>
        <v>1320400</v>
      </c>
      <c r="I46" s="539">
        <f t="shared" si="29"/>
        <v>889198</v>
      </c>
      <c r="J46" s="506"/>
      <c r="K46" s="506"/>
      <c r="L46" s="506"/>
      <c r="M46" s="507"/>
      <c r="N46" s="507"/>
      <c r="O46" s="540">
        <f>P46/H46</f>
        <v>-0.007952135716</v>
      </c>
      <c r="P46" s="625">
        <v>-10500.0</v>
      </c>
      <c r="Q46" s="13"/>
      <c r="R46" s="509">
        <f>SUM(R37:R45)</f>
        <v>6904</v>
      </c>
      <c r="S46" s="510" t="s">
        <v>89</v>
      </c>
      <c r="T46" s="542"/>
      <c r="U46" s="542"/>
      <c r="V46" s="544">
        <f>SUM(V37:V45)</f>
        <v>211238</v>
      </c>
      <c r="W46" s="510" t="s">
        <v>89</v>
      </c>
      <c r="X46" s="542"/>
      <c r="Y46" s="543"/>
      <c r="Z46" s="570">
        <f>SUM(Z37:Z45)</f>
        <v>372280</v>
      </c>
    </row>
    <row r="47">
      <c r="A47" s="173"/>
      <c r="B47" s="504" t="s">
        <v>656</v>
      </c>
      <c r="C47" s="504" t="s">
        <v>2</v>
      </c>
      <c r="D47" s="13" t="s">
        <v>3</v>
      </c>
      <c r="E47" s="13" t="s">
        <v>4</v>
      </c>
      <c r="F47" s="13" t="s">
        <v>5</v>
      </c>
      <c r="G47" s="504" t="s">
        <v>6</v>
      </c>
      <c r="H47" s="504" t="s">
        <v>7</v>
      </c>
      <c r="I47" s="505" t="s">
        <v>8</v>
      </c>
      <c r="J47" s="505" t="s">
        <v>9</v>
      </c>
      <c r="K47" s="506" t="s">
        <v>10</v>
      </c>
      <c r="L47" s="506" t="s">
        <v>11</v>
      </c>
      <c r="M47" s="507" t="s">
        <v>476</v>
      </c>
      <c r="N47" s="507" t="s">
        <v>13</v>
      </c>
      <c r="O47" s="504" t="s">
        <v>14</v>
      </c>
      <c r="P47" s="508" t="s">
        <v>15</v>
      </c>
      <c r="Q47" s="13" t="s">
        <v>16</v>
      </c>
      <c r="R47" s="13" t="s">
        <v>17</v>
      </c>
      <c r="S47" s="510" t="s">
        <v>21</v>
      </c>
      <c r="T47" s="510" t="s">
        <v>22</v>
      </c>
      <c r="U47" s="511" t="s">
        <v>23</v>
      </c>
      <c r="V47" s="511" t="s">
        <v>24</v>
      </c>
      <c r="W47" s="510" t="s">
        <v>25</v>
      </c>
      <c r="X47" s="510" t="s">
        <v>26</v>
      </c>
      <c r="Y47" s="510" t="s">
        <v>27</v>
      </c>
      <c r="Z47" s="510" t="s">
        <v>28</v>
      </c>
    </row>
    <row r="48">
      <c r="A48" s="502" t="s">
        <v>29</v>
      </c>
      <c r="B48" s="527">
        <f>I55/E131</f>
        <v>0.07885278438</v>
      </c>
      <c r="C48" s="512">
        <f>I48/E131</f>
        <v>0</v>
      </c>
      <c r="D48" s="344" t="s">
        <v>678</v>
      </c>
      <c r="E48" s="344" t="s">
        <v>679</v>
      </c>
      <c r="F48" s="195">
        <v>7.0</v>
      </c>
      <c r="G48" s="513">
        <v>1500.0</v>
      </c>
      <c r="H48" s="217">
        <f t="shared" ref="H48:H54" si="30">J48*G48</f>
        <v>99750</v>
      </c>
      <c r="I48" s="217">
        <v>0.0</v>
      </c>
      <c r="J48" s="216">
        <v>66.5</v>
      </c>
      <c r="K48" s="515">
        <f>IFERROR(__xludf.DUMMYFUNCTION("GOOGLEFINANCE(E48,""changepct"")"),-1.57)</f>
        <v>-1.57</v>
      </c>
      <c r="L48" s="517">
        <f>IFERROR(__xludf.DUMMYFUNCTION("googlefinance(E48,""price"")"),26.26)</f>
        <v>26.26</v>
      </c>
      <c r="M48" s="216">
        <v>62.39</v>
      </c>
      <c r="N48" s="517">
        <f t="shared" ref="N48:N54" si="31">L48-J48</f>
        <v>-40.24</v>
      </c>
      <c r="O48" s="518">
        <f t="shared" ref="O48:O49" si="32">M48/J48-1</f>
        <v>-0.06180451128</v>
      </c>
      <c r="P48" s="514">
        <f t="shared" ref="P48:P54" si="33">H48*O48</f>
        <v>-6165</v>
      </c>
      <c r="Q48" s="538"/>
      <c r="R48" s="514"/>
      <c r="S48" s="519" t="s">
        <v>679</v>
      </c>
      <c r="T48" s="520">
        <v>44566.0</v>
      </c>
      <c r="U48" s="521">
        <v>62.39</v>
      </c>
      <c r="V48" s="522">
        <v>93585.0</v>
      </c>
      <c r="W48" s="523"/>
      <c r="X48" s="524"/>
      <c r="Y48" s="525"/>
      <c r="Z48" s="526"/>
    </row>
    <row r="49">
      <c r="A49" s="528"/>
      <c r="B49" s="528"/>
      <c r="C49" s="512">
        <f>I49/E131</f>
        <v>0</v>
      </c>
      <c r="D49" s="567" t="s">
        <v>495</v>
      </c>
      <c r="E49" s="567" t="s">
        <v>496</v>
      </c>
      <c r="F49" s="195">
        <v>7.7</v>
      </c>
      <c r="G49" s="513">
        <v>5000.0</v>
      </c>
      <c r="H49" s="217">
        <f t="shared" si="30"/>
        <v>144900</v>
      </c>
      <c r="I49" s="217">
        <v>0.0</v>
      </c>
      <c r="J49" s="216">
        <v>28.98</v>
      </c>
      <c r="K49" s="515">
        <f>IFERROR(__xludf.DUMMYFUNCTION("GOOGLEFINANCE(E49,""changepct"")"),-0.21)</f>
        <v>-0.21</v>
      </c>
      <c r="L49" s="517">
        <f>IFERROR(__xludf.DUMMYFUNCTION("googlefinance(E49,""price"")"),48.46)</f>
        <v>48.46</v>
      </c>
      <c r="M49" s="216">
        <v>32.71</v>
      </c>
      <c r="N49" s="517">
        <f t="shared" si="31"/>
        <v>19.48</v>
      </c>
      <c r="O49" s="518">
        <f t="shared" si="32"/>
        <v>0.1287094548</v>
      </c>
      <c r="P49" s="514">
        <f t="shared" si="33"/>
        <v>18650</v>
      </c>
      <c r="Q49" s="538"/>
      <c r="R49" s="217"/>
      <c r="S49" s="519" t="s">
        <v>496</v>
      </c>
      <c r="T49" s="520">
        <v>44566.0</v>
      </c>
      <c r="U49" s="521">
        <v>32.71</v>
      </c>
      <c r="V49" s="522">
        <v>163550.0</v>
      </c>
      <c r="W49" s="519"/>
      <c r="X49" s="520"/>
      <c r="Y49" s="521"/>
      <c r="Z49" s="522"/>
    </row>
    <row r="50">
      <c r="A50" s="528"/>
      <c r="B50" s="528"/>
      <c r="C50" s="512">
        <f>I50/E131</f>
        <v>0.0235331092</v>
      </c>
      <c r="D50" s="567" t="s">
        <v>566</v>
      </c>
      <c r="E50" s="567" t="s">
        <v>567</v>
      </c>
      <c r="F50" s="195">
        <v>8.1</v>
      </c>
      <c r="G50" s="513">
        <v>2250.0</v>
      </c>
      <c r="H50" s="217">
        <f t="shared" si="30"/>
        <v>168975</v>
      </c>
      <c r="I50" s="217">
        <f t="shared" ref="I50:I53" si="34">H50+P50</f>
        <v>269077.5</v>
      </c>
      <c r="J50" s="216">
        <v>75.1</v>
      </c>
      <c r="K50" s="515">
        <f>IFERROR(__xludf.DUMMYFUNCTION("GOOGLEFINANCE(E50,""changepct"")"),0.01)</f>
        <v>0.01</v>
      </c>
      <c r="L50" s="517">
        <f>IFERROR(__xludf.DUMMYFUNCTION("googlefinance(E50,""price"")"),119.59)</f>
        <v>119.59</v>
      </c>
      <c r="M50" s="216"/>
      <c r="N50" s="517">
        <f t="shared" si="31"/>
        <v>44.49</v>
      </c>
      <c r="O50" s="518">
        <f t="shared" ref="O50:O53" si="35">L50/J50-1</f>
        <v>0.5924101198</v>
      </c>
      <c r="P50" s="514">
        <f t="shared" si="33"/>
        <v>100102.5</v>
      </c>
      <c r="Q50" s="538">
        <v>0.055</v>
      </c>
      <c r="R50" s="217">
        <v>3135.0</v>
      </c>
      <c r="S50" s="519"/>
      <c r="T50" s="520"/>
      <c r="U50" s="521"/>
      <c r="V50" s="522"/>
      <c r="W50" s="519"/>
      <c r="X50" s="520"/>
      <c r="Y50" s="521"/>
      <c r="Z50" s="522"/>
    </row>
    <row r="51">
      <c r="A51" s="528"/>
      <c r="B51" s="528"/>
      <c r="C51" s="512">
        <f>I51/E131</f>
        <v>0.01269022547</v>
      </c>
      <c r="D51" s="567" t="s">
        <v>657</v>
      </c>
      <c r="E51" s="567" t="s">
        <v>309</v>
      </c>
      <c r="F51" s="195">
        <v>8.0</v>
      </c>
      <c r="G51" s="513">
        <v>10000.0</v>
      </c>
      <c r="H51" s="217">
        <f t="shared" si="30"/>
        <v>135500</v>
      </c>
      <c r="I51" s="217">
        <f t="shared" si="34"/>
        <v>145100</v>
      </c>
      <c r="J51" s="216">
        <v>13.55</v>
      </c>
      <c r="K51" s="515">
        <f>IFERROR(__xludf.DUMMYFUNCTION("GOOGLEFINANCE(E51,""changepct"")"),0.28)</f>
        <v>0.28</v>
      </c>
      <c r="L51" s="517">
        <f>IFERROR(__xludf.DUMMYFUNCTION("googlefinance(E51,""price"")"),14.51)</f>
        <v>14.51</v>
      </c>
      <c r="M51" s="216"/>
      <c r="N51" s="517">
        <f t="shared" si="31"/>
        <v>0.96</v>
      </c>
      <c r="O51" s="518">
        <f t="shared" si="35"/>
        <v>0.07084870849</v>
      </c>
      <c r="P51" s="514">
        <f t="shared" si="33"/>
        <v>9600</v>
      </c>
      <c r="Q51" s="538">
        <v>0.014</v>
      </c>
      <c r="R51" s="217">
        <v>665.0</v>
      </c>
      <c r="S51" s="519"/>
      <c r="T51" s="520"/>
      <c r="U51" s="521"/>
      <c r="V51" s="522"/>
      <c r="W51" s="519"/>
      <c r="X51" s="520"/>
      <c r="Y51" s="521"/>
      <c r="Z51" s="522"/>
    </row>
    <row r="52">
      <c r="A52" s="528"/>
      <c r="B52" s="528"/>
      <c r="C52" s="512">
        <f>I52/E131</f>
        <v>0.02774882659</v>
      </c>
      <c r="D52" s="567" t="s">
        <v>491</v>
      </c>
      <c r="E52" s="567" t="s">
        <v>492</v>
      </c>
      <c r="F52" s="195">
        <v>8.2</v>
      </c>
      <c r="G52" s="513">
        <v>3000.0</v>
      </c>
      <c r="H52" s="217">
        <f t="shared" si="30"/>
        <v>183570</v>
      </c>
      <c r="I52" s="217">
        <f t="shared" si="34"/>
        <v>317280</v>
      </c>
      <c r="J52" s="216">
        <v>61.19</v>
      </c>
      <c r="K52" s="515">
        <f>IFERROR(__xludf.DUMMYFUNCTION("GOOGLEFINANCE(E52,""changepct"")"),-0.68)</f>
        <v>-0.68</v>
      </c>
      <c r="L52" s="517">
        <f>IFERROR(__xludf.DUMMYFUNCTION("googlefinance(E52,""price"")"),105.76)</f>
        <v>105.76</v>
      </c>
      <c r="M52" s="216"/>
      <c r="N52" s="517">
        <f t="shared" si="31"/>
        <v>44.57</v>
      </c>
      <c r="O52" s="518">
        <f t="shared" si="35"/>
        <v>0.7283869913</v>
      </c>
      <c r="P52" s="514">
        <f t="shared" si="33"/>
        <v>133710</v>
      </c>
      <c r="Q52" s="538">
        <v>0.054</v>
      </c>
      <c r="R52" s="217">
        <v>3240.0</v>
      </c>
      <c r="S52" s="519"/>
      <c r="T52" s="520"/>
      <c r="U52" s="521"/>
      <c r="V52" s="522"/>
      <c r="W52" s="519"/>
      <c r="X52" s="520"/>
      <c r="Y52" s="521"/>
      <c r="Z52" s="522"/>
    </row>
    <row r="53">
      <c r="A53" s="528"/>
      <c r="B53" s="528"/>
      <c r="C53" s="512">
        <f>I53/E131</f>
        <v>0.01488062311</v>
      </c>
      <c r="D53" s="567" t="s">
        <v>94</v>
      </c>
      <c r="E53" s="567" t="s">
        <v>95</v>
      </c>
      <c r="F53" s="195">
        <v>8.0</v>
      </c>
      <c r="G53" s="513">
        <v>4500.0</v>
      </c>
      <c r="H53" s="217">
        <f t="shared" si="30"/>
        <v>134775</v>
      </c>
      <c r="I53" s="217">
        <f t="shared" si="34"/>
        <v>170145</v>
      </c>
      <c r="J53" s="216">
        <v>29.95</v>
      </c>
      <c r="K53" s="515">
        <f>IFERROR(__xludf.DUMMYFUNCTION("GOOGLEFINANCE(E53,""changepct"")"),0.03)</f>
        <v>0.03</v>
      </c>
      <c r="L53" s="517">
        <f>IFERROR(__xludf.DUMMYFUNCTION("googlefinance(E53,""price"")"),37.81)</f>
        <v>37.81</v>
      </c>
      <c r="M53" s="216"/>
      <c r="N53" s="517">
        <f t="shared" si="31"/>
        <v>7.86</v>
      </c>
      <c r="O53" s="518">
        <f t="shared" si="35"/>
        <v>0.2624373957</v>
      </c>
      <c r="P53" s="514">
        <f t="shared" si="33"/>
        <v>35370</v>
      </c>
      <c r="Q53" s="538">
        <v>0.016</v>
      </c>
      <c r="R53" s="217">
        <v>740.0</v>
      </c>
      <c r="S53" s="519"/>
      <c r="T53" s="520"/>
      <c r="U53" s="521"/>
      <c r="V53" s="522"/>
      <c r="W53" s="519"/>
      <c r="X53" s="520"/>
      <c r="Y53" s="521"/>
      <c r="Z53" s="522"/>
    </row>
    <row r="54">
      <c r="A54" s="528"/>
      <c r="B54" s="528"/>
      <c r="C54" s="512">
        <f>I54/E131</f>
        <v>0</v>
      </c>
      <c r="D54" s="344" t="s">
        <v>680</v>
      </c>
      <c r="E54" s="344" t="s">
        <v>681</v>
      </c>
      <c r="F54" s="195">
        <v>0.0</v>
      </c>
      <c r="G54" s="513">
        <v>2500.0</v>
      </c>
      <c r="H54" s="217">
        <f t="shared" si="30"/>
        <v>222000</v>
      </c>
      <c r="I54" s="217">
        <v>0.0</v>
      </c>
      <c r="J54" s="216">
        <v>88.8</v>
      </c>
      <c r="K54" s="515">
        <f>IFERROR(__xludf.DUMMYFUNCTION("GOOGLEFINANCE(E54,""changepct"")"),0.0)</f>
        <v>0</v>
      </c>
      <c r="L54" s="517">
        <f>IFERROR(__xludf.DUMMYFUNCTION("googlefinance(E54,""price"")"),6.96)</f>
        <v>6.96</v>
      </c>
      <c r="M54" s="216">
        <v>51.38</v>
      </c>
      <c r="N54" s="517">
        <f t="shared" si="31"/>
        <v>-81.84</v>
      </c>
      <c r="O54" s="518">
        <f>M54/J54-1</f>
        <v>-0.4213963964</v>
      </c>
      <c r="P54" s="514">
        <f t="shared" si="33"/>
        <v>-93550</v>
      </c>
      <c r="Q54" s="538">
        <v>0.104</v>
      </c>
      <c r="R54" s="217"/>
      <c r="S54" s="519" t="s">
        <v>681</v>
      </c>
      <c r="T54" s="520">
        <v>44617.0</v>
      </c>
      <c r="U54" s="521">
        <v>51.38</v>
      </c>
      <c r="V54" s="522">
        <v>128450.0</v>
      </c>
      <c r="W54" s="523"/>
      <c r="X54" s="524"/>
      <c r="Y54" s="525"/>
      <c r="Z54" s="526"/>
    </row>
    <row r="55">
      <c r="A55" s="13"/>
      <c r="B55" s="13"/>
      <c r="C55" s="504" t="s">
        <v>89</v>
      </c>
      <c r="D55" s="13"/>
      <c r="E55" s="13"/>
      <c r="F55" s="13"/>
      <c r="G55" s="564"/>
      <c r="H55" s="509">
        <f t="shared" ref="H55:I55" si="36">SUM(H48:H54)</f>
        <v>1089470</v>
      </c>
      <c r="I55" s="539">
        <f t="shared" si="36"/>
        <v>901602.5</v>
      </c>
      <c r="J55" s="506"/>
      <c r="K55" s="506"/>
      <c r="L55" s="506"/>
      <c r="M55" s="507"/>
      <c r="N55" s="507"/>
      <c r="O55" s="540">
        <f>P55/H55</f>
        <v>0.1416698027</v>
      </c>
      <c r="P55" s="625">
        <v>154345.0</v>
      </c>
      <c r="Q55" s="13"/>
      <c r="R55" s="509">
        <f>SUM(R48:R54)</f>
        <v>7780</v>
      </c>
      <c r="S55" s="510" t="s">
        <v>89</v>
      </c>
      <c r="T55" s="542"/>
      <c r="U55" s="543"/>
      <c r="V55" s="570">
        <f>SUM(V48:V54)</f>
        <v>385585</v>
      </c>
      <c r="W55" s="510" t="s">
        <v>89</v>
      </c>
      <c r="X55" s="542"/>
      <c r="Y55" s="543"/>
      <c r="Z55" s="570">
        <f>SUM(Z48:Z54)</f>
        <v>0</v>
      </c>
    </row>
    <row r="56">
      <c r="A56" s="173"/>
      <c r="B56" s="504" t="s">
        <v>682</v>
      </c>
      <c r="C56" s="504" t="s">
        <v>2</v>
      </c>
      <c r="D56" s="13" t="s">
        <v>3</v>
      </c>
      <c r="E56" s="13" t="s">
        <v>4</v>
      </c>
      <c r="F56" s="13" t="s">
        <v>5</v>
      </c>
      <c r="G56" s="504" t="s">
        <v>6</v>
      </c>
      <c r="H56" s="504" t="s">
        <v>7</v>
      </c>
      <c r="I56" s="505" t="s">
        <v>8</v>
      </c>
      <c r="J56" s="505" t="s">
        <v>9</v>
      </c>
      <c r="K56" s="506" t="s">
        <v>10</v>
      </c>
      <c r="L56" s="506" t="s">
        <v>11</v>
      </c>
      <c r="M56" s="507" t="s">
        <v>476</v>
      </c>
      <c r="N56" s="507" t="s">
        <v>13</v>
      </c>
      <c r="O56" s="504" t="s">
        <v>14</v>
      </c>
      <c r="P56" s="508" t="s">
        <v>15</v>
      </c>
      <c r="Q56" s="13" t="s">
        <v>16</v>
      </c>
      <c r="R56" s="13" t="s">
        <v>17</v>
      </c>
      <c r="S56" s="510" t="s">
        <v>21</v>
      </c>
      <c r="T56" s="510" t="s">
        <v>22</v>
      </c>
      <c r="U56" s="511" t="s">
        <v>23</v>
      </c>
      <c r="V56" s="511" t="s">
        <v>24</v>
      </c>
      <c r="W56" s="510" t="s">
        <v>25</v>
      </c>
      <c r="X56" s="510" t="s">
        <v>26</v>
      </c>
      <c r="Y56" s="510" t="s">
        <v>27</v>
      </c>
      <c r="Z56" s="510" t="s">
        <v>28</v>
      </c>
    </row>
    <row r="57">
      <c r="A57" s="502" t="s">
        <v>29</v>
      </c>
      <c r="B57" s="527">
        <f>I69/E131</f>
        <v>0.0735739217</v>
      </c>
      <c r="C57" s="512">
        <f>I57/E131</f>
        <v>0.01537257706</v>
      </c>
      <c r="D57" s="571" t="s">
        <v>595</v>
      </c>
      <c r="E57" s="104" t="s">
        <v>130</v>
      </c>
      <c r="F57" s="195">
        <v>8.1</v>
      </c>
      <c r="G57" s="513">
        <v>3000.0</v>
      </c>
      <c r="H57" s="217">
        <f t="shared" ref="H57:H68" si="37">G57*J57</f>
        <v>200820</v>
      </c>
      <c r="I57" s="514">
        <f t="shared" ref="I57:I60" si="38">H57+P57</f>
        <v>175770</v>
      </c>
      <c r="J57" s="216">
        <v>66.94</v>
      </c>
      <c r="K57" s="515">
        <f>IFERROR(__xludf.DUMMYFUNCTION("GOOGLEFINANCE(E57,""changepct"")"),-0.71)</f>
        <v>-0.71</v>
      </c>
      <c r="L57" s="517">
        <f>IFERROR(__xludf.DUMMYFUNCTION("googlefinance(E57,""price"")"),58.59)</f>
        <v>58.59</v>
      </c>
      <c r="M57" s="517"/>
      <c r="N57" s="517">
        <f t="shared" ref="N57:N68" si="39">L57-J57</f>
        <v>-8.35</v>
      </c>
      <c r="O57" s="518">
        <f t="shared" ref="O57:O60" si="40">L57/J57-1</f>
        <v>-0.1247385719</v>
      </c>
      <c r="P57" s="495">
        <f t="shared" ref="P57:P68" si="41">H57*O57</f>
        <v>-25050</v>
      </c>
      <c r="Q57" s="538">
        <v>0.103</v>
      </c>
      <c r="R57" s="217">
        <v>6210.0</v>
      </c>
      <c r="S57" s="523"/>
      <c r="T57" s="524"/>
      <c r="U57" s="525"/>
      <c r="V57" s="525"/>
      <c r="W57" s="519"/>
      <c r="X57" s="520"/>
      <c r="Y57" s="521"/>
      <c r="Z57" s="522"/>
    </row>
    <row r="58">
      <c r="A58" s="528"/>
      <c r="B58" s="528"/>
      <c r="C58" s="512">
        <f>I58/E131</f>
        <v>0.01194542906</v>
      </c>
      <c r="D58" s="571" t="s">
        <v>634</v>
      </c>
      <c r="E58" s="104" t="s">
        <v>635</v>
      </c>
      <c r="F58" s="195">
        <v>8.1</v>
      </c>
      <c r="G58" s="513">
        <v>2800.0</v>
      </c>
      <c r="H58" s="217">
        <f t="shared" si="37"/>
        <v>168980</v>
      </c>
      <c r="I58" s="514">
        <f t="shared" si="38"/>
        <v>136584</v>
      </c>
      <c r="J58" s="216">
        <v>60.35</v>
      </c>
      <c r="K58" s="515">
        <f>IFERROR(__xludf.DUMMYFUNCTION("GOOGLEFINANCE(E58,""changepct"")"),-0.87)</f>
        <v>-0.87</v>
      </c>
      <c r="L58" s="517">
        <f>IFERROR(__xludf.DUMMYFUNCTION("googlefinance(E58,""price"")"),48.78)</f>
        <v>48.78</v>
      </c>
      <c r="M58" s="517"/>
      <c r="N58" s="517">
        <f t="shared" si="39"/>
        <v>-11.57</v>
      </c>
      <c r="O58" s="518">
        <f t="shared" si="40"/>
        <v>-0.1917149959</v>
      </c>
      <c r="P58" s="495">
        <f t="shared" si="41"/>
        <v>-32396</v>
      </c>
      <c r="Q58" s="538">
        <v>0.08</v>
      </c>
      <c r="R58" s="217">
        <v>4320.0</v>
      </c>
      <c r="S58" s="523"/>
      <c r="T58" s="524"/>
      <c r="U58" s="525"/>
      <c r="V58" s="525"/>
      <c r="W58" s="519"/>
      <c r="X58" s="520"/>
      <c r="Y58" s="521"/>
      <c r="Z58" s="522"/>
    </row>
    <row r="59">
      <c r="A59" s="528"/>
      <c r="B59" s="528"/>
      <c r="C59" s="512">
        <f>I59/E131</f>
        <v>0.02239461843</v>
      </c>
      <c r="D59" s="571" t="s">
        <v>596</v>
      </c>
      <c r="E59" s="104" t="s">
        <v>597</v>
      </c>
      <c r="F59" s="195">
        <v>7.9</v>
      </c>
      <c r="G59" s="513">
        <v>2800.0</v>
      </c>
      <c r="H59" s="217">
        <f t="shared" si="37"/>
        <v>171612</v>
      </c>
      <c r="I59" s="514">
        <f t="shared" si="38"/>
        <v>256060</v>
      </c>
      <c r="J59" s="216">
        <v>61.29</v>
      </c>
      <c r="K59" s="515">
        <f>IFERROR(__xludf.DUMMYFUNCTION("GOOGLEFINANCE(E59,""changepct"")"),-1.89)</f>
        <v>-1.89</v>
      </c>
      <c r="L59" s="517">
        <f>IFERROR(__xludf.DUMMYFUNCTION("googlefinance(E59,""price"")"),91.45)</f>
        <v>91.45</v>
      </c>
      <c r="M59" s="517"/>
      <c r="N59" s="517">
        <f t="shared" si="39"/>
        <v>30.16</v>
      </c>
      <c r="O59" s="518">
        <f t="shared" si="40"/>
        <v>0.4920868005</v>
      </c>
      <c r="P59" s="495">
        <f t="shared" si="41"/>
        <v>84448</v>
      </c>
      <c r="Q59" s="538">
        <v>0.065</v>
      </c>
      <c r="R59" s="217">
        <v>3453.0</v>
      </c>
      <c r="S59" s="523"/>
      <c r="T59" s="524"/>
      <c r="U59" s="525"/>
      <c r="V59" s="525"/>
      <c r="W59" s="519"/>
      <c r="X59" s="520"/>
      <c r="Y59" s="521"/>
      <c r="Z59" s="522"/>
    </row>
    <row r="60">
      <c r="A60" s="528"/>
      <c r="B60" s="528"/>
      <c r="C60" s="512">
        <f>I60/E131</f>
        <v>0.006100228993</v>
      </c>
      <c r="D60" s="571" t="s">
        <v>598</v>
      </c>
      <c r="E60" s="104" t="s">
        <v>599</v>
      </c>
      <c r="F60" s="195">
        <v>7.7</v>
      </c>
      <c r="G60" s="513">
        <v>7500.0</v>
      </c>
      <c r="H60" s="217">
        <f t="shared" si="37"/>
        <v>149925</v>
      </c>
      <c r="I60" s="514">
        <f t="shared" si="38"/>
        <v>69750</v>
      </c>
      <c r="J60" s="216">
        <v>19.99</v>
      </c>
      <c r="K60" s="515">
        <f>IFERROR(__xludf.DUMMYFUNCTION("GOOGLEFINANCE(E60,""changepct"")"),0.65)</f>
        <v>0.65</v>
      </c>
      <c r="L60" s="517">
        <f>IFERROR(__xludf.DUMMYFUNCTION("googlefinance(E60,""price"")"),9.3)</f>
        <v>9.3</v>
      </c>
      <c r="M60" s="216"/>
      <c r="N60" s="517">
        <f t="shared" si="39"/>
        <v>-10.69</v>
      </c>
      <c r="O60" s="518">
        <f t="shared" si="40"/>
        <v>-0.5347673837</v>
      </c>
      <c r="P60" s="495">
        <f t="shared" si="41"/>
        <v>-80175</v>
      </c>
      <c r="Q60" s="538"/>
      <c r="R60" s="217"/>
      <c r="S60" s="519"/>
      <c r="T60" s="520"/>
      <c r="U60" s="521"/>
      <c r="V60" s="522"/>
      <c r="W60" s="519" t="s">
        <v>599</v>
      </c>
      <c r="X60" s="520">
        <v>44617.0</v>
      </c>
      <c r="Y60" s="521">
        <v>19.99</v>
      </c>
      <c r="Z60" s="522">
        <v>149925.0</v>
      </c>
    </row>
    <row r="61">
      <c r="A61" s="528"/>
      <c r="B61" s="528"/>
      <c r="C61" s="512">
        <f>I61/E131</f>
        <v>0</v>
      </c>
      <c r="D61" s="600" t="s">
        <v>683</v>
      </c>
      <c r="E61" s="344" t="s">
        <v>684</v>
      </c>
      <c r="F61" s="195">
        <v>0.0</v>
      </c>
      <c r="G61" s="513">
        <v>5000.0</v>
      </c>
      <c r="H61" s="217">
        <f t="shared" si="37"/>
        <v>153250</v>
      </c>
      <c r="I61" s="217">
        <v>0.0</v>
      </c>
      <c r="J61" s="216">
        <v>30.65</v>
      </c>
      <c r="K61" s="515" t="str">
        <f>IFERROR(__xludf.DUMMYFUNCTION("GOOGLEFINANCE(E61,""changepct"")"),"#N/A")</f>
        <v>#N/A</v>
      </c>
      <c r="L61" s="517" t="str">
        <f>IFERROR(__xludf.DUMMYFUNCTION("googlefinance(E61,""price"")"),"#N/A")</f>
        <v>#N/A</v>
      </c>
      <c r="M61" s="216">
        <v>24.14</v>
      </c>
      <c r="N61" s="528" t="str">
        <f t="shared" si="39"/>
        <v>#N/A</v>
      </c>
      <c r="O61" s="518">
        <f t="shared" ref="O61:O64" si="42">M61/J61-1</f>
        <v>-0.2123980424</v>
      </c>
      <c r="P61" s="495">
        <f t="shared" si="41"/>
        <v>-32550</v>
      </c>
      <c r="Q61" s="538">
        <v>0.13</v>
      </c>
      <c r="R61" s="217"/>
      <c r="S61" s="519" t="s">
        <v>684</v>
      </c>
      <c r="T61" s="520">
        <v>44617.0</v>
      </c>
      <c r="U61" s="521">
        <v>24.14</v>
      </c>
      <c r="V61" s="522">
        <v>120700.0</v>
      </c>
      <c r="W61" s="523"/>
      <c r="X61" s="524"/>
      <c r="Y61" s="525"/>
      <c r="Z61" s="526"/>
    </row>
    <row r="62">
      <c r="A62" s="528"/>
      <c r="B62" s="528"/>
      <c r="C62" s="512">
        <f>I62/E131</f>
        <v>0</v>
      </c>
      <c r="D62" s="571" t="s">
        <v>145</v>
      </c>
      <c r="E62" s="104" t="s">
        <v>146</v>
      </c>
      <c r="F62" s="195">
        <v>7.8</v>
      </c>
      <c r="G62" s="513">
        <v>1200.0</v>
      </c>
      <c r="H62" s="217">
        <f t="shared" si="37"/>
        <v>64824</v>
      </c>
      <c r="I62" s="217">
        <v>0.0</v>
      </c>
      <c r="J62" s="216">
        <v>54.02</v>
      </c>
      <c r="K62" s="515">
        <f>IFERROR(__xludf.DUMMYFUNCTION("GOOGLEFINANCE(E62,""changepct"")"),-2.33)</f>
        <v>-2.33</v>
      </c>
      <c r="L62" s="517">
        <f>IFERROR(__xludf.DUMMYFUNCTION("googlefinance(E62,""price"")"),36.47)</f>
        <v>36.47</v>
      </c>
      <c r="M62" s="216">
        <v>66.2</v>
      </c>
      <c r="N62" s="517">
        <f t="shared" si="39"/>
        <v>-17.55</v>
      </c>
      <c r="O62" s="518">
        <f t="shared" si="42"/>
        <v>0.2254720474</v>
      </c>
      <c r="P62" s="495">
        <f t="shared" si="41"/>
        <v>14616</v>
      </c>
      <c r="Q62" s="538">
        <v>0.009</v>
      </c>
      <c r="R62" s="217"/>
      <c r="S62" s="519" t="s">
        <v>146</v>
      </c>
      <c r="T62" s="520">
        <v>44608.0</v>
      </c>
      <c r="U62" s="521">
        <v>66.2</v>
      </c>
      <c r="V62" s="522">
        <v>79440.0</v>
      </c>
      <c r="W62" s="519"/>
      <c r="X62" s="520"/>
      <c r="Y62" s="521"/>
      <c r="Z62" s="522"/>
    </row>
    <row r="63">
      <c r="A63" s="528"/>
      <c r="B63" s="528"/>
      <c r="C63" s="512">
        <f>I63/E131</f>
        <v>0</v>
      </c>
      <c r="D63" s="571" t="s">
        <v>145</v>
      </c>
      <c r="E63" s="104" t="s">
        <v>146</v>
      </c>
      <c r="F63" s="195">
        <v>7.8</v>
      </c>
      <c r="G63" s="513">
        <v>1800.0</v>
      </c>
      <c r="H63" s="217">
        <f t="shared" si="37"/>
        <v>90774</v>
      </c>
      <c r="I63" s="217">
        <v>0.0</v>
      </c>
      <c r="J63" s="216">
        <v>50.43</v>
      </c>
      <c r="K63" s="515">
        <f>IFERROR(__xludf.DUMMYFUNCTION("GOOGLEFINANCE(E63,""changepct"")"),-2.33)</f>
        <v>-2.33</v>
      </c>
      <c r="L63" s="517">
        <f>IFERROR(__xludf.DUMMYFUNCTION("googlefinance(E63,""price"")"),36.47)</f>
        <v>36.47</v>
      </c>
      <c r="M63" s="216">
        <v>66.2</v>
      </c>
      <c r="N63" s="517">
        <f t="shared" si="39"/>
        <v>-13.96</v>
      </c>
      <c r="O63" s="518">
        <f t="shared" si="42"/>
        <v>0.3127106881</v>
      </c>
      <c r="P63" s="495">
        <f t="shared" si="41"/>
        <v>28386</v>
      </c>
      <c r="Q63" s="538">
        <v>0.009</v>
      </c>
      <c r="R63" s="217"/>
      <c r="S63" s="519" t="s">
        <v>146</v>
      </c>
      <c r="T63" s="520">
        <v>44608.0</v>
      </c>
      <c r="U63" s="521">
        <v>66.2</v>
      </c>
      <c r="V63" s="522">
        <v>119160.0</v>
      </c>
      <c r="W63" s="519" t="s">
        <v>146</v>
      </c>
      <c r="X63" s="520">
        <v>44573.0</v>
      </c>
      <c r="Y63" s="521">
        <v>54.02</v>
      </c>
      <c r="Z63" s="522">
        <v>64824.0</v>
      </c>
    </row>
    <row r="64">
      <c r="A64" s="528"/>
      <c r="B64" s="528"/>
      <c r="C64" s="512">
        <f>I64/E131</f>
        <v>0</v>
      </c>
      <c r="D64" s="600" t="s">
        <v>661</v>
      </c>
      <c r="E64" s="344" t="s">
        <v>144</v>
      </c>
      <c r="F64" s="195">
        <v>7.4</v>
      </c>
      <c r="G64" s="513">
        <v>3500.0</v>
      </c>
      <c r="H64" s="217">
        <f t="shared" si="37"/>
        <v>101920</v>
      </c>
      <c r="I64" s="217">
        <v>0.0</v>
      </c>
      <c r="J64" s="216">
        <v>29.12</v>
      </c>
      <c r="K64" s="515">
        <f>IFERROR(__xludf.DUMMYFUNCTION("GOOGLEFINANCE(E64,""changepct"")"),-2.91)</f>
        <v>-2.91</v>
      </c>
      <c r="L64" s="517">
        <f>IFERROR(__xludf.DUMMYFUNCTION("googlefinance(E64,""price"")"),3.0)</f>
        <v>3</v>
      </c>
      <c r="M64" s="216">
        <v>32.68</v>
      </c>
      <c r="N64" s="517">
        <f t="shared" si="39"/>
        <v>-26.12</v>
      </c>
      <c r="O64" s="518">
        <f t="shared" si="42"/>
        <v>0.1222527473</v>
      </c>
      <c r="P64" s="495">
        <f t="shared" si="41"/>
        <v>12460</v>
      </c>
      <c r="Q64" s="538"/>
      <c r="R64" s="514"/>
      <c r="S64" s="519" t="s">
        <v>144</v>
      </c>
      <c r="T64" s="520">
        <v>44566.0</v>
      </c>
      <c r="U64" s="521">
        <v>32.68</v>
      </c>
      <c r="V64" s="522">
        <v>114380.0</v>
      </c>
      <c r="W64" s="519"/>
      <c r="X64" s="520"/>
      <c r="Y64" s="521"/>
      <c r="Z64" s="522"/>
    </row>
    <row r="65">
      <c r="A65" s="528"/>
      <c r="B65" s="528"/>
      <c r="C65" s="512">
        <f>I65/E131</f>
        <v>0.01049501762</v>
      </c>
      <c r="D65" s="104" t="s">
        <v>454</v>
      </c>
      <c r="E65" s="104" t="s">
        <v>132</v>
      </c>
      <c r="F65" s="195">
        <v>8.0</v>
      </c>
      <c r="G65" s="513">
        <v>5000.0</v>
      </c>
      <c r="H65" s="217">
        <f t="shared" si="37"/>
        <v>205700</v>
      </c>
      <c r="I65" s="217">
        <f>H65+P65</f>
        <v>120000</v>
      </c>
      <c r="J65" s="216">
        <v>41.14</v>
      </c>
      <c r="K65" s="515">
        <f>IFERROR(__xludf.DUMMYFUNCTION("GOOGLEFINANCE(E65,""changepct"")"),0.54)</f>
        <v>0.54</v>
      </c>
      <c r="L65" s="517">
        <f>IFERROR(__xludf.DUMMYFUNCTION("googlefinance(E65,""price"")"),24.0)</f>
        <v>24</v>
      </c>
      <c r="M65" s="216"/>
      <c r="N65" s="517">
        <f t="shared" si="39"/>
        <v>-17.14</v>
      </c>
      <c r="O65" s="518">
        <f>L65/J65-1</f>
        <v>-0.4166261546</v>
      </c>
      <c r="P65" s="495">
        <f t="shared" si="41"/>
        <v>-85700</v>
      </c>
      <c r="Q65" s="538">
        <v>0.008</v>
      </c>
      <c r="R65" s="217">
        <v>667.0</v>
      </c>
      <c r="S65" s="519"/>
      <c r="T65" s="520"/>
      <c r="U65" s="521"/>
      <c r="V65" s="522"/>
      <c r="W65" s="519" t="s">
        <v>132</v>
      </c>
      <c r="X65" s="520">
        <v>44573.0</v>
      </c>
      <c r="Y65" s="521">
        <v>41.14</v>
      </c>
      <c r="Z65" s="522">
        <v>205700.0</v>
      </c>
    </row>
    <row r="66">
      <c r="A66" s="528"/>
      <c r="B66" s="528"/>
      <c r="C66" s="512">
        <f>I66/E131</f>
        <v>0</v>
      </c>
      <c r="D66" s="104" t="s">
        <v>454</v>
      </c>
      <c r="E66" s="104" t="s">
        <v>132</v>
      </c>
      <c r="F66" s="195">
        <v>8.0</v>
      </c>
      <c r="G66" s="513">
        <v>5000.0</v>
      </c>
      <c r="H66" s="217">
        <f t="shared" si="37"/>
        <v>196500</v>
      </c>
      <c r="I66" s="217">
        <v>0.0</v>
      </c>
      <c r="J66" s="216">
        <v>39.3</v>
      </c>
      <c r="K66" s="515">
        <f>IFERROR(__xludf.DUMMYFUNCTION("GOOGLEFINANCE(E66,""changepct"")"),0.54)</f>
        <v>0.54</v>
      </c>
      <c r="L66" s="517">
        <f>IFERROR(__xludf.DUMMYFUNCTION("googlefinance(E66,""price"")"),24.0)</f>
        <v>24</v>
      </c>
      <c r="M66" s="216">
        <v>39.79</v>
      </c>
      <c r="N66" s="517">
        <f t="shared" si="39"/>
        <v>-15.3</v>
      </c>
      <c r="O66" s="518">
        <f>M66/J66-1</f>
        <v>0.01246819338</v>
      </c>
      <c r="P66" s="495">
        <f t="shared" si="41"/>
        <v>2450</v>
      </c>
      <c r="Q66" s="538">
        <v>0.008</v>
      </c>
      <c r="R66" s="217"/>
      <c r="S66" s="519" t="s">
        <v>132</v>
      </c>
      <c r="T66" s="520">
        <v>44566.0</v>
      </c>
      <c r="U66" s="521">
        <v>39.79</v>
      </c>
      <c r="V66" s="522">
        <v>198950.0</v>
      </c>
      <c r="W66" s="519"/>
      <c r="X66" s="520"/>
      <c r="Y66" s="521"/>
      <c r="Z66" s="522"/>
    </row>
    <row r="67">
      <c r="A67" s="528"/>
      <c r="B67" s="528"/>
      <c r="C67" s="512">
        <f>I67/E131</f>
        <v>0.007266050533</v>
      </c>
      <c r="D67" s="344" t="s">
        <v>662</v>
      </c>
      <c r="E67" s="344" t="s">
        <v>663</v>
      </c>
      <c r="F67" s="569">
        <v>8.0</v>
      </c>
      <c r="G67" s="513">
        <v>2000.0</v>
      </c>
      <c r="H67" s="217">
        <f t="shared" si="37"/>
        <v>157760</v>
      </c>
      <c r="I67" s="514">
        <f>H67+P67</f>
        <v>83080</v>
      </c>
      <c r="J67" s="216">
        <v>78.88</v>
      </c>
      <c r="K67" s="515">
        <f>IFERROR(__xludf.DUMMYFUNCTION("GOOGLEFINANCE(E67,""changepct"")"),-0.72)</f>
        <v>-0.72</v>
      </c>
      <c r="L67" s="517">
        <f>IFERROR(__xludf.DUMMYFUNCTION("googlefinance(E67,""price"")"),41.54)</f>
        <v>41.54</v>
      </c>
      <c r="M67" s="216"/>
      <c r="N67" s="517">
        <f t="shared" si="39"/>
        <v>-37.34</v>
      </c>
      <c r="O67" s="518">
        <f>L67/J67-1</f>
        <v>-0.4733772819</v>
      </c>
      <c r="P67" s="495">
        <f t="shared" si="41"/>
        <v>-74680</v>
      </c>
      <c r="Q67" s="538"/>
      <c r="R67" s="217"/>
      <c r="S67" s="519"/>
      <c r="T67" s="520"/>
      <c r="U67" s="521"/>
      <c r="V67" s="522"/>
      <c r="W67" s="519" t="s">
        <v>663</v>
      </c>
      <c r="X67" s="520">
        <v>44571.0</v>
      </c>
      <c r="Y67" s="521">
        <v>78.88</v>
      </c>
      <c r="Z67" s="522">
        <v>157760.0</v>
      </c>
    </row>
    <row r="68">
      <c r="A68" s="528"/>
      <c r="B68" s="528"/>
      <c r="C68" s="512">
        <f>I68/E131</f>
        <v>0</v>
      </c>
      <c r="D68" s="104" t="s">
        <v>452</v>
      </c>
      <c r="E68" s="104" t="s">
        <v>453</v>
      </c>
      <c r="F68" s="569">
        <v>7.9</v>
      </c>
      <c r="G68" s="513">
        <v>1200.0</v>
      </c>
      <c r="H68" s="217">
        <f t="shared" si="37"/>
        <v>213144</v>
      </c>
      <c r="I68" s="217">
        <v>0.0</v>
      </c>
      <c r="J68" s="216">
        <v>177.62</v>
      </c>
      <c r="K68" s="515">
        <f>IFERROR(__xludf.DUMMYFUNCTION("GOOGLEFINANCE(E68,""changepct"")"),-0.81)</f>
        <v>-0.81</v>
      </c>
      <c r="L68" s="517">
        <f>IFERROR(__xludf.DUMMYFUNCTION("googlefinance(E68,""price"")"),129.13)</f>
        <v>129.13</v>
      </c>
      <c r="M68" s="216">
        <v>157.83</v>
      </c>
      <c r="N68" s="517">
        <f t="shared" si="39"/>
        <v>-48.49</v>
      </c>
      <c r="O68" s="518">
        <f>M68/J68-1</f>
        <v>-0.1114176331</v>
      </c>
      <c r="P68" s="495">
        <f t="shared" si="41"/>
        <v>-23748</v>
      </c>
      <c r="Q68" s="538">
        <v>0.033</v>
      </c>
      <c r="R68" s="217"/>
      <c r="S68" s="519" t="s">
        <v>453</v>
      </c>
      <c r="T68" s="520">
        <v>44608.0</v>
      </c>
      <c r="U68" s="521">
        <v>157.83</v>
      </c>
      <c r="V68" s="522">
        <v>189396.0</v>
      </c>
      <c r="W68" s="519"/>
      <c r="X68" s="520"/>
      <c r="Y68" s="521"/>
      <c r="Z68" s="522"/>
    </row>
    <row r="69">
      <c r="A69" s="13"/>
      <c r="B69" s="13"/>
      <c r="C69" s="13"/>
      <c r="D69" s="13"/>
      <c r="E69" s="13"/>
      <c r="F69" s="13"/>
      <c r="G69" s="564"/>
      <c r="H69" s="509">
        <f t="shared" ref="H69:I69" si="43">SUM(H57:H68)</f>
        <v>1875209</v>
      </c>
      <c r="I69" s="539">
        <f t="shared" si="43"/>
        <v>841244</v>
      </c>
      <c r="J69" s="506"/>
      <c r="K69" s="506"/>
      <c r="L69" s="506"/>
      <c r="M69" s="507"/>
      <c r="N69" s="507"/>
      <c r="O69" s="540">
        <f>P69/H69</f>
        <v>0.1839112334</v>
      </c>
      <c r="P69" s="625">
        <v>344872.0</v>
      </c>
      <c r="Q69" s="13"/>
      <c r="R69" s="509">
        <f>SUM(R57:R68)</f>
        <v>14650</v>
      </c>
      <c r="S69" s="510" t="s">
        <v>89</v>
      </c>
      <c r="T69" s="542"/>
      <c r="U69" s="543"/>
      <c r="V69" s="570">
        <f>SUM(V57:V68)</f>
        <v>822026</v>
      </c>
      <c r="W69" s="510" t="s">
        <v>89</v>
      </c>
      <c r="X69" s="542"/>
      <c r="Y69" s="543"/>
      <c r="Z69" s="570">
        <f>SUM(Z57:Z68)</f>
        <v>578209</v>
      </c>
    </row>
    <row r="70">
      <c r="A70" s="173"/>
      <c r="B70" s="504" t="s">
        <v>614</v>
      </c>
      <c r="C70" s="504" t="s">
        <v>2</v>
      </c>
      <c r="D70" s="13" t="s">
        <v>3</v>
      </c>
      <c r="E70" s="13" t="s">
        <v>4</v>
      </c>
      <c r="F70" s="13" t="s">
        <v>5</v>
      </c>
      <c r="G70" s="504" t="s">
        <v>6</v>
      </c>
      <c r="H70" s="504" t="s">
        <v>7</v>
      </c>
      <c r="I70" s="505" t="s">
        <v>8</v>
      </c>
      <c r="J70" s="505" t="s">
        <v>9</v>
      </c>
      <c r="K70" s="506" t="s">
        <v>10</v>
      </c>
      <c r="L70" s="506" t="s">
        <v>11</v>
      </c>
      <c r="M70" s="507" t="s">
        <v>476</v>
      </c>
      <c r="N70" s="507" t="s">
        <v>13</v>
      </c>
      <c r="O70" s="504" t="s">
        <v>14</v>
      </c>
      <c r="P70" s="508" t="s">
        <v>15</v>
      </c>
      <c r="Q70" s="13" t="s">
        <v>16</v>
      </c>
      <c r="R70" s="13" t="s">
        <v>17</v>
      </c>
      <c r="S70" s="510" t="s">
        <v>21</v>
      </c>
      <c r="T70" s="510" t="s">
        <v>22</v>
      </c>
      <c r="U70" s="511" t="s">
        <v>23</v>
      </c>
      <c r="V70" s="511" t="s">
        <v>24</v>
      </c>
      <c r="W70" s="510" t="s">
        <v>25</v>
      </c>
      <c r="X70" s="510" t="s">
        <v>26</v>
      </c>
      <c r="Y70" s="510" t="s">
        <v>27</v>
      </c>
      <c r="Z70" s="510" t="s">
        <v>28</v>
      </c>
    </row>
    <row r="71">
      <c r="A71" s="502" t="s">
        <v>29</v>
      </c>
      <c r="B71" s="527">
        <f>I79/E131</f>
        <v>0.1530112348</v>
      </c>
      <c r="C71" s="512">
        <f>I71/E131</f>
        <v>0.03762135848</v>
      </c>
      <c r="D71" s="344" t="s">
        <v>539</v>
      </c>
      <c r="E71" s="344" t="s">
        <v>540</v>
      </c>
      <c r="F71" s="195">
        <v>7.8</v>
      </c>
      <c r="G71" s="513">
        <v>750.0</v>
      </c>
      <c r="H71" s="217">
        <f t="shared" ref="H71:H78" si="44">G71*J71</f>
        <v>286860</v>
      </c>
      <c r="I71" s="217">
        <f t="shared" ref="I71:I78" si="45">H71+P71</f>
        <v>430162.5</v>
      </c>
      <c r="J71" s="216">
        <v>382.48</v>
      </c>
      <c r="K71" s="568">
        <f>IFERROR(__xludf.DUMMYFUNCTION("GOOGLEFINANCE(E71,""changepct"")"),-0.46)</f>
        <v>-0.46</v>
      </c>
      <c r="L71" s="516">
        <f>IFERROR(__xludf.DUMMYFUNCTION("googlefinance(E71,""price"")"),573.55)</f>
        <v>573.55</v>
      </c>
      <c r="M71" s="216"/>
      <c r="N71" s="517">
        <f t="shared" ref="N71:N78" si="46">L71-J71</f>
        <v>191.07</v>
      </c>
      <c r="O71" s="518">
        <f t="shared" ref="O71:O78" si="47">L71/J71-1</f>
        <v>0.4995555323</v>
      </c>
      <c r="P71" s="495">
        <f t="shared" ref="P71:P78" si="48">H71*O71</f>
        <v>143302.5</v>
      </c>
      <c r="Q71" s="538">
        <v>0.021</v>
      </c>
      <c r="R71" s="217">
        <v>1286.0</v>
      </c>
      <c r="S71" s="519"/>
      <c r="T71" s="520"/>
      <c r="U71" s="521"/>
      <c r="V71" s="522"/>
      <c r="W71" s="523"/>
      <c r="X71" s="524"/>
      <c r="Y71" s="525"/>
      <c r="Z71" s="526"/>
    </row>
    <row r="72">
      <c r="A72" s="528"/>
      <c r="B72" s="528"/>
      <c r="C72" s="512">
        <f>H72/E131</f>
        <v>0.007633594796</v>
      </c>
      <c r="D72" s="344" t="s">
        <v>539</v>
      </c>
      <c r="E72" s="344" t="s">
        <v>540</v>
      </c>
      <c r="F72" s="195">
        <v>7.8</v>
      </c>
      <c r="G72" s="513">
        <v>250.0</v>
      </c>
      <c r="H72" s="217">
        <f t="shared" si="44"/>
        <v>87282.5</v>
      </c>
      <c r="I72" s="217">
        <f t="shared" si="45"/>
        <v>143387.5</v>
      </c>
      <c r="J72" s="216">
        <v>349.13</v>
      </c>
      <c r="K72" s="568">
        <f>IFERROR(__xludf.DUMMYFUNCTION("GOOGLEFINANCE(E72,""changepct"")"),-0.46)</f>
        <v>-0.46</v>
      </c>
      <c r="L72" s="516">
        <f>IFERROR(__xludf.DUMMYFUNCTION("googlefinance(E72,""price"")"),573.55)</f>
        <v>573.55</v>
      </c>
      <c r="M72" s="216"/>
      <c r="N72" s="517">
        <f t="shared" si="46"/>
        <v>224.42</v>
      </c>
      <c r="O72" s="518">
        <f t="shared" si="47"/>
        <v>0.6427978117</v>
      </c>
      <c r="P72" s="495">
        <f t="shared" si="48"/>
        <v>56105</v>
      </c>
      <c r="Q72" s="538">
        <v>0.021</v>
      </c>
      <c r="R72" s="217">
        <v>430.0</v>
      </c>
      <c r="S72" s="519"/>
      <c r="T72" s="520"/>
      <c r="U72" s="521"/>
      <c r="V72" s="522"/>
      <c r="W72" s="519" t="s">
        <v>540</v>
      </c>
      <c r="X72" s="520">
        <v>44580.0</v>
      </c>
      <c r="Y72" s="521">
        <v>349.13</v>
      </c>
      <c r="Z72" s="522">
        <v>87283.0</v>
      </c>
    </row>
    <row r="73">
      <c r="A73" s="528"/>
      <c r="B73" s="528"/>
      <c r="C73" s="512">
        <f>I73/E131</f>
        <v>0.03139584521</v>
      </c>
      <c r="D73" s="344" t="s">
        <v>615</v>
      </c>
      <c r="E73" s="344" t="s">
        <v>616</v>
      </c>
      <c r="F73" s="195">
        <v>7.7</v>
      </c>
      <c r="G73" s="513">
        <v>1500.0</v>
      </c>
      <c r="H73" s="217">
        <f t="shared" si="44"/>
        <v>237510</v>
      </c>
      <c r="I73" s="217">
        <f t="shared" si="45"/>
        <v>358980</v>
      </c>
      <c r="J73" s="216">
        <v>158.34</v>
      </c>
      <c r="K73" s="568">
        <f>IFERROR(__xludf.DUMMYFUNCTION("GOOGLEFINANCE(E73,""changepct"")"),-0.77)</f>
        <v>-0.77</v>
      </c>
      <c r="L73" s="516">
        <f>IFERROR(__xludf.DUMMYFUNCTION("googlefinance(E73,""price"")"),239.32)</f>
        <v>239.32</v>
      </c>
      <c r="M73" s="216"/>
      <c r="N73" s="517">
        <f t="shared" si="46"/>
        <v>80.98</v>
      </c>
      <c r="O73" s="518">
        <f t="shared" si="47"/>
        <v>0.5114310976</v>
      </c>
      <c r="P73" s="495">
        <f t="shared" si="48"/>
        <v>121470</v>
      </c>
      <c r="Q73" s="538">
        <v>0.0253</v>
      </c>
      <c r="R73" s="217">
        <v>1290.0</v>
      </c>
      <c r="S73" s="519"/>
      <c r="T73" s="520"/>
      <c r="U73" s="521"/>
      <c r="V73" s="522"/>
      <c r="W73" s="519"/>
      <c r="X73" s="520"/>
      <c r="Y73" s="521"/>
      <c r="Z73" s="522"/>
    </row>
    <row r="74">
      <c r="A74" s="528"/>
      <c r="B74" s="528"/>
      <c r="C74" s="512">
        <f>I74/E131</f>
        <v>0.01046528174</v>
      </c>
      <c r="D74" s="344" t="s">
        <v>615</v>
      </c>
      <c r="E74" s="344" t="s">
        <v>616</v>
      </c>
      <c r="F74" s="195">
        <v>7.7</v>
      </c>
      <c r="G74" s="513">
        <v>500.0</v>
      </c>
      <c r="H74" s="217">
        <f t="shared" si="44"/>
        <v>74645</v>
      </c>
      <c r="I74" s="217">
        <f t="shared" si="45"/>
        <v>119660</v>
      </c>
      <c r="J74" s="216">
        <v>149.29</v>
      </c>
      <c r="K74" s="568">
        <f>IFERROR(__xludf.DUMMYFUNCTION("GOOGLEFINANCE(E74,""changepct"")"),-0.77)</f>
        <v>-0.77</v>
      </c>
      <c r="L74" s="516">
        <f>IFERROR(__xludf.DUMMYFUNCTION("googlefinance(E74,""price"")"),239.32)</f>
        <v>239.32</v>
      </c>
      <c r="M74" s="216"/>
      <c r="N74" s="517">
        <f t="shared" si="46"/>
        <v>90.03</v>
      </c>
      <c r="O74" s="518">
        <f t="shared" si="47"/>
        <v>0.6030544578</v>
      </c>
      <c r="P74" s="495">
        <f t="shared" si="48"/>
        <v>45015</v>
      </c>
      <c r="Q74" s="538">
        <v>0.0253</v>
      </c>
      <c r="R74" s="217">
        <v>430.0</v>
      </c>
      <c r="S74" s="519"/>
      <c r="T74" s="520"/>
      <c r="U74" s="521"/>
      <c r="V74" s="522"/>
      <c r="W74" s="519" t="s">
        <v>616</v>
      </c>
      <c r="X74" s="520">
        <v>44580.0</v>
      </c>
      <c r="Y74" s="521">
        <v>149.29</v>
      </c>
      <c r="Z74" s="522">
        <v>74645.0</v>
      </c>
    </row>
    <row r="75">
      <c r="A75" s="528"/>
      <c r="B75" s="528"/>
      <c r="C75" s="512">
        <f>I75/E131</f>
        <v>0.007471577962</v>
      </c>
      <c r="D75" s="104" t="s">
        <v>381</v>
      </c>
      <c r="E75" s="104" t="s">
        <v>382</v>
      </c>
      <c r="F75" s="195">
        <v>7.8</v>
      </c>
      <c r="G75" s="513">
        <v>1000.0</v>
      </c>
      <c r="H75" s="217">
        <f t="shared" si="44"/>
        <v>105600</v>
      </c>
      <c r="I75" s="217">
        <f t="shared" si="45"/>
        <v>85430</v>
      </c>
      <c r="J75" s="216">
        <v>105.6</v>
      </c>
      <c r="K75" s="568">
        <f>IFERROR(__xludf.DUMMYFUNCTION("GOOGLEFINANCE(E75,""changepct"")"),-1.65)</f>
        <v>-1.65</v>
      </c>
      <c r="L75" s="516">
        <f>IFERROR(__xludf.DUMMYFUNCTION("googlefinance(E75,""price"")"),85.43)</f>
        <v>85.43</v>
      </c>
      <c r="M75" s="216"/>
      <c r="N75" s="517">
        <f t="shared" si="46"/>
        <v>-20.17</v>
      </c>
      <c r="O75" s="518">
        <f t="shared" si="47"/>
        <v>-0.1910037879</v>
      </c>
      <c r="P75" s="495">
        <f t="shared" si="48"/>
        <v>-20170</v>
      </c>
      <c r="Q75" s="538"/>
      <c r="R75" s="217"/>
      <c r="S75" s="519"/>
      <c r="T75" s="520"/>
      <c r="U75" s="521"/>
      <c r="V75" s="522"/>
      <c r="W75" s="519" t="s">
        <v>382</v>
      </c>
      <c r="X75" s="520">
        <v>44617.0</v>
      </c>
      <c r="Y75" s="521">
        <v>105.6</v>
      </c>
      <c r="Z75" s="522">
        <v>105600.0</v>
      </c>
    </row>
    <row r="76">
      <c r="A76" s="528"/>
      <c r="B76" s="528"/>
      <c r="C76" s="512">
        <f>I76/E131</f>
        <v>0.007471577962</v>
      </c>
      <c r="D76" s="104" t="s">
        <v>381</v>
      </c>
      <c r="E76" s="104" t="s">
        <v>382</v>
      </c>
      <c r="F76" s="195">
        <v>7.8</v>
      </c>
      <c r="G76" s="513">
        <v>1000.0</v>
      </c>
      <c r="H76" s="217">
        <f t="shared" si="44"/>
        <v>188660</v>
      </c>
      <c r="I76" s="217">
        <f t="shared" si="45"/>
        <v>85430</v>
      </c>
      <c r="J76" s="216">
        <v>188.66</v>
      </c>
      <c r="K76" s="568">
        <f>IFERROR(__xludf.DUMMYFUNCTION("GOOGLEFINANCE(E76,""changepct"")"),-1.65)</f>
        <v>-1.65</v>
      </c>
      <c r="L76" s="516">
        <f>IFERROR(__xludf.DUMMYFUNCTION("googlefinance(E76,""price"")"),85.43)</f>
        <v>85.43</v>
      </c>
      <c r="M76" s="216"/>
      <c r="N76" s="517">
        <f t="shared" si="46"/>
        <v>-103.23</v>
      </c>
      <c r="O76" s="518">
        <f t="shared" si="47"/>
        <v>-0.5471748118</v>
      </c>
      <c r="P76" s="495">
        <f t="shared" si="48"/>
        <v>-103230</v>
      </c>
      <c r="Q76" s="538"/>
      <c r="R76" s="217"/>
      <c r="S76" s="519"/>
      <c r="T76" s="520"/>
      <c r="U76" s="521"/>
      <c r="V76" s="522"/>
      <c r="W76" s="519"/>
      <c r="X76" s="520"/>
      <c r="Y76" s="521"/>
      <c r="Z76" s="522"/>
    </row>
    <row r="77">
      <c r="A77" s="528"/>
      <c r="B77" s="528"/>
      <c r="C77" s="512">
        <f>I77/E131</f>
        <v>0.01846860726</v>
      </c>
      <c r="D77" s="104" t="s">
        <v>685</v>
      </c>
      <c r="E77" s="104" t="s">
        <v>686</v>
      </c>
      <c r="F77" s="195">
        <v>7.5</v>
      </c>
      <c r="G77" s="513">
        <v>3000.0</v>
      </c>
      <c r="H77" s="217">
        <f t="shared" si="44"/>
        <v>181140</v>
      </c>
      <c r="I77" s="217">
        <f t="shared" si="45"/>
        <v>211170</v>
      </c>
      <c r="J77" s="216">
        <v>60.38</v>
      </c>
      <c r="K77" s="568">
        <f>IFERROR(__xludf.DUMMYFUNCTION("GOOGLEFINANCE(E77,""changepct"")"),-0.86)</f>
        <v>-0.86</v>
      </c>
      <c r="L77" s="516">
        <f>IFERROR(__xludf.DUMMYFUNCTION("googlefinance(E77,""price"")"),70.39)</f>
        <v>70.39</v>
      </c>
      <c r="M77" s="216"/>
      <c r="N77" s="517">
        <f t="shared" si="46"/>
        <v>10.01</v>
      </c>
      <c r="O77" s="518">
        <f t="shared" si="47"/>
        <v>0.165783372</v>
      </c>
      <c r="P77" s="495">
        <f t="shared" si="48"/>
        <v>30030</v>
      </c>
      <c r="Q77" s="538">
        <v>0.033</v>
      </c>
      <c r="R77" s="217">
        <v>1320.0</v>
      </c>
      <c r="S77" s="519"/>
      <c r="T77" s="520"/>
      <c r="U77" s="521"/>
      <c r="V77" s="522"/>
      <c r="W77" s="519"/>
      <c r="X77" s="520"/>
      <c r="Y77" s="521"/>
      <c r="Z77" s="522"/>
    </row>
    <row r="78">
      <c r="A78" s="528"/>
      <c r="B78" s="528"/>
      <c r="C78" s="512">
        <f>I78/E131</f>
        <v>0.02757653339</v>
      </c>
      <c r="D78" s="344" t="s">
        <v>664</v>
      </c>
      <c r="E78" s="344" t="s">
        <v>665</v>
      </c>
      <c r="F78" s="195">
        <v>7.4</v>
      </c>
      <c r="G78" s="513">
        <v>1000.0</v>
      </c>
      <c r="H78" s="217">
        <f t="shared" si="44"/>
        <v>216690</v>
      </c>
      <c r="I78" s="217">
        <f t="shared" si="45"/>
        <v>315310</v>
      </c>
      <c r="J78" s="216">
        <v>216.69</v>
      </c>
      <c r="K78" s="515">
        <f>IFERROR(__xludf.DUMMYFUNCTION("GOOGLEFINANCE(E78,""changepct"")"),-1.05)</f>
        <v>-1.05</v>
      </c>
      <c r="L78" s="517">
        <f>IFERROR(__xludf.DUMMYFUNCTION("googlefinance(E78,""price"")"),315.31)</f>
        <v>315.31</v>
      </c>
      <c r="M78" s="216"/>
      <c r="N78" s="517">
        <f t="shared" si="46"/>
        <v>98.62</v>
      </c>
      <c r="O78" s="518">
        <f t="shared" si="47"/>
        <v>0.4551202178</v>
      </c>
      <c r="P78" s="495">
        <f t="shared" si="48"/>
        <v>98620</v>
      </c>
      <c r="Q78" s="538"/>
      <c r="R78" s="217"/>
      <c r="S78" s="519"/>
      <c r="T78" s="520"/>
      <c r="U78" s="521"/>
      <c r="V78" s="522"/>
      <c r="W78" s="523"/>
      <c r="X78" s="524"/>
      <c r="Y78" s="525"/>
      <c r="Z78" s="526"/>
    </row>
    <row r="79">
      <c r="A79" s="13"/>
      <c r="B79" s="13"/>
      <c r="C79" s="13"/>
      <c r="D79" s="13"/>
      <c r="E79" s="13"/>
      <c r="F79" s="13"/>
      <c r="G79" s="509"/>
      <c r="H79" s="509">
        <f t="shared" ref="H79:I79" si="49">SUM(H71:H78)</f>
        <v>1378387.5</v>
      </c>
      <c r="I79" s="539">
        <f t="shared" si="49"/>
        <v>1749530</v>
      </c>
      <c r="J79" s="506"/>
      <c r="K79" s="506"/>
      <c r="L79" s="506"/>
      <c r="M79" s="507"/>
      <c r="N79" s="507"/>
      <c r="O79" s="540">
        <f>P79/H79</f>
        <v>-0.1178028675</v>
      </c>
      <c r="P79" s="625">
        <v>-162378.0</v>
      </c>
      <c r="Q79" s="13"/>
      <c r="R79" s="509">
        <f>SUM(R71:R78)</f>
        <v>4756</v>
      </c>
      <c r="S79" s="510" t="s">
        <v>89</v>
      </c>
      <c r="T79" s="542"/>
      <c r="U79" s="543"/>
      <c r="V79" s="570">
        <f>SUM(V71:V78)</f>
        <v>0</v>
      </c>
      <c r="W79" s="510" t="s">
        <v>89</v>
      </c>
      <c r="X79" s="542"/>
      <c r="Y79" s="543"/>
      <c r="Z79" s="570">
        <f>SUM(Z71:Z78)</f>
        <v>267528</v>
      </c>
    </row>
    <row r="80">
      <c r="A80" s="173"/>
      <c r="B80" s="504" t="s">
        <v>409</v>
      </c>
      <c r="C80" s="504" t="s">
        <v>2</v>
      </c>
      <c r="D80" s="13" t="s">
        <v>150</v>
      </c>
      <c r="E80" s="13" t="s">
        <v>4</v>
      </c>
      <c r="F80" s="13" t="s">
        <v>5</v>
      </c>
      <c r="G80" s="504" t="s">
        <v>6</v>
      </c>
      <c r="H80" s="504" t="s">
        <v>7</v>
      </c>
      <c r="I80" s="505" t="s">
        <v>8</v>
      </c>
      <c r="J80" s="505" t="s">
        <v>9</v>
      </c>
      <c r="K80" s="506" t="s">
        <v>10</v>
      </c>
      <c r="L80" s="506" t="s">
        <v>11</v>
      </c>
      <c r="M80" s="507" t="s">
        <v>476</v>
      </c>
      <c r="N80" s="507" t="s">
        <v>13</v>
      </c>
      <c r="O80" s="504" t="s">
        <v>14</v>
      </c>
      <c r="P80" s="508" t="s">
        <v>15</v>
      </c>
      <c r="Q80" s="13" t="s">
        <v>16</v>
      </c>
      <c r="R80" s="13" t="s">
        <v>17</v>
      </c>
      <c r="S80" s="510" t="s">
        <v>21</v>
      </c>
      <c r="T80" s="510" t="s">
        <v>22</v>
      </c>
      <c r="U80" s="511" t="s">
        <v>23</v>
      </c>
      <c r="V80" s="511" t="s">
        <v>24</v>
      </c>
      <c r="W80" s="510" t="s">
        <v>25</v>
      </c>
      <c r="X80" s="510" t="s">
        <v>26</v>
      </c>
      <c r="Y80" s="510" t="s">
        <v>27</v>
      </c>
      <c r="Z80" s="510" t="s">
        <v>28</v>
      </c>
    </row>
    <row r="81">
      <c r="A81" s="502" t="s">
        <v>29</v>
      </c>
      <c r="B81" s="527" t="str">
        <f>I98/E131</f>
        <v>#N/A</v>
      </c>
      <c r="C81" s="512">
        <f>I81/E131</f>
        <v>0.02558160545</v>
      </c>
      <c r="D81" s="344" t="s">
        <v>151</v>
      </c>
      <c r="E81" s="344" t="s">
        <v>152</v>
      </c>
      <c r="F81" s="195">
        <v>8.5</v>
      </c>
      <c r="G81" s="513">
        <v>150.0</v>
      </c>
      <c r="H81" s="217">
        <f t="shared" ref="H81:H97" si="50">G81*J81</f>
        <v>274500</v>
      </c>
      <c r="I81" s="514">
        <f t="shared" ref="I81:I82" si="51">H81+P81</f>
        <v>292500</v>
      </c>
      <c r="J81" s="216">
        <v>1830.0</v>
      </c>
      <c r="K81" s="594"/>
      <c r="L81" s="597">
        <v>1950.0</v>
      </c>
      <c r="M81" s="517"/>
      <c r="N81" s="517">
        <f t="shared" ref="N81:N97" si="52">L81-J81</f>
        <v>120</v>
      </c>
      <c r="O81" s="518">
        <f t="shared" ref="O81:O82" si="53">L81/J81-1</f>
        <v>0.06557377049</v>
      </c>
      <c r="P81" s="495">
        <f t="shared" ref="P81:P97" si="54">H81*O81</f>
        <v>18000</v>
      </c>
      <c r="Q81" s="512"/>
      <c r="R81" s="514"/>
      <c r="S81" s="523"/>
      <c r="T81" s="524"/>
      <c r="U81" s="525"/>
      <c r="V81" s="526"/>
      <c r="W81" s="523"/>
      <c r="X81" s="524"/>
      <c r="Y81" s="525"/>
      <c r="Z81" s="526"/>
    </row>
    <row r="82">
      <c r="A82" s="344" t="s">
        <v>153</v>
      </c>
      <c r="B82" s="596">
        <f>I81+I82</f>
        <v>542500</v>
      </c>
      <c r="C82" s="512">
        <f>I82/E131</f>
        <v>0.02186462004</v>
      </c>
      <c r="D82" s="344" t="s">
        <v>154</v>
      </c>
      <c r="E82" s="344" t="s">
        <v>155</v>
      </c>
      <c r="F82" s="195">
        <v>8.5</v>
      </c>
      <c r="G82" s="513">
        <v>10000.0</v>
      </c>
      <c r="H82" s="217">
        <f t="shared" si="50"/>
        <v>233300</v>
      </c>
      <c r="I82" s="514">
        <f t="shared" si="51"/>
        <v>250000</v>
      </c>
      <c r="J82" s="216">
        <v>23.33</v>
      </c>
      <c r="K82" s="594"/>
      <c r="L82" s="597">
        <v>25.0</v>
      </c>
      <c r="M82" s="517"/>
      <c r="N82" s="517">
        <f t="shared" si="52"/>
        <v>1.67</v>
      </c>
      <c r="O82" s="518">
        <f t="shared" si="53"/>
        <v>0.07158165452</v>
      </c>
      <c r="P82" s="514">
        <f t="shared" si="54"/>
        <v>16700</v>
      </c>
      <c r="Q82" s="512"/>
      <c r="R82" s="514"/>
      <c r="S82" s="523"/>
      <c r="T82" s="524"/>
      <c r="U82" s="525"/>
      <c r="V82" s="526"/>
      <c r="W82" s="523"/>
      <c r="X82" s="524"/>
      <c r="Y82" s="525"/>
      <c r="Z82" s="526"/>
    </row>
    <row r="83">
      <c r="A83" s="344" t="s">
        <v>156</v>
      </c>
      <c r="B83" s="598">
        <f>B82/E131</f>
        <v>0.0474462255</v>
      </c>
      <c r="C83" s="512">
        <f>I83/E131</f>
        <v>0</v>
      </c>
      <c r="D83" s="344" t="s">
        <v>570</v>
      </c>
      <c r="E83" s="344" t="s">
        <v>158</v>
      </c>
      <c r="F83" s="195">
        <v>8.2</v>
      </c>
      <c r="G83" s="513">
        <v>5000.0</v>
      </c>
      <c r="H83" s="217">
        <f t="shared" si="50"/>
        <v>156950</v>
      </c>
      <c r="I83" s="217">
        <v>0.0</v>
      </c>
      <c r="J83" s="216">
        <v>31.39</v>
      </c>
      <c r="K83" s="568">
        <f>IFERROR(__xludf.DUMMYFUNCTION("GOOGLEFINANCE(E83,""changepct"")"),-1.43)</f>
        <v>-1.43</v>
      </c>
      <c r="L83" s="516">
        <f>IFERROR(__xludf.DUMMYFUNCTION("googlefinance(E83,""price"")"),33.77)</f>
        <v>33.77</v>
      </c>
      <c r="M83" s="216">
        <v>31.26</v>
      </c>
      <c r="N83" s="517">
        <f t="shared" si="52"/>
        <v>2.38</v>
      </c>
      <c r="O83" s="518">
        <f>M83/J83-1</f>
        <v>-0.00414144632</v>
      </c>
      <c r="P83" s="514">
        <f t="shared" si="54"/>
        <v>-650</v>
      </c>
      <c r="Q83" s="538">
        <v>0.006</v>
      </c>
      <c r="R83" s="217"/>
      <c r="S83" s="519" t="s">
        <v>158</v>
      </c>
      <c r="T83" s="520">
        <v>44566.0</v>
      </c>
      <c r="U83" s="521">
        <v>31.26</v>
      </c>
      <c r="V83" s="522">
        <v>156300.0</v>
      </c>
      <c r="W83" s="523"/>
      <c r="X83" s="524"/>
      <c r="Y83" s="525"/>
      <c r="Z83" s="526"/>
    </row>
    <row r="84">
      <c r="A84" s="344" t="s">
        <v>159</v>
      </c>
      <c r="B84" s="596" t="str">
        <f>I84+I89+I95+I88+I96+I90+I91+I86+I87+I92+I93+I94</f>
        <v>#N/A</v>
      </c>
      <c r="C84" s="512">
        <f>I84/E131</f>
        <v>0.01480497152</v>
      </c>
      <c r="D84" s="344" t="s">
        <v>160</v>
      </c>
      <c r="E84" s="344" t="s">
        <v>161</v>
      </c>
      <c r="F84" s="195">
        <v>8.1</v>
      </c>
      <c r="G84" s="513">
        <v>4000.0</v>
      </c>
      <c r="H84" s="217">
        <f t="shared" si="50"/>
        <v>164720</v>
      </c>
      <c r="I84" s="514">
        <f>H84+P84</f>
        <v>169280</v>
      </c>
      <c r="J84" s="216">
        <v>41.18</v>
      </c>
      <c r="K84" s="568">
        <f>IFERROR(__xludf.DUMMYFUNCTION("GOOGLEFINANCE(E84,""changepct"")"),-1.7)</f>
        <v>-1.7</v>
      </c>
      <c r="L84" s="516">
        <f>IFERROR(__xludf.DUMMYFUNCTION("googlefinance(E84,""price"")"),42.32)</f>
        <v>42.32</v>
      </c>
      <c r="M84" s="216"/>
      <c r="N84" s="517">
        <f t="shared" si="52"/>
        <v>1.14</v>
      </c>
      <c r="O84" s="518">
        <f>L84/J84-1</f>
        <v>0.02768334143</v>
      </c>
      <c r="P84" s="514">
        <f t="shared" si="54"/>
        <v>4560</v>
      </c>
      <c r="Q84" s="538">
        <v>0.019</v>
      </c>
      <c r="R84" s="217">
        <v>888.0</v>
      </c>
      <c r="S84" s="523"/>
      <c r="T84" s="520"/>
      <c r="U84" s="521"/>
      <c r="V84" s="522"/>
      <c r="W84" s="523"/>
      <c r="X84" s="524"/>
      <c r="Y84" s="525"/>
      <c r="Z84" s="526"/>
    </row>
    <row r="85">
      <c r="A85" s="104" t="s">
        <v>162</v>
      </c>
      <c r="B85" s="599" t="str">
        <f>B84/E131</f>
        <v>#N/A</v>
      </c>
      <c r="C85" s="512">
        <f>I85/E131</f>
        <v>0</v>
      </c>
      <c r="D85" s="344" t="s">
        <v>506</v>
      </c>
      <c r="E85" s="344" t="s">
        <v>169</v>
      </c>
      <c r="F85" s="195">
        <v>8.0</v>
      </c>
      <c r="G85" s="513">
        <v>2200.0</v>
      </c>
      <c r="H85" s="217">
        <f t="shared" si="50"/>
        <v>134816</v>
      </c>
      <c r="I85" s="217">
        <v>0.0</v>
      </c>
      <c r="J85" s="216">
        <v>61.28</v>
      </c>
      <c r="K85" s="568">
        <f>IFERROR(__xludf.DUMMYFUNCTION("GOOGLEFINANCE(E85,""changepct"")"),-2.22)</f>
        <v>-2.22</v>
      </c>
      <c r="L85" s="516">
        <f>IFERROR(__xludf.DUMMYFUNCTION("googlefinance(E85,""price"")"),37.0)</f>
        <v>37</v>
      </c>
      <c r="M85" s="216">
        <v>60.97</v>
      </c>
      <c r="N85" s="517">
        <f t="shared" si="52"/>
        <v>-24.28</v>
      </c>
      <c r="O85" s="518">
        <f>M85/J85-1</f>
        <v>-0.005058746736</v>
      </c>
      <c r="P85" s="514">
        <f t="shared" si="54"/>
        <v>-682</v>
      </c>
      <c r="Q85" s="538">
        <v>0.039</v>
      </c>
      <c r="R85" s="217"/>
      <c r="S85" s="519" t="s">
        <v>169</v>
      </c>
      <c r="T85" s="520">
        <v>44566.0</v>
      </c>
      <c r="U85" s="521">
        <v>60.97</v>
      </c>
      <c r="V85" s="522">
        <v>134134.0</v>
      </c>
      <c r="W85" s="523"/>
      <c r="X85" s="524"/>
      <c r="Y85" s="525"/>
      <c r="Z85" s="526"/>
    </row>
    <row r="86">
      <c r="A86" s="528"/>
      <c r="B86" s="528"/>
      <c r="C86" s="512">
        <f>I86/E131</f>
        <v>0.01132587318</v>
      </c>
      <c r="D86" s="344" t="s">
        <v>506</v>
      </c>
      <c r="E86" s="344" t="s">
        <v>169</v>
      </c>
      <c r="F86" s="195">
        <v>8.0</v>
      </c>
      <c r="G86" s="513">
        <v>3500.0</v>
      </c>
      <c r="H86" s="217">
        <f t="shared" si="50"/>
        <v>235095</v>
      </c>
      <c r="I86" s="217">
        <f t="shared" ref="I86:I96" si="55">H86+P86</f>
        <v>129500</v>
      </c>
      <c r="J86" s="216">
        <v>67.17</v>
      </c>
      <c r="K86" s="568">
        <f>IFERROR(__xludf.DUMMYFUNCTION("GOOGLEFINANCE(E86,""changepct"")"),-2.22)</f>
        <v>-2.22</v>
      </c>
      <c r="L86" s="516">
        <f>IFERROR(__xludf.DUMMYFUNCTION("googlefinance(E86,""price"")"),37.0)</f>
        <v>37</v>
      </c>
      <c r="M86" s="517"/>
      <c r="N86" s="517">
        <f t="shared" si="52"/>
        <v>-30.17</v>
      </c>
      <c r="O86" s="518">
        <f t="shared" ref="O86:O96" si="56">L86/J86-1</f>
        <v>-0.4491588507</v>
      </c>
      <c r="P86" s="514">
        <f t="shared" si="54"/>
        <v>-105595</v>
      </c>
      <c r="Q86" s="538"/>
      <c r="R86" s="217"/>
      <c r="S86" s="523"/>
      <c r="T86" s="524"/>
      <c r="U86" s="525"/>
      <c r="V86" s="526"/>
      <c r="W86" s="519" t="s">
        <v>169</v>
      </c>
      <c r="X86" s="520">
        <v>44610.0</v>
      </c>
      <c r="Y86" s="521">
        <v>67.17</v>
      </c>
      <c r="Z86" s="522">
        <v>235095.0</v>
      </c>
    </row>
    <row r="87">
      <c r="A87" s="528"/>
      <c r="B87" s="528"/>
      <c r="C87" s="512">
        <f>I87/E131</f>
        <v>0.02723457073</v>
      </c>
      <c r="D87" s="104" t="s">
        <v>165</v>
      </c>
      <c r="E87" s="104" t="s">
        <v>164</v>
      </c>
      <c r="F87" s="195">
        <v>8.1</v>
      </c>
      <c r="G87" s="513">
        <v>4000.0</v>
      </c>
      <c r="H87" s="217">
        <f t="shared" si="50"/>
        <v>218240</v>
      </c>
      <c r="I87" s="217">
        <f t="shared" si="55"/>
        <v>311400</v>
      </c>
      <c r="J87" s="216">
        <v>54.56</v>
      </c>
      <c r="K87" s="568">
        <f>IFERROR(__xludf.DUMMYFUNCTION("GOOGLEFINANCE(E87,""changepct"")"),-1.02)</f>
        <v>-1.02</v>
      </c>
      <c r="L87" s="516">
        <f>IFERROR(__xludf.DUMMYFUNCTION("googlefinance(E87,""price"")"),77.85)</f>
        <v>77.85</v>
      </c>
      <c r="M87" s="517"/>
      <c r="N87" s="517">
        <f t="shared" si="52"/>
        <v>23.29</v>
      </c>
      <c r="O87" s="518">
        <f t="shared" si="56"/>
        <v>0.4268695015</v>
      </c>
      <c r="P87" s="514">
        <f t="shared" si="54"/>
        <v>93160</v>
      </c>
      <c r="Q87" s="538"/>
      <c r="R87" s="217"/>
      <c r="S87" s="523"/>
      <c r="T87" s="524"/>
      <c r="U87" s="525"/>
      <c r="V87" s="526"/>
      <c r="W87" s="519" t="s">
        <v>164</v>
      </c>
      <c r="X87" s="520">
        <v>44610.0</v>
      </c>
      <c r="Y87" s="521">
        <v>54.56</v>
      </c>
      <c r="Z87" s="522">
        <v>218240.0</v>
      </c>
    </row>
    <row r="88">
      <c r="A88" s="528"/>
      <c r="B88" s="528"/>
      <c r="C88" s="512">
        <f>I88/E131</f>
        <v>0.01476736438</v>
      </c>
      <c r="D88" s="344" t="s">
        <v>570</v>
      </c>
      <c r="E88" s="344" t="s">
        <v>158</v>
      </c>
      <c r="F88" s="195">
        <v>8.2</v>
      </c>
      <c r="G88" s="513">
        <v>5000.0</v>
      </c>
      <c r="H88" s="217">
        <f t="shared" si="50"/>
        <v>148750</v>
      </c>
      <c r="I88" s="217">
        <f t="shared" si="55"/>
        <v>168850</v>
      </c>
      <c r="J88" s="216">
        <v>29.75</v>
      </c>
      <c r="K88" s="568">
        <f>IFERROR(__xludf.DUMMYFUNCTION("GOOGLEFINANCE(E88,""changepct"")"),-1.43)</f>
        <v>-1.43</v>
      </c>
      <c r="L88" s="516">
        <f>IFERROR(__xludf.DUMMYFUNCTION("googlefinance(E88,""price"")"),33.77)</f>
        <v>33.77</v>
      </c>
      <c r="M88" s="517"/>
      <c r="N88" s="517">
        <f t="shared" si="52"/>
        <v>4.02</v>
      </c>
      <c r="O88" s="518">
        <f t="shared" si="56"/>
        <v>0.1351260504</v>
      </c>
      <c r="P88" s="514">
        <f t="shared" si="54"/>
        <v>20100</v>
      </c>
      <c r="Q88" s="538">
        <v>0.006</v>
      </c>
      <c r="R88" s="217">
        <v>286.0</v>
      </c>
      <c r="S88" s="523"/>
      <c r="T88" s="524"/>
      <c r="U88" s="525"/>
      <c r="V88" s="526"/>
      <c r="W88" s="519" t="s">
        <v>158</v>
      </c>
      <c r="X88" s="520">
        <v>44568.0</v>
      </c>
      <c r="Y88" s="521">
        <v>29.75</v>
      </c>
      <c r="Z88" s="522">
        <v>148750.0</v>
      </c>
    </row>
    <row r="89">
      <c r="A89" s="528"/>
      <c r="B89" s="528"/>
      <c r="C89" s="512">
        <f>I89/E131</f>
        <v>0.02004985658</v>
      </c>
      <c r="D89" s="344" t="s">
        <v>166</v>
      </c>
      <c r="E89" s="344" t="s">
        <v>167</v>
      </c>
      <c r="F89" s="195">
        <v>7.9</v>
      </c>
      <c r="G89" s="513">
        <v>25000.0</v>
      </c>
      <c r="H89" s="217">
        <f t="shared" si="50"/>
        <v>140750</v>
      </c>
      <c r="I89" s="514">
        <f t="shared" si="55"/>
        <v>229250</v>
      </c>
      <c r="J89" s="216">
        <v>5.63</v>
      </c>
      <c r="K89" s="568">
        <f>IFERROR(__xludf.DUMMYFUNCTION("GOOGLEFINANCE(E89,""changepct"")"),-1.5)</f>
        <v>-1.5</v>
      </c>
      <c r="L89" s="516">
        <f>IFERROR(__xludf.DUMMYFUNCTION("googlefinance(E89,""price"")"),9.17)</f>
        <v>9.17</v>
      </c>
      <c r="M89" s="517"/>
      <c r="N89" s="517">
        <f t="shared" si="52"/>
        <v>3.54</v>
      </c>
      <c r="O89" s="518">
        <f t="shared" si="56"/>
        <v>0.6287744227</v>
      </c>
      <c r="P89" s="514">
        <f t="shared" si="54"/>
        <v>88500</v>
      </c>
      <c r="Q89" s="538">
        <v>0.02</v>
      </c>
      <c r="R89" s="217">
        <v>735.0</v>
      </c>
      <c r="S89" s="523"/>
      <c r="T89" s="524"/>
      <c r="U89" s="525"/>
      <c r="V89" s="526"/>
      <c r="W89" s="519"/>
      <c r="X89" s="520"/>
      <c r="Y89" s="521"/>
      <c r="Z89" s="522"/>
    </row>
    <row r="90">
      <c r="A90" s="528"/>
      <c r="B90" s="528"/>
      <c r="C90" s="512" t="str">
        <f>I90/E131</f>
        <v>#N/A</v>
      </c>
      <c r="D90" s="104" t="s">
        <v>617</v>
      </c>
      <c r="E90" s="104" t="s">
        <v>618</v>
      </c>
      <c r="F90" s="195">
        <v>8.0</v>
      </c>
      <c r="G90" s="513">
        <v>30000.0</v>
      </c>
      <c r="H90" s="217">
        <f t="shared" si="50"/>
        <v>122700</v>
      </c>
      <c r="I90" s="514" t="str">
        <f t="shared" si="55"/>
        <v>#N/A</v>
      </c>
      <c r="J90" s="216">
        <v>4.09</v>
      </c>
      <c r="K90" s="568" t="str">
        <f>IFERROR(__xludf.DUMMYFUNCTION("GOOGLEFINANCE(E90,""changepct"")"),"#N/A")</f>
        <v>#N/A</v>
      </c>
      <c r="L90" s="516" t="str">
        <f>IFERROR(__xludf.DUMMYFUNCTION("googlefinance(E90,""price"")"),"#N/A")</f>
        <v>#N/A</v>
      </c>
      <c r="M90" s="216"/>
      <c r="N90" s="528" t="str">
        <f t="shared" si="52"/>
        <v>#N/A</v>
      </c>
      <c r="O90" s="518" t="str">
        <f t="shared" si="56"/>
        <v>#N/A</v>
      </c>
      <c r="P90" s="528" t="str">
        <f t="shared" si="54"/>
        <v>#N/A</v>
      </c>
      <c r="Q90" s="538">
        <v>0.03</v>
      </c>
      <c r="R90" s="217">
        <v>1252.0</v>
      </c>
      <c r="S90" s="523"/>
      <c r="T90" s="520"/>
      <c r="U90" s="521"/>
      <c r="V90" s="522"/>
      <c r="W90" s="519" t="s">
        <v>618</v>
      </c>
      <c r="X90" s="520">
        <v>44573.0</v>
      </c>
      <c r="Y90" s="521">
        <v>4.09</v>
      </c>
      <c r="Z90" s="522">
        <v>122700.0</v>
      </c>
    </row>
    <row r="91">
      <c r="A91" s="528"/>
      <c r="B91" s="528"/>
      <c r="C91" s="512">
        <f>I91/E131</f>
        <v>0.01150953599</v>
      </c>
      <c r="D91" s="104" t="s">
        <v>687</v>
      </c>
      <c r="E91" s="104" t="s">
        <v>688</v>
      </c>
      <c r="F91" s="195">
        <v>7.8</v>
      </c>
      <c r="G91" s="513">
        <v>10000.0</v>
      </c>
      <c r="H91" s="217">
        <f t="shared" si="50"/>
        <v>108100</v>
      </c>
      <c r="I91" s="514">
        <f t="shared" si="55"/>
        <v>131600</v>
      </c>
      <c r="J91" s="216">
        <v>10.81</v>
      </c>
      <c r="K91" s="568">
        <f>IFERROR(__xludf.DUMMYFUNCTION("GOOGLEFINANCE(E91,""changepct"")"),-1.72)</f>
        <v>-1.72</v>
      </c>
      <c r="L91" s="516">
        <f>IFERROR(__xludf.DUMMYFUNCTION("googlefinance(E91,""price"")"),13.16)</f>
        <v>13.16</v>
      </c>
      <c r="M91" s="216"/>
      <c r="N91" s="517">
        <f t="shared" si="52"/>
        <v>2.35</v>
      </c>
      <c r="O91" s="518">
        <f t="shared" si="56"/>
        <v>0.2173913043</v>
      </c>
      <c r="P91" s="514">
        <f t="shared" si="54"/>
        <v>23500</v>
      </c>
      <c r="Q91" s="538">
        <v>0.034</v>
      </c>
      <c r="R91" s="217">
        <v>1318.0</v>
      </c>
      <c r="S91" s="523"/>
      <c r="T91" s="520"/>
      <c r="U91" s="521"/>
      <c r="V91" s="522"/>
      <c r="W91" s="519" t="s">
        <v>688</v>
      </c>
      <c r="X91" s="520">
        <v>44573.0</v>
      </c>
      <c r="Y91" s="521">
        <v>10.81</v>
      </c>
      <c r="Z91" s="522">
        <v>108100.0</v>
      </c>
    </row>
    <row r="92">
      <c r="A92" s="528"/>
      <c r="B92" s="528"/>
      <c r="C92" s="512">
        <f>I92/E131</f>
        <v>0.007071018123</v>
      </c>
      <c r="D92" s="104" t="s">
        <v>549</v>
      </c>
      <c r="E92" s="104" t="s">
        <v>550</v>
      </c>
      <c r="F92" s="195">
        <v>7.7</v>
      </c>
      <c r="G92" s="513">
        <v>15000.0</v>
      </c>
      <c r="H92" s="217">
        <f t="shared" si="50"/>
        <v>173850</v>
      </c>
      <c r="I92" s="514">
        <f t="shared" si="55"/>
        <v>80850</v>
      </c>
      <c r="J92" s="216">
        <v>11.59</v>
      </c>
      <c r="K92" s="568">
        <f>IFERROR(__xludf.DUMMYFUNCTION("GOOGLEFINANCE(E92,""changepct"")"),-2.71)</f>
        <v>-2.71</v>
      </c>
      <c r="L92" s="516">
        <f>IFERROR(__xludf.DUMMYFUNCTION("googlefinance(E92,""price"")"),5.39)</f>
        <v>5.39</v>
      </c>
      <c r="M92" s="216"/>
      <c r="N92" s="517">
        <f t="shared" si="52"/>
        <v>-6.2</v>
      </c>
      <c r="O92" s="518">
        <f t="shared" si="56"/>
        <v>-0.5349439172</v>
      </c>
      <c r="P92" s="514">
        <f t="shared" si="54"/>
        <v>-93000</v>
      </c>
      <c r="Q92" s="538"/>
      <c r="R92" s="217"/>
      <c r="S92" s="523"/>
      <c r="T92" s="520"/>
      <c r="U92" s="521"/>
      <c r="V92" s="522"/>
      <c r="W92" s="519" t="s">
        <v>550</v>
      </c>
      <c r="X92" s="520">
        <v>44610.0</v>
      </c>
      <c r="Y92" s="521">
        <v>11.59</v>
      </c>
      <c r="Z92" s="522">
        <v>173850.0</v>
      </c>
    </row>
    <row r="93">
      <c r="A93" s="528"/>
      <c r="B93" s="528"/>
      <c r="C93" s="512">
        <f>I93/E131</f>
        <v>0.01395137676</v>
      </c>
      <c r="D93" s="104" t="s">
        <v>357</v>
      </c>
      <c r="E93" s="104" t="s">
        <v>174</v>
      </c>
      <c r="F93" s="195">
        <v>7.9</v>
      </c>
      <c r="G93" s="513">
        <v>8000.0</v>
      </c>
      <c r="H93" s="217">
        <f t="shared" si="50"/>
        <v>189920</v>
      </c>
      <c r="I93" s="514">
        <f t="shared" si="55"/>
        <v>159520</v>
      </c>
      <c r="J93" s="216">
        <v>23.74</v>
      </c>
      <c r="K93" s="568">
        <f>IFERROR(__xludf.DUMMYFUNCTION("GOOGLEFINANCE(E93,""changepct"")"),-3.11)</f>
        <v>-3.11</v>
      </c>
      <c r="L93" s="516">
        <f>IFERROR(__xludf.DUMMYFUNCTION("googlefinance(E93,""price"")"),19.94)</f>
        <v>19.94</v>
      </c>
      <c r="M93" s="216"/>
      <c r="N93" s="517">
        <f t="shared" si="52"/>
        <v>-3.8</v>
      </c>
      <c r="O93" s="518">
        <f t="shared" si="56"/>
        <v>-0.1600673968</v>
      </c>
      <c r="P93" s="514">
        <f t="shared" si="54"/>
        <v>-30400</v>
      </c>
      <c r="Q93" s="538"/>
      <c r="R93" s="217"/>
      <c r="S93" s="523"/>
      <c r="T93" s="520"/>
      <c r="U93" s="521"/>
      <c r="V93" s="522"/>
      <c r="W93" s="519" t="s">
        <v>174</v>
      </c>
      <c r="X93" s="520">
        <v>44610.0</v>
      </c>
      <c r="Y93" s="521">
        <v>23.74</v>
      </c>
      <c r="Z93" s="522">
        <v>189920.0</v>
      </c>
    </row>
    <row r="94">
      <c r="A94" s="528"/>
      <c r="B94" s="528"/>
      <c r="C94" s="512">
        <f>I94/E131</f>
        <v>0.01472800806</v>
      </c>
      <c r="D94" s="104" t="s">
        <v>572</v>
      </c>
      <c r="E94" s="104" t="s">
        <v>573</v>
      </c>
      <c r="F94" s="195">
        <v>7.7</v>
      </c>
      <c r="G94" s="513">
        <v>40000.0</v>
      </c>
      <c r="H94" s="217">
        <f t="shared" si="50"/>
        <v>145200</v>
      </c>
      <c r="I94" s="514">
        <f t="shared" si="55"/>
        <v>168400</v>
      </c>
      <c r="J94" s="216">
        <v>3.63</v>
      </c>
      <c r="K94" s="568">
        <f>IFERROR(__xludf.DUMMYFUNCTION("GOOGLEFINANCE(E94,""changepct"")"),-2.55)</f>
        <v>-2.55</v>
      </c>
      <c r="L94" s="516">
        <f>IFERROR(__xludf.DUMMYFUNCTION("googlefinance(E94,""price"")"),4.21)</f>
        <v>4.21</v>
      </c>
      <c r="M94" s="216"/>
      <c r="N94" s="517">
        <f t="shared" si="52"/>
        <v>0.58</v>
      </c>
      <c r="O94" s="518">
        <f t="shared" si="56"/>
        <v>0.1597796143</v>
      </c>
      <c r="P94" s="514">
        <f t="shared" si="54"/>
        <v>23200</v>
      </c>
      <c r="Q94" s="538"/>
      <c r="R94" s="217"/>
      <c r="S94" s="523"/>
      <c r="T94" s="520"/>
      <c r="U94" s="521"/>
      <c r="V94" s="522"/>
      <c r="W94" s="519" t="s">
        <v>573</v>
      </c>
      <c r="X94" s="520">
        <v>44610.0</v>
      </c>
      <c r="Y94" s="521">
        <v>3.63</v>
      </c>
      <c r="Z94" s="522">
        <v>145200.0</v>
      </c>
    </row>
    <row r="95">
      <c r="A95" s="528"/>
      <c r="B95" s="528"/>
      <c r="C95" s="512">
        <f>I95/E131</f>
        <v>0.01029561229</v>
      </c>
      <c r="D95" s="344" t="s">
        <v>507</v>
      </c>
      <c r="E95" s="344" t="s">
        <v>508</v>
      </c>
      <c r="F95" s="195">
        <v>8.0</v>
      </c>
      <c r="G95" s="513">
        <v>12000.0</v>
      </c>
      <c r="H95" s="217">
        <f t="shared" si="50"/>
        <v>147120</v>
      </c>
      <c r="I95" s="514">
        <f t="shared" si="55"/>
        <v>117720</v>
      </c>
      <c r="J95" s="216">
        <v>12.26</v>
      </c>
      <c r="K95" s="568">
        <f>IFERROR(__xludf.DUMMYFUNCTION("GOOGLEFINANCE(E95,""changepct"")"),-2.77)</f>
        <v>-2.77</v>
      </c>
      <c r="L95" s="516">
        <f>IFERROR(__xludf.DUMMYFUNCTION("googlefinance(E95,""price"")"),9.81)</f>
        <v>9.81</v>
      </c>
      <c r="M95" s="216"/>
      <c r="N95" s="517">
        <f t="shared" si="52"/>
        <v>-2.45</v>
      </c>
      <c r="O95" s="518">
        <f t="shared" si="56"/>
        <v>-0.1998368679</v>
      </c>
      <c r="P95" s="514">
        <f t="shared" si="54"/>
        <v>-29400</v>
      </c>
      <c r="Q95" s="538">
        <v>0.035</v>
      </c>
      <c r="R95" s="217">
        <v>1470.0</v>
      </c>
      <c r="S95" s="523"/>
      <c r="T95" s="520"/>
      <c r="U95" s="521"/>
      <c r="V95" s="522"/>
      <c r="W95" s="519"/>
      <c r="X95" s="520"/>
      <c r="Y95" s="521"/>
      <c r="Z95" s="522"/>
    </row>
    <row r="96">
      <c r="A96" s="528"/>
      <c r="B96" s="528"/>
      <c r="C96" s="512">
        <f>I96/E131</f>
        <v>0.01200630016</v>
      </c>
      <c r="D96" s="600" t="s">
        <v>179</v>
      </c>
      <c r="E96" s="344" t="s">
        <v>180</v>
      </c>
      <c r="F96" s="195">
        <v>8.1</v>
      </c>
      <c r="G96" s="513">
        <v>12000.0</v>
      </c>
      <c r="H96" s="217">
        <f t="shared" si="50"/>
        <v>142920</v>
      </c>
      <c r="I96" s="514">
        <f t="shared" si="55"/>
        <v>137280</v>
      </c>
      <c r="J96" s="216">
        <v>11.91</v>
      </c>
      <c r="K96" s="568">
        <f>IFERROR(__xludf.DUMMYFUNCTION("GOOGLEFINANCE(E96,""changepct"")"),-2.8)</f>
        <v>-2.8</v>
      </c>
      <c r="L96" s="516">
        <f>IFERROR(__xludf.DUMMYFUNCTION("googlefinance(E96,""price"")"),11.44)</f>
        <v>11.44</v>
      </c>
      <c r="M96" s="216"/>
      <c r="N96" s="517">
        <f t="shared" si="52"/>
        <v>-0.47</v>
      </c>
      <c r="O96" s="518">
        <f t="shared" si="56"/>
        <v>-0.03946263644</v>
      </c>
      <c r="P96" s="514">
        <f t="shared" si="54"/>
        <v>-5640</v>
      </c>
      <c r="Q96" s="538">
        <v>0.013</v>
      </c>
      <c r="R96" s="217">
        <v>552.0</v>
      </c>
      <c r="S96" s="519"/>
      <c r="T96" s="520"/>
      <c r="U96" s="521"/>
      <c r="V96" s="522"/>
      <c r="W96" s="519" t="s">
        <v>180</v>
      </c>
      <c r="X96" s="520">
        <v>44568.0</v>
      </c>
      <c r="Y96" s="521">
        <v>11.91</v>
      </c>
      <c r="Z96" s="522">
        <v>142920.0</v>
      </c>
    </row>
    <row r="97">
      <c r="A97" s="528"/>
      <c r="B97" s="528"/>
      <c r="C97" s="512">
        <f>I97/E131</f>
        <v>0</v>
      </c>
      <c r="D97" s="600" t="s">
        <v>179</v>
      </c>
      <c r="E97" s="344" t="s">
        <v>180</v>
      </c>
      <c r="F97" s="195">
        <v>8.1</v>
      </c>
      <c r="G97" s="513">
        <v>15000.0</v>
      </c>
      <c r="H97" s="217">
        <f t="shared" si="50"/>
        <v>190800</v>
      </c>
      <c r="I97" s="217">
        <v>0.0</v>
      </c>
      <c r="J97" s="216">
        <v>12.72</v>
      </c>
      <c r="K97" s="568">
        <f>IFERROR(__xludf.DUMMYFUNCTION("GOOGLEFINANCE(E97,""changepct"")"),-2.8)</f>
        <v>-2.8</v>
      </c>
      <c r="L97" s="516">
        <f>IFERROR(__xludf.DUMMYFUNCTION("googlefinance(E97,""price"")"),11.44)</f>
        <v>11.44</v>
      </c>
      <c r="M97" s="216">
        <v>12.72</v>
      </c>
      <c r="N97" s="517">
        <f t="shared" si="52"/>
        <v>-1.28</v>
      </c>
      <c r="O97" s="518">
        <f>M97/J97-1</f>
        <v>0</v>
      </c>
      <c r="P97" s="514">
        <f t="shared" si="54"/>
        <v>0</v>
      </c>
      <c r="Q97" s="538">
        <v>0.013</v>
      </c>
      <c r="R97" s="217"/>
      <c r="S97" s="519" t="s">
        <v>180</v>
      </c>
      <c r="T97" s="520">
        <v>44566.0</v>
      </c>
      <c r="U97" s="521">
        <v>12.72</v>
      </c>
      <c r="V97" s="522">
        <v>190800.0</v>
      </c>
      <c r="W97" s="523"/>
      <c r="X97" s="524"/>
      <c r="Y97" s="525"/>
      <c r="Z97" s="526"/>
    </row>
    <row r="98">
      <c r="A98" s="173"/>
      <c r="B98" s="173"/>
      <c r="C98" s="13"/>
      <c r="D98" s="13"/>
      <c r="E98" s="13"/>
      <c r="F98" s="13"/>
      <c r="G98" s="509"/>
      <c r="H98" s="509">
        <f t="shared" ref="H98:I98" si="57">SUM(H81:H97)</f>
        <v>2927731</v>
      </c>
      <c r="I98" s="539" t="str">
        <f t="shared" si="57"/>
        <v>#N/A</v>
      </c>
      <c r="J98" s="506"/>
      <c r="K98" s="506"/>
      <c r="L98" s="507"/>
      <c r="M98" s="507"/>
      <c r="N98" s="507"/>
      <c r="O98" s="636">
        <v>0.26</v>
      </c>
      <c r="P98" s="625">
        <v>375068.0</v>
      </c>
      <c r="Q98" s="13"/>
      <c r="R98" s="509">
        <f>SUM(R81:R97)</f>
        <v>6501</v>
      </c>
      <c r="S98" s="510" t="s">
        <v>89</v>
      </c>
      <c r="T98" s="542"/>
      <c r="U98" s="543"/>
      <c r="V98" s="544">
        <f>SUM(V81:V97)</f>
        <v>481234</v>
      </c>
      <c r="W98" s="510" t="s">
        <v>89</v>
      </c>
      <c r="X98" s="542"/>
      <c r="Y98" s="542"/>
      <c r="Z98" s="570">
        <f>SUM(Z81:Z97)</f>
        <v>1484775</v>
      </c>
    </row>
    <row r="99">
      <c r="A99" s="173"/>
      <c r="B99" s="504" t="s">
        <v>181</v>
      </c>
      <c r="C99" s="504" t="s">
        <v>2</v>
      </c>
      <c r="D99" s="13" t="s">
        <v>182</v>
      </c>
      <c r="E99" s="13" t="s">
        <v>4</v>
      </c>
      <c r="F99" s="13" t="s">
        <v>5</v>
      </c>
      <c r="G99" s="504" t="s">
        <v>6</v>
      </c>
      <c r="H99" s="504" t="s">
        <v>7</v>
      </c>
      <c r="I99" s="505" t="s">
        <v>8</v>
      </c>
      <c r="J99" s="505" t="s">
        <v>9</v>
      </c>
      <c r="K99" s="506" t="s">
        <v>10</v>
      </c>
      <c r="L99" s="506" t="s">
        <v>11</v>
      </c>
      <c r="M99" s="507" t="s">
        <v>476</v>
      </c>
      <c r="N99" s="507" t="s">
        <v>13</v>
      </c>
      <c r="O99" s="504" t="s">
        <v>14</v>
      </c>
      <c r="P99" s="508" t="s">
        <v>15</v>
      </c>
      <c r="Q99" s="13" t="s">
        <v>16</v>
      </c>
      <c r="R99" s="13" t="s">
        <v>17</v>
      </c>
      <c r="S99" s="510" t="s">
        <v>21</v>
      </c>
      <c r="T99" s="510" t="s">
        <v>22</v>
      </c>
      <c r="U99" s="511" t="s">
        <v>23</v>
      </c>
      <c r="V99" s="511" t="s">
        <v>24</v>
      </c>
      <c r="W99" s="510" t="s">
        <v>25</v>
      </c>
      <c r="X99" s="510" t="s">
        <v>26</v>
      </c>
      <c r="Y99" s="510" t="s">
        <v>27</v>
      </c>
      <c r="Z99" s="510" t="s">
        <v>28</v>
      </c>
    </row>
    <row r="100">
      <c r="A100" s="502" t="s">
        <v>29</v>
      </c>
      <c r="B100" s="527">
        <f>I125/E131</f>
        <v>0</v>
      </c>
      <c r="C100" s="512">
        <f>I100/E131</f>
        <v>0</v>
      </c>
      <c r="D100" s="601" t="s">
        <v>413</v>
      </c>
      <c r="E100" s="344" t="s">
        <v>185</v>
      </c>
      <c r="F100" s="195">
        <v>7.6</v>
      </c>
      <c r="G100" s="217" t="s">
        <v>128</v>
      </c>
      <c r="H100" s="217">
        <v>480757.0</v>
      </c>
      <c r="I100" s="217">
        <v>0.0</v>
      </c>
      <c r="J100" s="215">
        <v>45688.0</v>
      </c>
      <c r="K100" s="568"/>
      <c r="L100" s="452"/>
      <c r="M100" s="217">
        <v>45311.0</v>
      </c>
      <c r="N100" s="595">
        <f t="shared" ref="N100:N124" si="58">L100-J100</f>
        <v>-45688</v>
      </c>
      <c r="O100" s="518">
        <f t="shared" ref="O100:O103" si="59">M100/J100-1</f>
        <v>-0.008251619681</v>
      </c>
      <c r="P100" s="514">
        <f t="shared" ref="P100:P124" si="60">H100*O100</f>
        <v>-3967.023923</v>
      </c>
      <c r="Q100" s="528"/>
      <c r="R100" s="528"/>
      <c r="S100" s="519" t="s">
        <v>186</v>
      </c>
      <c r="T100" s="520">
        <v>44566.0</v>
      </c>
      <c r="U100" s="522">
        <v>45311.0</v>
      </c>
      <c r="V100" s="522">
        <v>476790.0</v>
      </c>
      <c r="W100" s="519"/>
      <c r="X100" s="520"/>
      <c r="Y100" s="522"/>
      <c r="Z100" s="522"/>
    </row>
    <row r="101">
      <c r="A101" s="528"/>
      <c r="B101" s="528"/>
      <c r="C101" s="512">
        <f>I101/E131</f>
        <v>0</v>
      </c>
      <c r="D101" s="601" t="s">
        <v>413</v>
      </c>
      <c r="E101" s="344" t="s">
        <v>185</v>
      </c>
      <c r="F101" s="195">
        <v>7.6</v>
      </c>
      <c r="G101" s="217" t="s">
        <v>128</v>
      </c>
      <c r="H101" s="217">
        <v>234880.0</v>
      </c>
      <c r="I101" s="217">
        <v>0.0</v>
      </c>
      <c r="J101" s="215">
        <v>45311.0</v>
      </c>
      <c r="K101" s="568"/>
      <c r="L101" s="452"/>
      <c r="M101" s="217">
        <v>43998.0</v>
      </c>
      <c r="N101" s="595">
        <f t="shared" si="58"/>
        <v>-45311</v>
      </c>
      <c r="O101" s="518">
        <f t="shared" si="59"/>
        <v>-0.02897751098</v>
      </c>
      <c r="P101" s="514">
        <f t="shared" si="60"/>
        <v>-6806.237779</v>
      </c>
      <c r="Q101" s="528"/>
      <c r="R101" s="528"/>
      <c r="S101" s="519" t="s">
        <v>186</v>
      </c>
      <c r="T101" s="520">
        <v>44608.0</v>
      </c>
      <c r="U101" s="522">
        <v>43998.0</v>
      </c>
      <c r="V101" s="522">
        <v>228074.0</v>
      </c>
      <c r="W101" s="519" t="s">
        <v>186</v>
      </c>
      <c r="X101" s="520">
        <v>44566.0</v>
      </c>
      <c r="Y101" s="522">
        <v>45311.0</v>
      </c>
      <c r="Z101" s="522">
        <v>234880.0</v>
      </c>
    </row>
    <row r="102">
      <c r="A102" s="528"/>
      <c r="B102" s="528"/>
      <c r="C102" s="512">
        <f>I102/E131</f>
        <v>0</v>
      </c>
      <c r="D102" s="601" t="s">
        <v>413</v>
      </c>
      <c r="E102" s="344" t="s">
        <v>185</v>
      </c>
      <c r="F102" s="195">
        <v>7.6</v>
      </c>
      <c r="G102" s="217" t="s">
        <v>128</v>
      </c>
      <c r="H102" s="217">
        <v>193488.0</v>
      </c>
      <c r="I102" s="217">
        <v>0.0</v>
      </c>
      <c r="J102" s="216">
        <v>33424.3</v>
      </c>
      <c r="K102" s="568"/>
      <c r="L102" s="452"/>
      <c r="M102" s="217">
        <v>39982.0</v>
      </c>
      <c r="N102" s="595">
        <f t="shared" si="58"/>
        <v>-33424.3</v>
      </c>
      <c r="O102" s="518">
        <f t="shared" si="59"/>
        <v>0.1961955823</v>
      </c>
      <c r="P102" s="514">
        <f t="shared" si="60"/>
        <v>37961.49082</v>
      </c>
      <c r="Q102" s="528"/>
      <c r="R102" s="528"/>
      <c r="S102" s="519" t="s">
        <v>186</v>
      </c>
      <c r="T102" s="520">
        <v>44610.0</v>
      </c>
      <c r="U102" s="522">
        <v>39982.0</v>
      </c>
      <c r="V102" s="522">
        <v>231449.0</v>
      </c>
      <c r="W102" s="519" t="s">
        <v>186</v>
      </c>
      <c r="X102" s="520">
        <v>44585.0</v>
      </c>
      <c r="Y102" s="217">
        <v>33424.3</v>
      </c>
      <c r="Z102" s="522">
        <v>193488.0</v>
      </c>
    </row>
    <row r="103">
      <c r="A103" s="528"/>
      <c r="B103" s="528"/>
      <c r="C103" s="512">
        <f>I103/E131</f>
        <v>0</v>
      </c>
      <c r="D103" s="601" t="s">
        <v>413</v>
      </c>
      <c r="E103" s="344" t="s">
        <v>185</v>
      </c>
      <c r="F103" s="195">
        <v>7.6</v>
      </c>
      <c r="G103" s="217" t="s">
        <v>128</v>
      </c>
      <c r="H103" s="217">
        <v>245680.0</v>
      </c>
      <c r="I103" s="217">
        <v>0.0</v>
      </c>
      <c r="J103" s="216">
        <v>41567.87</v>
      </c>
      <c r="K103" s="568"/>
      <c r="L103" s="452"/>
      <c r="M103" s="217">
        <v>41609.0</v>
      </c>
      <c r="N103" s="595">
        <f t="shared" si="58"/>
        <v>-41567.87</v>
      </c>
      <c r="O103" s="518">
        <f t="shared" si="59"/>
        <v>0.000989466143</v>
      </c>
      <c r="P103" s="514">
        <f t="shared" si="60"/>
        <v>243.092042</v>
      </c>
      <c r="Q103" s="528"/>
      <c r="R103" s="528"/>
      <c r="S103" s="519" t="s">
        <v>186</v>
      </c>
      <c r="T103" s="520">
        <v>44579.0</v>
      </c>
      <c r="U103" s="522">
        <v>41609.0</v>
      </c>
      <c r="V103" s="522">
        <v>245923.0</v>
      </c>
      <c r="W103" s="519" t="s">
        <v>186</v>
      </c>
      <c r="X103" s="520">
        <v>44571.0</v>
      </c>
      <c r="Y103" s="217">
        <v>41567.87</v>
      </c>
      <c r="Z103" s="522">
        <v>245680.0</v>
      </c>
    </row>
    <row r="104">
      <c r="A104" s="528"/>
      <c r="B104" s="528"/>
      <c r="C104" s="512">
        <f>I104/E131</f>
        <v>0</v>
      </c>
      <c r="D104" s="601" t="s">
        <v>413</v>
      </c>
      <c r="E104" s="344" t="s">
        <v>185</v>
      </c>
      <c r="F104" s="195">
        <v>7.6</v>
      </c>
      <c r="G104" s="217" t="s">
        <v>128</v>
      </c>
      <c r="H104" s="217">
        <v>345667.0</v>
      </c>
      <c r="I104" s="217">
        <f t="shared" ref="I104:I105" si="61">H104+P104</f>
        <v>0</v>
      </c>
      <c r="J104" s="216">
        <v>38870.67</v>
      </c>
      <c r="K104" s="568"/>
      <c r="L104" s="452"/>
      <c r="M104" s="216"/>
      <c r="N104" s="595">
        <f t="shared" si="58"/>
        <v>-38870.67</v>
      </c>
      <c r="O104" s="518">
        <f t="shared" ref="O104:O105" si="62">L104/J104-1</f>
        <v>-1</v>
      </c>
      <c r="P104" s="514">
        <f t="shared" si="60"/>
        <v>-345667</v>
      </c>
      <c r="Q104" s="528"/>
      <c r="R104" s="528"/>
      <c r="S104" s="519"/>
      <c r="T104" s="520"/>
      <c r="U104" s="521"/>
      <c r="V104" s="522"/>
      <c r="W104" s="519" t="s">
        <v>186</v>
      </c>
      <c r="X104" s="520">
        <v>44635.0</v>
      </c>
      <c r="Y104" s="522">
        <v>38870.0</v>
      </c>
      <c r="Z104" s="522">
        <v>345667.0</v>
      </c>
    </row>
    <row r="105">
      <c r="A105" s="528"/>
      <c r="B105" s="528"/>
      <c r="C105" s="512">
        <f>I105/E131</f>
        <v>0</v>
      </c>
      <c r="D105" s="104" t="s">
        <v>574</v>
      </c>
      <c r="E105" s="529" t="s">
        <v>213</v>
      </c>
      <c r="F105" s="195">
        <v>7.4</v>
      </c>
      <c r="G105" s="217" t="s">
        <v>128</v>
      </c>
      <c r="H105" s="217">
        <v>147668.0</v>
      </c>
      <c r="I105" s="217">
        <f t="shared" si="61"/>
        <v>0</v>
      </c>
      <c r="J105" s="216">
        <v>0.794</v>
      </c>
      <c r="K105" s="568"/>
      <c r="L105" s="452"/>
      <c r="M105" s="216"/>
      <c r="N105" s="595">
        <f t="shared" si="58"/>
        <v>-0.794</v>
      </c>
      <c r="O105" s="518">
        <f t="shared" si="62"/>
        <v>-1</v>
      </c>
      <c r="P105" s="514">
        <f t="shared" si="60"/>
        <v>-147668</v>
      </c>
      <c r="Q105" s="528"/>
      <c r="R105" s="528"/>
      <c r="S105" s="519"/>
      <c r="T105" s="520"/>
      <c r="U105" s="521"/>
      <c r="V105" s="522"/>
      <c r="W105" s="519" t="s">
        <v>214</v>
      </c>
      <c r="X105" s="520">
        <v>44635.0</v>
      </c>
      <c r="Y105" s="531">
        <v>0.794</v>
      </c>
      <c r="Z105" s="522">
        <v>147668.0</v>
      </c>
    </row>
    <row r="106">
      <c r="A106" s="528"/>
      <c r="B106" s="528"/>
      <c r="C106" s="512">
        <f>I106/E131</f>
        <v>0</v>
      </c>
      <c r="D106" s="104" t="s">
        <v>574</v>
      </c>
      <c r="E106" s="529" t="s">
        <v>213</v>
      </c>
      <c r="F106" s="195">
        <v>7.4</v>
      </c>
      <c r="G106" s="217" t="s">
        <v>128</v>
      </c>
      <c r="H106" s="217">
        <v>129653.0</v>
      </c>
      <c r="I106" s="217">
        <v>0.0</v>
      </c>
      <c r="J106" s="216">
        <v>1.245</v>
      </c>
      <c r="K106" s="568"/>
      <c r="L106" s="452"/>
      <c r="M106" s="216">
        <v>1.469</v>
      </c>
      <c r="N106" s="595">
        <f t="shared" si="58"/>
        <v>-1.245</v>
      </c>
      <c r="O106" s="518">
        <f t="shared" ref="O106:O112" si="63">M106/J106-1</f>
        <v>0.1799196787</v>
      </c>
      <c r="P106" s="514">
        <f t="shared" si="60"/>
        <v>23327.1261</v>
      </c>
      <c r="Q106" s="528"/>
      <c r="R106" s="528"/>
      <c r="S106" s="519" t="s">
        <v>214</v>
      </c>
      <c r="T106" s="520">
        <v>44579.0</v>
      </c>
      <c r="U106" s="521">
        <v>1.469</v>
      </c>
      <c r="V106" s="522">
        <v>152980.0</v>
      </c>
      <c r="W106" s="519" t="s">
        <v>214</v>
      </c>
      <c r="X106" s="520">
        <v>44573.0</v>
      </c>
      <c r="Y106" s="531">
        <v>1.245</v>
      </c>
      <c r="Z106" s="522">
        <v>129653.0</v>
      </c>
    </row>
    <row r="107">
      <c r="A107" s="528"/>
      <c r="B107" s="528"/>
      <c r="C107" s="512">
        <f>I107/E131</f>
        <v>0</v>
      </c>
      <c r="D107" s="104" t="s">
        <v>574</v>
      </c>
      <c r="E107" s="529" t="s">
        <v>213</v>
      </c>
      <c r="F107" s="195">
        <v>7.4</v>
      </c>
      <c r="G107" s="217" t="s">
        <v>128</v>
      </c>
      <c r="H107" s="217">
        <v>111276.0</v>
      </c>
      <c r="I107" s="217">
        <v>0.0</v>
      </c>
      <c r="J107" s="216">
        <v>0.969</v>
      </c>
      <c r="K107" s="568"/>
      <c r="L107" s="452"/>
      <c r="M107" s="216">
        <v>1.007</v>
      </c>
      <c r="N107" s="595">
        <f t="shared" si="58"/>
        <v>-0.969</v>
      </c>
      <c r="O107" s="518">
        <f t="shared" si="63"/>
        <v>0.03921568627</v>
      </c>
      <c r="P107" s="514">
        <f t="shared" si="60"/>
        <v>4363.764706</v>
      </c>
      <c r="Q107" s="528"/>
      <c r="R107" s="528"/>
      <c r="S107" s="519" t="s">
        <v>214</v>
      </c>
      <c r="T107" s="520">
        <v>44610.0</v>
      </c>
      <c r="U107" s="521">
        <v>1.007</v>
      </c>
      <c r="V107" s="522">
        <v>115640.0</v>
      </c>
      <c r="W107" s="519" t="s">
        <v>214</v>
      </c>
      <c r="X107" s="520">
        <v>44585.0</v>
      </c>
      <c r="Y107" s="531">
        <v>0.969</v>
      </c>
      <c r="Z107" s="522">
        <v>111276.0</v>
      </c>
    </row>
    <row r="108">
      <c r="A108" s="528"/>
      <c r="B108" s="528"/>
      <c r="C108" s="512">
        <f>I108/E131</f>
        <v>0</v>
      </c>
      <c r="D108" s="104" t="s">
        <v>574</v>
      </c>
      <c r="E108" s="529" t="s">
        <v>213</v>
      </c>
      <c r="F108" s="195">
        <v>7.4</v>
      </c>
      <c r="G108" s="217" t="s">
        <v>128</v>
      </c>
      <c r="H108" s="217">
        <v>128770.0</v>
      </c>
      <c r="I108" s="217">
        <v>0.0</v>
      </c>
      <c r="J108" s="216">
        <v>1.28</v>
      </c>
      <c r="K108" s="568"/>
      <c r="L108" s="452"/>
      <c r="M108" s="216">
        <v>1.087</v>
      </c>
      <c r="N108" s="595">
        <f t="shared" si="58"/>
        <v>-1.28</v>
      </c>
      <c r="O108" s="518">
        <f t="shared" si="63"/>
        <v>-0.15078125</v>
      </c>
      <c r="P108" s="514">
        <f t="shared" si="60"/>
        <v>-19416.10156</v>
      </c>
      <c r="Q108" s="528"/>
      <c r="R108" s="528"/>
      <c r="S108" s="519" t="s">
        <v>214</v>
      </c>
      <c r="T108" s="520">
        <v>44608.0</v>
      </c>
      <c r="U108" s="521">
        <v>1.087</v>
      </c>
      <c r="V108" s="522">
        <v>109354.0</v>
      </c>
      <c r="W108" s="519"/>
      <c r="X108" s="520"/>
      <c r="Y108" s="531"/>
      <c r="Z108" s="522"/>
    </row>
    <row r="109">
      <c r="A109" s="528"/>
      <c r="B109" s="528"/>
      <c r="C109" s="512">
        <f>I109/E131</f>
        <v>0</v>
      </c>
      <c r="D109" s="104" t="s">
        <v>689</v>
      </c>
      <c r="E109" s="529" t="s">
        <v>690</v>
      </c>
      <c r="F109" s="195">
        <v>7.3</v>
      </c>
      <c r="G109" s="217" t="s">
        <v>128</v>
      </c>
      <c r="H109" s="217">
        <v>123488.0</v>
      </c>
      <c r="I109" s="217">
        <v>0.0</v>
      </c>
      <c r="J109" s="216">
        <v>27.81</v>
      </c>
      <c r="K109" s="568"/>
      <c r="L109" s="452"/>
      <c r="M109" s="216">
        <v>27.15</v>
      </c>
      <c r="N109" s="595">
        <f t="shared" si="58"/>
        <v>-27.81</v>
      </c>
      <c r="O109" s="518">
        <f t="shared" si="63"/>
        <v>-0.02373247033</v>
      </c>
      <c r="P109" s="514">
        <f t="shared" si="60"/>
        <v>-2930.675297</v>
      </c>
      <c r="Q109" s="528"/>
      <c r="R109" s="528"/>
      <c r="S109" s="519" t="s">
        <v>691</v>
      </c>
      <c r="T109" s="520">
        <v>44582.0</v>
      </c>
      <c r="U109" s="521">
        <v>27.15</v>
      </c>
      <c r="V109" s="522">
        <v>120557.0</v>
      </c>
      <c r="W109" s="519" t="s">
        <v>691</v>
      </c>
      <c r="X109" s="520">
        <v>44573.0</v>
      </c>
      <c r="Y109" s="531">
        <v>27.81</v>
      </c>
      <c r="Z109" s="522">
        <v>123488.0</v>
      </c>
    </row>
    <row r="110">
      <c r="A110" s="528"/>
      <c r="B110" s="528"/>
      <c r="C110" s="512">
        <f>I110/E131</f>
        <v>0</v>
      </c>
      <c r="D110" s="104" t="s">
        <v>689</v>
      </c>
      <c r="E110" s="529" t="s">
        <v>690</v>
      </c>
      <c r="F110" s="195">
        <v>7.3</v>
      </c>
      <c r="G110" s="217" t="s">
        <v>128</v>
      </c>
      <c r="H110" s="217">
        <v>130687.0</v>
      </c>
      <c r="I110" s="217">
        <v>0.0</v>
      </c>
      <c r="J110" s="216">
        <v>33.49</v>
      </c>
      <c r="K110" s="568"/>
      <c r="L110" s="452"/>
      <c r="M110" s="216">
        <v>35.72</v>
      </c>
      <c r="N110" s="595">
        <f t="shared" si="58"/>
        <v>-33.49</v>
      </c>
      <c r="O110" s="518">
        <f t="shared" si="63"/>
        <v>0.06658704091</v>
      </c>
      <c r="P110" s="514">
        <f t="shared" si="60"/>
        <v>8702.060615</v>
      </c>
      <c r="Q110" s="528"/>
      <c r="R110" s="528"/>
      <c r="S110" s="519" t="s">
        <v>691</v>
      </c>
      <c r="T110" s="520">
        <v>44566.0</v>
      </c>
      <c r="U110" s="521">
        <v>35.72</v>
      </c>
      <c r="V110" s="522">
        <v>139389.0</v>
      </c>
      <c r="W110" s="519"/>
      <c r="X110" s="520"/>
      <c r="Y110" s="531"/>
      <c r="Z110" s="522"/>
    </row>
    <row r="111">
      <c r="A111" s="528"/>
      <c r="B111" s="528"/>
      <c r="C111" s="512">
        <f>I111/E131</f>
        <v>0</v>
      </c>
      <c r="D111" s="344" t="s">
        <v>692</v>
      </c>
      <c r="E111" s="563" t="s">
        <v>418</v>
      </c>
      <c r="F111" s="195">
        <v>7.2</v>
      </c>
      <c r="G111" s="217" t="s">
        <v>128</v>
      </c>
      <c r="H111" s="217">
        <v>187480.0</v>
      </c>
      <c r="I111" s="217">
        <v>0.0</v>
      </c>
      <c r="J111" s="216">
        <v>141.18</v>
      </c>
      <c r="K111" s="568"/>
      <c r="L111" s="452"/>
      <c r="M111" s="216">
        <v>124.2</v>
      </c>
      <c r="N111" s="595">
        <f t="shared" si="58"/>
        <v>-141.18</v>
      </c>
      <c r="O111" s="518">
        <f t="shared" si="63"/>
        <v>-0.1202719932</v>
      </c>
      <c r="P111" s="514">
        <f t="shared" si="60"/>
        <v>-22548.59329</v>
      </c>
      <c r="Q111" s="528"/>
      <c r="R111" s="528"/>
      <c r="S111" s="519" t="s">
        <v>419</v>
      </c>
      <c r="T111" s="520">
        <v>44582.0</v>
      </c>
      <c r="U111" s="521">
        <v>124.2</v>
      </c>
      <c r="V111" s="522">
        <v>164931.0</v>
      </c>
      <c r="W111" s="519" t="s">
        <v>419</v>
      </c>
      <c r="X111" s="520">
        <v>44573.0</v>
      </c>
      <c r="Y111" s="531">
        <v>141.18</v>
      </c>
      <c r="Z111" s="522">
        <v>187480.0</v>
      </c>
    </row>
    <row r="112">
      <c r="A112" s="528"/>
      <c r="B112" s="528"/>
      <c r="C112" s="512">
        <f>I112/E131</f>
        <v>0</v>
      </c>
      <c r="D112" s="344" t="s">
        <v>692</v>
      </c>
      <c r="E112" s="563" t="s">
        <v>418</v>
      </c>
      <c r="F112" s="195">
        <v>7.2</v>
      </c>
      <c r="G112" s="217" t="s">
        <v>128</v>
      </c>
      <c r="H112" s="217">
        <v>223860.0</v>
      </c>
      <c r="I112" s="217">
        <v>0.0</v>
      </c>
      <c r="J112" s="216">
        <v>144.4</v>
      </c>
      <c r="K112" s="568"/>
      <c r="L112" s="452"/>
      <c r="M112" s="216">
        <v>146.4</v>
      </c>
      <c r="N112" s="595">
        <f t="shared" si="58"/>
        <v>-144.4</v>
      </c>
      <c r="O112" s="518">
        <f t="shared" si="63"/>
        <v>0.01385041551</v>
      </c>
      <c r="P112" s="514">
        <f t="shared" si="60"/>
        <v>3100.554017</v>
      </c>
      <c r="Q112" s="528"/>
      <c r="R112" s="528"/>
      <c r="S112" s="519" t="s">
        <v>419</v>
      </c>
      <c r="T112" s="520">
        <v>44566.0</v>
      </c>
      <c r="U112" s="521">
        <v>146.4</v>
      </c>
      <c r="V112" s="522">
        <v>226961.0</v>
      </c>
      <c r="W112" s="519"/>
      <c r="X112" s="520"/>
      <c r="Y112" s="531"/>
      <c r="Z112" s="522"/>
    </row>
    <row r="113">
      <c r="A113" s="528"/>
      <c r="B113" s="528"/>
      <c r="C113" s="512">
        <f>I113/E131</f>
        <v>0</v>
      </c>
      <c r="D113" s="344" t="s">
        <v>209</v>
      </c>
      <c r="E113" s="344" t="s">
        <v>210</v>
      </c>
      <c r="F113" s="195">
        <v>7.5</v>
      </c>
      <c r="G113" s="217" t="s">
        <v>128</v>
      </c>
      <c r="H113" s="217">
        <v>166882.0</v>
      </c>
      <c r="I113" s="217">
        <f>H113+P113</f>
        <v>0</v>
      </c>
      <c r="J113" s="216">
        <v>13.07</v>
      </c>
      <c r="K113" s="568"/>
      <c r="L113" s="452"/>
      <c r="M113" s="216"/>
      <c r="N113" s="595">
        <f t="shared" si="58"/>
        <v>-13.07</v>
      </c>
      <c r="O113" s="518">
        <f>L113/J113-1</f>
        <v>-1</v>
      </c>
      <c r="P113" s="514">
        <f t="shared" si="60"/>
        <v>-166882</v>
      </c>
      <c r="Q113" s="528"/>
      <c r="R113" s="528"/>
      <c r="S113" s="519"/>
      <c r="T113" s="520"/>
      <c r="U113" s="521"/>
      <c r="V113" s="522"/>
      <c r="W113" s="519" t="s">
        <v>211</v>
      </c>
      <c r="X113" s="520">
        <v>44635.0</v>
      </c>
      <c r="Y113" s="531">
        <v>13.07</v>
      </c>
      <c r="Z113" s="522">
        <v>166882.0</v>
      </c>
    </row>
    <row r="114">
      <c r="A114" s="528"/>
      <c r="B114" s="528"/>
      <c r="C114" s="512">
        <f>I114/E131</f>
        <v>0</v>
      </c>
      <c r="D114" s="344" t="s">
        <v>209</v>
      </c>
      <c r="E114" s="344" t="s">
        <v>210</v>
      </c>
      <c r="F114" s="195">
        <v>7.5</v>
      </c>
      <c r="G114" s="217" t="s">
        <v>128</v>
      </c>
      <c r="H114" s="217">
        <v>290883.0</v>
      </c>
      <c r="I114" s="217">
        <v>0.0</v>
      </c>
      <c r="J114" s="216">
        <v>19.05</v>
      </c>
      <c r="K114" s="568"/>
      <c r="L114" s="452"/>
      <c r="M114" s="216">
        <v>25.31</v>
      </c>
      <c r="N114" s="595">
        <f t="shared" si="58"/>
        <v>-19.05</v>
      </c>
      <c r="O114" s="518">
        <f t="shared" ref="O114:O117" si="64">M114/J114-1</f>
        <v>0.3286089239</v>
      </c>
      <c r="P114" s="514">
        <f t="shared" si="60"/>
        <v>95586.74961</v>
      </c>
      <c r="Q114" s="528"/>
      <c r="R114" s="528"/>
      <c r="S114" s="519" t="s">
        <v>211</v>
      </c>
      <c r="T114" s="520">
        <v>44566.0</v>
      </c>
      <c r="U114" s="521">
        <v>25.31</v>
      </c>
      <c r="V114" s="522">
        <v>386470.0</v>
      </c>
      <c r="W114" s="519"/>
      <c r="X114" s="520"/>
      <c r="Y114" s="531"/>
      <c r="Z114" s="522"/>
    </row>
    <row r="115">
      <c r="A115" s="528"/>
      <c r="B115" s="528"/>
      <c r="C115" s="512">
        <f>I115/E131</f>
        <v>0</v>
      </c>
      <c r="D115" s="344" t="s">
        <v>209</v>
      </c>
      <c r="E115" s="344" t="s">
        <v>210</v>
      </c>
      <c r="F115" s="195">
        <v>7.5</v>
      </c>
      <c r="G115" s="217" t="s">
        <v>128</v>
      </c>
      <c r="H115" s="217">
        <v>136778.0</v>
      </c>
      <c r="I115" s="217">
        <v>0.0</v>
      </c>
      <c r="J115" s="216">
        <v>25.31</v>
      </c>
      <c r="K115" s="568"/>
      <c r="L115" s="452"/>
      <c r="M115" s="216">
        <v>22.49</v>
      </c>
      <c r="N115" s="595">
        <f t="shared" si="58"/>
        <v>-25.31</v>
      </c>
      <c r="O115" s="518">
        <f t="shared" si="64"/>
        <v>-0.1114184117</v>
      </c>
      <c r="P115" s="514">
        <f t="shared" si="60"/>
        <v>-15239.58751</v>
      </c>
      <c r="Q115" s="528"/>
      <c r="R115" s="528"/>
      <c r="S115" s="519" t="s">
        <v>211</v>
      </c>
      <c r="T115" s="520">
        <v>44579.0</v>
      </c>
      <c r="U115" s="521">
        <v>22.49</v>
      </c>
      <c r="V115" s="522">
        <v>121538.0</v>
      </c>
      <c r="W115" s="519" t="s">
        <v>211</v>
      </c>
      <c r="X115" s="520">
        <v>44566.0</v>
      </c>
      <c r="Y115" s="531">
        <v>25.31</v>
      </c>
      <c r="Z115" s="522">
        <v>136778.0</v>
      </c>
    </row>
    <row r="116">
      <c r="A116" s="528"/>
      <c r="B116" s="528"/>
      <c r="C116" s="512">
        <f>I116/E131</f>
        <v>0</v>
      </c>
      <c r="D116" s="344" t="s">
        <v>209</v>
      </c>
      <c r="E116" s="344" t="s">
        <v>210</v>
      </c>
      <c r="F116" s="195">
        <v>7.5</v>
      </c>
      <c r="G116" s="217" t="s">
        <v>128</v>
      </c>
      <c r="H116" s="217">
        <v>130385.0</v>
      </c>
      <c r="I116" s="217">
        <v>0.0</v>
      </c>
      <c r="J116" s="216">
        <v>13.97</v>
      </c>
      <c r="K116" s="568"/>
      <c r="L116" s="452"/>
      <c r="M116" s="216">
        <v>16.88</v>
      </c>
      <c r="N116" s="595">
        <f t="shared" si="58"/>
        <v>-13.97</v>
      </c>
      <c r="O116" s="518">
        <f t="shared" si="64"/>
        <v>0.2083035075</v>
      </c>
      <c r="P116" s="514">
        <f t="shared" si="60"/>
        <v>27159.65283</v>
      </c>
      <c r="Q116" s="528"/>
      <c r="R116" s="528"/>
      <c r="S116" s="519" t="s">
        <v>211</v>
      </c>
      <c r="T116" s="520">
        <v>44608.0</v>
      </c>
      <c r="U116" s="521">
        <v>16.88</v>
      </c>
      <c r="V116" s="522">
        <v>157545.0</v>
      </c>
      <c r="W116" s="519" t="s">
        <v>211</v>
      </c>
      <c r="X116" s="520">
        <v>44585.0</v>
      </c>
      <c r="Y116" s="531">
        <v>13.97</v>
      </c>
      <c r="Z116" s="522">
        <v>130385.0</v>
      </c>
    </row>
    <row r="117">
      <c r="A117" s="528"/>
      <c r="B117" s="528"/>
      <c r="C117" s="512">
        <f>I117/E131</f>
        <v>0</v>
      </c>
      <c r="D117" s="344" t="s">
        <v>209</v>
      </c>
      <c r="E117" s="344" t="s">
        <v>210</v>
      </c>
      <c r="F117" s="195">
        <v>7.5</v>
      </c>
      <c r="G117" s="217" t="s">
        <v>128</v>
      </c>
      <c r="H117" s="217">
        <v>125642.0</v>
      </c>
      <c r="I117" s="217">
        <v>0.0</v>
      </c>
      <c r="J117" s="216">
        <v>27.14</v>
      </c>
      <c r="K117" s="568"/>
      <c r="L117" s="452"/>
      <c r="M117" s="216">
        <v>16.88</v>
      </c>
      <c r="N117" s="595">
        <f t="shared" si="58"/>
        <v>-27.14</v>
      </c>
      <c r="O117" s="518">
        <f t="shared" si="64"/>
        <v>-0.3780397937</v>
      </c>
      <c r="P117" s="514">
        <f t="shared" si="60"/>
        <v>-47497.67576</v>
      </c>
      <c r="Q117" s="528"/>
      <c r="R117" s="528"/>
      <c r="S117" s="519" t="s">
        <v>211</v>
      </c>
      <c r="T117" s="520">
        <v>44608.0</v>
      </c>
      <c r="U117" s="521">
        <v>16.88</v>
      </c>
      <c r="V117" s="522">
        <v>78144.0</v>
      </c>
      <c r="W117" s="519" t="s">
        <v>211</v>
      </c>
      <c r="X117" s="520">
        <v>44571.0</v>
      </c>
      <c r="Y117" s="531">
        <v>27.14</v>
      </c>
      <c r="Z117" s="522">
        <v>125642.0</v>
      </c>
    </row>
    <row r="118">
      <c r="A118" s="528"/>
      <c r="B118" s="528"/>
      <c r="C118" s="512">
        <f>I118/E131</f>
        <v>0</v>
      </c>
      <c r="D118" s="104" t="s">
        <v>509</v>
      </c>
      <c r="E118" s="104" t="s">
        <v>510</v>
      </c>
      <c r="F118" s="195">
        <v>7.6</v>
      </c>
      <c r="G118" s="217" t="s">
        <v>128</v>
      </c>
      <c r="H118" s="217">
        <v>188235.0</v>
      </c>
      <c r="I118" s="217">
        <f>H118+P118</f>
        <v>0</v>
      </c>
      <c r="J118" s="216">
        <v>79.87</v>
      </c>
      <c r="K118" s="568"/>
      <c r="L118" s="452"/>
      <c r="M118" s="216"/>
      <c r="N118" s="595">
        <f t="shared" si="58"/>
        <v>-79.87</v>
      </c>
      <c r="O118" s="518">
        <f>L118/J118-1</f>
        <v>-1</v>
      </c>
      <c r="P118" s="514">
        <f t="shared" si="60"/>
        <v>-188235</v>
      </c>
      <c r="Q118" s="528"/>
      <c r="R118" s="528"/>
      <c r="S118" s="519"/>
      <c r="T118" s="520"/>
      <c r="U118" s="521"/>
      <c r="V118" s="522"/>
      <c r="W118" s="519" t="s">
        <v>511</v>
      </c>
      <c r="X118" s="520">
        <v>44635.0</v>
      </c>
      <c r="Y118" s="531">
        <v>79.87</v>
      </c>
      <c r="Z118" s="522">
        <v>188235.0</v>
      </c>
    </row>
    <row r="119">
      <c r="A119" s="528"/>
      <c r="B119" s="528"/>
      <c r="C119" s="512">
        <f>I119/E131</f>
        <v>0</v>
      </c>
      <c r="D119" s="104" t="s">
        <v>509</v>
      </c>
      <c r="E119" s="104" t="s">
        <v>510</v>
      </c>
      <c r="F119" s="195">
        <v>7.6</v>
      </c>
      <c r="G119" s="217" t="s">
        <v>128</v>
      </c>
      <c r="H119" s="217">
        <v>160435.0</v>
      </c>
      <c r="I119" s="217">
        <v>0.0</v>
      </c>
      <c r="J119" s="216">
        <v>83.92</v>
      </c>
      <c r="K119" s="568"/>
      <c r="L119" s="452"/>
      <c r="M119" s="216">
        <v>101.15</v>
      </c>
      <c r="N119" s="595">
        <f t="shared" si="58"/>
        <v>-83.92</v>
      </c>
      <c r="O119" s="518">
        <f t="shared" ref="O119:O121" si="65">M119/J119-1</f>
        <v>0.2053145853</v>
      </c>
      <c r="P119" s="514">
        <f t="shared" si="60"/>
        <v>32939.6455</v>
      </c>
      <c r="Q119" s="528"/>
      <c r="R119" s="528"/>
      <c r="S119" s="519" t="s">
        <v>511</v>
      </c>
      <c r="T119" s="520">
        <v>44608.0</v>
      </c>
      <c r="U119" s="521">
        <v>101.15</v>
      </c>
      <c r="V119" s="522">
        <v>193375.0</v>
      </c>
      <c r="W119" s="519" t="s">
        <v>511</v>
      </c>
      <c r="X119" s="520">
        <v>44585.0</v>
      </c>
      <c r="Y119" s="531">
        <v>83.92</v>
      </c>
      <c r="Z119" s="522">
        <v>160435.0</v>
      </c>
    </row>
    <row r="120">
      <c r="A120" s="528"/>
      <c r="B120" s="528"/>
      <c r="C120" s="512">
        <f>I120/E131</f>
        <v>0</v>
      </c>
      <c r="D120" s="104" t="s">
        <v>509</v>
      </c>
      <c r="E120" s="104" t="s">
        <v>510</v>
      </c>
      <c r="F120" s="195">
        <v>7.6</v>
      </c>
      <c r="G120" s="217" t="s">
        <v>128</v>
      </c>
      <c r="H120" s="217">
        <v>145680.0</v>
      </c>
      <c r="I120" s="217">
        <v>0.0</v>
      </c>
      <c r="J120" s="216">
        <v>141.68</v>
      </c>
      <c r="K120" s="568"/>
      <c r="L120" s="452"/>
      <c r="M120" s="216">
        <v>132.39</v>
      </c>
      <c r="N120" s="595">
        <f t="shared" si="58"/>
        <v>-141.68</v>
      </c>
      <c r="O120" s="518">
        <f t="shared" si="65"/>
        <v>-0.06557029927</v>
      </c>
      <c r="P120" s="514">
        <f t="shared" si="60"/>
        <v>-9552.281197</v>
      </c>
      <c r="Q120" s="528"/>
      <c r="R120" s="528"/>
      <c r="S120" s="519" t="s">
        <v>511</v>
      </c>
      <c r="T120" s="520">
        <v>44582.0</v>
      </c>
      <c r="U120" s="521">
        <v>132.39</v>
      </c>
      <c r="V120" s="522">
        <v>136128.0</v>
      </c>
      <c r="W120" s="519" t="s">
        <v>511</v>
      </c>
      <c r="X120" s="520">
        <v>44581.0</v>
      </c>
      <c r="Y120" s="531">
        <v>141.68</v>
      </c>
      <c r="Z120" s="522">
        <v>145680.0</v>
      </c>
    </row>
    <row r="121">
      <c r="A121" s="528"/>
      <c r="B121" s="528"/>
      <c r="C121" s="512">
        <f>I121/E131</f>
        <v>0</v>
      </c>
      <c r="D121" s="104" t="s">
        <v>509</v>
      </c>
      <c r="E121" s="104" t="s">
        <v>510</v>
      </c>
      <c r="F121" s="195">
        <v>7.6</v>
      </c>
      <c r="G121" s="217" t="s">
        <v>128</v>
      </c>
      <c r="H121" s="217">
        <v>177890.0</v>
      </c>
      <c r="I121" s="217">
        <v>0.0</v>
      </c>
      <c r="J121" s="216">
        <v>133.17</v>
      </c>
      <c r="K121" s="568"/>
      <c r="L121" s="452"/>
      <c r="M121" s="216">
        <v>137.74</v>
      </c>
      <c r="N121" s="595">
        <f t="shared" si="58"/>
        <v>-133.17</v>
      </c>
      <c r="O121" s="518">
        <f t="shared" si="65"/>
        <v>0.03431703837</v>
      </c>
      <c r="P121" s="514">
        <f t="shared" si="60"/>
        <v>6104.657956</v>
      </c>
      <c r="Q121" s="528"/>
      <c r="R121" s="528"/>
      <c r="S121" s="519" t="s">
        <v>511</v>
      </c>
      <c r="T121" s="520">
        <v>44579.0</v>
      </c>
      <c r="U121" s="521">
        <v>137.74</v>
      </c>
      <c r="V121" s="522">
        <v>183995.0</v>
      </c>
      <c r="W121" s="519" t="s">
        <v>511</v>
      </c>
      <c r="X121" s="520">
        <v>44571.0</v>
      </c>
      <c r="Y121" s="531">
        <v>133.17</v>
      </c>
      <c r="Z121" s="522">
        <v>177890.0</v>
      </c>
    </row>
    <row r="122">
      <c r="A122" s="528"/>
      <c r="B122" s="528"/>
      <c r="C122" s="512">
        <f>I122/E131</f>
        <v>0</v>
      </c>
      <c r="D122" s="104" t="s">
        <v>622</v>
      </c>
      <c r="E122" s="104" t="s">
        <v>195</v>
      </c>
      <c r="F122" s="195">
        <v>7.5</v>
      </c>
      <c r="G122" s="217" t="s">
        <v>128</v>
      </c>
      <c r="H122" s="217">
        <v>144670.0</v>
      </c>
      <c r="I122" s="217">
        <f>H122+P122</f>
        <v>0</v>
      </c>
      <c r="J122" s="216">
        <v>17.21</v>
      </c>
      <c r="K122" s="568"/>
      <c r="L122" s="452"/>
      <c r="M122" s="216"/>
      <c r="N122" s="595">
        <f t="shared" si="58"/>
        <v>-17.21</v>
      </c>
      <c r="O122" s="518">
        <f>L122/J122-1</f>
        <v>-1</v>
      </c>
      <c r="P122" s="514">
        <f t="shared" si="60"/>
        <v>-144670</v>
      </c>
      <c r="Q122" s="528"/>
      <c r="R122" s="528"/>
      <c r="S122" s="519"/>
      <c r="T122" s="520"/>
      <c r="U122" s="521"/>
      <c r="V122" s="522"/>
      <c r="W122" s="519" t="s">
        <v>196</v>
      </c>
      <c r="X122" s="520">
        <v>44635.0</v>
      </c>
      <c r="Y122" s="531">
        <v>17.21</v>
      </c>
      <c r="Z122" s="522">
        <v>144670.0</v>
      </c>
    </row>
    <row r="123">
      <c r="A123" s="528"/>
      <c r="B123" s="528"/>
      <c r="C123" s="512">
        <f>I123/E131</f>
        <v>0</v>
      </c>
      <c r="D123" s="104" t="s">
        <v>622</v>
      </c>
      <c r="E123" s="104" t="s">
        <v>195</v>
      </c>
      <c r="F123" s="195">
        <v>7.5</v>
      </c>
      <c r="G123" s="217" t="s">
        <v>128</v>
      </c>
      <c r="H123" s="217">
        <v>143670.0</v>
      </c>
      <c r="I123" s="217">
        <v>0.0</v>
      </c>
      <c r="J123" s="216">
        <v>23.33</v>
      </c>
      <c r="K123" s="568"/>
      <c r="L123" s="452"/>
      <c r="M123" s="216">
        <v>19.54</v>
      </c>
      <c r="N123" s="595">
        <f t="shared" si="58"/>
        <v>-23.33</v>
      </c>
      <c r="O123" s="518">
        <f t="shared" ref="O123:O124" si="66">M123/J123-1</f>
        <v>-0.1624517788</v>
      </c>
      <c r="P123" s="514">
        <f t="shared" si="60"/>
        <v>-23339.44706</v>
      </c>
      <c r="Q123" s="528"/>
      <c r="R123" s="528"/>
      <c r="S123" s="519" t="s">
        <v>196</v>
      </c>
      <c r="T123" s="520">
        <v>44608.0</v>
      </c>
      <c r="U123" s="521">
        <v>19.54</v>
      </c>
      <c r="V123" s="522">
        <v>120331.0</v>
      </c>
      <c r="W123" s="519" t="s">
        <v>196</v>
      </c>
      <c r="X123" s="520">
        <v>44571.0</v>
      </c>
      <c r="Y123" s="531">
        <v>23.33</v>
      </c>
      <c r="Z123" s="522">
        <v>143670.0</v>
      </c>
    </row>
    <row r="124">
      <c r="A124" s="528"/>
      <c r="B124" s="528"/>
      <c r="C124" s="512">
        <f>I124/E131</f>
        <v>0</v>
      </c>
      <c r="D124" s="104" t="s">
        <v>622</v>
      </c>
      <c r="E124" s="104" t="s">
        <v>195</v>
      </c>
      <c r="F124" s="195">
        <v>7.5</v>
      </c>
      <c r="G124" s="217" t="s">
        <v>128</v>
      </c>
      <c r="H124" s="217">
        <v>270661.0</v>
      </c>
      <c r="I124" s="217">
        <v>0.0</v>
      </c>
      <c r="J124" s="216">
        <v>26.23</v>
      </c>
      <c r="K124" s="568"/>
      <c r="L124" s="452"/>
      <c r="M124" s="216">
        <v>28.29</v>
      </c>
      <c r="N124" s="595">
        <f t="shared" si="58"/>
        <v>-26.23</v>
      </c>
      <c r="O124" s="518">
        <f t="shared" si="66"/>
        <v>0.07853602745</v>
      </c>
      <c r="P124" s="514">
        <f t="shared" si="60"/>
        <v>21256.63973</v>
      </c>
      <c r="Q124" s="528"/>
      <c r="R124" s="528"/>
      <c r="S124" s="519" t="s">
        <v>196</v>
      </c>
      <c r="T124" s="520">
        <v>44566.0</v>
      </c>
      <c r="U124" s="521">
        <v>28.29</v>
      </c>
      <c r="V124" s="522">
        <v>291918.0</v>
      </c>
      <c r="W124" s="519"/>
      <c r="X124" s="520"/>
      <c r="Y124" s="531"/>
      <c r="Z124" s="522"/>
    </row>
    <row r="125">
      <c r="A125" s="13"/>
      <c r="B125" s="13"/>
      <c r="C125" s="173"/>
      <c r="D125" s="173"/>
      <c r="E125" s="173"/>
      <c r="F125" s="173"/>
      <c r="G125" s="509"/>
      <c r="H125" s="509">
        <f t="shared" ref="H125:I125" si="67">SUM(H100:H124)</f>
        <v>4765165</v>
      </c>
      <c r="I125" s="193">
        <f t="shared" si="67"/>
        <v>0</v>
      </c>
      <c r="J125" s="607"/>
      <c r="K125" s="173"/>
      <c r="L125" s="13"/>
      <c r="M125" s="173"/>
      <c r="N125" s="173"/>
      <c r="O125" s="541">
        <f>F129</f>
        <v>0.2747096586</v>
      </c>
      <c r="P125" s="193">
        <v>419102.0</v>
      </c>
      <c r="Q125" s="173"/>
      <c r="R125" s="173"/>
      <c r="S125" s="510" t="s">
        <v>89</v>
      </c>
      <c r="T125" s="542"/>
      <c r="U125" s="543"/>
      <c r="V125" s="570">
        <f>SUM(V100:V124)</f>
        <v>3881492</v>
      </c>
      <c r="W125" s="510" t="s">
        <v>89</v>
      </c>
      <c r="X125" s="542"/>
      <c r="Y125" s="608"/>
      <c r="Z125" s="544">
        <f>SUM(Z100:Z124)</f>
        <v>3239547</v>
      </c>
    </row>
    <row r="126">
      <c r="A126" s="13" t="s">
        <v>227</v>
      </c>
      <c r="B126" s="13" t="s">
        <v>228</v>
      </c>
      <c r="C126" s="504"/>
      <c r="D126" s="504" t="s">
        <v>693</v>
      </c>
      <c r="E126" s="504" t="s">
        <v>323</v>
      </c>
      <c r="F126" s="504" t="s">
        <v>14</v>
      </c>
      <c r="G126" s="504" t="s">
        <v>694</v>
      </c>
      <c r="H126" s="13" t="s">
        <v>233</v>
      </c>
      <c r="I126" s="13" t="s">
        <v>234</v>
      </c>
      <c r="J126" s="609" t="s">
        <v>627</v>
      </c>
      <c r="K126" s="609" t="s">
        <v>423</v>
      </c>
      <c r="L126" s="173"/>
      <c r="M126" s="173"/>
      <c r="N126" s="173"/>
      <c r="O126" s="173"/>
      <c r="P126" s="173"/>
      <c r="Q126" s="173"/>
      <c r="R126" s="610"/>
      <c r="S126" s="610"/>
      <c r="T126" s="610"/>
      <c r="U126" s="610"/>
      <c r="V126" s="610"/>
      <c r="W126" s="610"/>
      <c r="X126" s="610"/>
      <c r="Y126" s="610"/>
      <c r="Z126" s="610"/>
    </row>
    <row r="127">
      <c r="A127" s="344" t="s">
        <v>374</v>
      </c>
      <c r="B127" s="512">
        <f>E127/E131</f>
        <v>0.6195808867</v>
      </c>
      <c r="C127" s="514"/>
      <c r="D127" s="611">
        <v>6246551.0</v>
      </c>
      <c r="E127" s="217">
        <v>7084286.0</v>
      </c>
      <c r="F127" s="518">
        <f t="shared" ref="F127:F129" si="68">G127/D127</f>
        <v>0.01873145677</v>
      </c>
      <c r="G127" s="612">
        <v>117007.0</v>
      </c>
      <c r="H127" s="612">
        <v>64685.0</v>
      </c>
      <c r="I127" s="612">
        <f>R98+R79+R69+R55+R46+R26</f>
        <v>46796</v>
      </c>
      <c r="J127" s="612">
        <v>747252.0</v>
      </c>
      <c r="K127" s="612">
        <f>G127+H127+I127+J127</f>
        <v>975740</v>
      </c>
      <c r="L127" s="528"/>
      <c r="M127" s="528"/>
      <c r="N127" s="528"/>
      <c r="O127" s="528"/>
      <c r="P127" s="528"/>
      <c r="Q127" s="528"/>
      <c r="R127" s="610"/>
      <c r="S127" s="610"/>
      <c r="T127" s="610"/>
      <c r="U127" s="610"/>
      <c r="V127" s="610"/>
      <c r="W127" s="610"/>
      <c r="X127" s="610"/>
      <c r="Y127" s="610"/>
      <c r="Z127" s="610"/>
    </row>
    <row r="128">
      <c r="A128" s="344" t="s">
        <v>409</v>
      </c>
      <c r="B128" s="512">
        <f>E128/E131</f>
        <v>0.2467697866</v>
      </c>
      <c r="C128" s="514"/>
      <c r="D128" s="217">
        <v>1442956.0</v>
      </c>
      <c r="E128" s="217">
        <v>2821565.0</v>
      </c>
      <c r="F128" s="518">
        <f t="shared" si="68"/>
        <v>0.2599303097</v>
      </c>
      <c r="G128" s="612">
        <v>375068.0</v>
      </c>
      <c r="H128" s="613"/>
      <c r="I128" s="518"/>
      <c r="J128" s="518"/>
      <c r="K128" s="518">
        <f>K127/D127</f>
        <v>0.1562045999</v>
      </c>
      <c r="L128" s="528"/>
      <c r="M128" s="528"/>
      <c r="N128" s="528"/>
      <c r="O128" s="528"/>
      <c r="P128" s="528"/>
      <c r="Q128" s="528"/>
      <c r="R128" s="610"/>
      <c r="S128" s="610"/>
      <c r="T128" s="610"/>
      <c r="U128" s="610"/>
      <c r="V128" s="610"/>
      <c r="W128" s="610"/>
      <c r="X128" s="610"/>
      <c r="Y128" s="610"/>
      <c r="Z128" s="610"/>
    </row>
    <row r="129">
      <c r="A129" s="344" t="s">
        <v>240</v>
      </c>
      <c r="B129" s="512">
        <f>E129/E131</f>
        <v>0.113938809</v>
      </c>
      <c r="C129" s="514"/>
      <c r="D129" s="217">
        <v>1525618.0</v>
      </c>
      <c r="E129" s="217">
        <v>1302776.0</v>
      </c>
      <c r="F129" s="518">
        <f t="shared" si="68"/>
        <v>0.2747096586</v>
      </c>
      <c r="G129" s="612">
        <v>419102.0</v>
      </c>
      <c r="H129" s="614"/>
      <c r="I129" s="614"/>
      <c r="J129" s="614"/>
      <c r="K129" s="614"/>
      <c r="L129" s="528"/>
      <c r="M129" s="528"/>
      <c r="N129" s="528"/>
      <c r="O129" s="528"/>
      <c r="P129" s="528"/>
      <c r="Q129" s="528"/>
      <c r="R129" s="610"/>
      <c r="S129" s="610"/>
      <c r="T129" s="610"/>
      <c r="U129" s="610"/>
      <c r="V129" s="610"/>
      <c r="W129" s="610"/>
      <c r="X129" s="610"/>
      <c r="Y129" s="610"/>
      <c r="Z129" s="610"/>
    </row>
    <row r="130">
      <c r="A130" s="344" t="s">
        <v>461</v>
      </c>
      <c r="B130" s="512">
        <f>E130/E131</f>
        <v>0.0197106926</v>
      </c>
      <c r="C130" s="514"/>
      <c r="D130" s="217">
        <v>448963.0</v>
      </c>
      <c r="E130" s="217">
        <v>225372.0</v>
      </c>
      <c r="F130" s="588" t="s">
        <v>128</v>
      </c>
      <c r="G130" s="612">
        <v>858733.0</v>
      </c>
      <c r="H130" s="224"/>
      <c r="I130" s="224"/>
      <c r="J130" s="224"/>
      <c r="K130" s="224"/>
      <c r="L130" s="528"/>
      <c r="M130" s="528"/>
      <c r="N130" s="528"/>
      <c r="O130" s="528"/>
      <c r="P130" s="528"/>
      <c r="Q130" s="528"/>
      <c r="R130" s="610"/>
      <c r="S130" s="610"/>
      <c r="T130" s="610"/>
      <c r="U130" s="610"/>
      <c r="V130" s="610"/>
      <c r="W130" s="610"/>
      <c r="X130" s="610"/>
      <c r="Y130" s="610"/>
      <c r="Z130" s="610"/>
    </row>
    <row r="131">
      <c r="A131" s="13" t="s">
        <v>246</v>
      </c>
      <c r="B131" s="541">
        <f>SUM(B127:B130)</f>
        <v>1.000000175</v>
      </c>
      <c r="C131" s="616"/>
      <c r="D131" s="193">
        <v>9664087.0</v>
      </c>
      <c r="E131" s="193">
        <f>D131+G131</f>
        <v>11433997</v>
      </c>
      <c r="F131" s="518">
        <f>G131/D131</f>
        <v>0.1831430119</v>
      </c>
      <c r="G131" s="193">
        <f>SUM(G127:G130)</f>
        <v>1769910</v>
      </c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610"/>
      <c r="S131" s="610"/>
      <c r="T131" s="610"/>
      <c r="U131" s="610"/>
      <c r="V131" s="610"/>
      <c r="W131" s="610"/>
      <c r="X131" s="610"/>
      <c r="Y131" s="610"/>
      <c r="Z131" s="610"/>
    </row>
    <row r="133">
      <c r="A133" s="201" t="s">
        <v>248</v>
      </c>
      <c r="B133" s="617"/>
      <c r="C133" s="618" t="s">
        <v>695</v>
      </c>
      <c r="D133" s="618" t="s">
        <v>696</v>
      </c>
      <c r="E133" s="619" t="s">
        <v>15</v>
      </c>
      <c r="F133" s="620" t="s">
        <v>578</v>
      </c>
    </row>
    <row r="134">
      <c r="A134" s="89" t="s">
        <v>265</v>
      </c>
      <c r="B134" s="16" t="s">
        <v>266</v>
      </c>
      <c r="C134" s="621">
        <v>36338.0</v>
      </c>
      <c r="D134" s="621">
        <v>34678.0</v>
      </c>
      <c r="E134" s="206">
        <f t="shared" ref="E134:E138" si="69">D134-C134</f>
        <v>-1660</v>
      </c>
      <c r="F134" s="622">
        <f t="shared" ref="F134:F138" si="70">D134/C134-1</f>
        <v>-0.04568220596</v>
      </c>
    </row>
    <row r="135">
      <c r="A135" s="89" t="s">
        <v>267</v>
      </c>
      <c r="B135" s="16" t="s">
        <v>268</v>
      </c>
      <c r="C135" s="621">
        <v>4766.0</v>
      </c>
      <c r="D135" s="621">
        <v>4530.0</v>
      </c>
      <c r="E135" s="206">
        <f t="shared" si="69"/>
        <v>-236</v>
      </c>
      <c r="F135" s="622">
        <f t="shared" si="70"/>
        <v>-0.04951741502</v>
      </c>
    </row>
    <row r="136">
      <c r="A136" s="89" t="s">
        <v>269</v>
      </c>
      <c r="B136" s="16" t="s">
        <v>270</v>
      </c>
      <c r="C136" s="621">
        <v>15645.0</v>
      </c>
      <c r="D136" s="621">
        <v>14221.0</v>
      </c>
      <c r="E136" s="206">
        <f t="shared" si="69"/>
        <v>-1424</v>
      </c>
      <c r="F136" s="622">
        <f t="shared" si="70"/>
        <v>-0.09101949505</v>
      </c>
    </row>
    <row r="137">
      <c r="A137" s="89" t="s">
        <v>271</v>
      </c>
      <c r="B137" s="16" t="s">
        <v>272</v>
      </c>
      <c r="C137" s="621">
        <v>2245.0</v>
      </c>
      <c r="D137" s="621">
        <v>2070.0</v>
      </c>
      <c r="E137" s="206">
        <f t="shared" si="69"/>
        <v>-175</v>
      </c>
      <c r="F137" s="622">
        <f t="shared" si="70"/>
        <v>-0.07795100223</v>
      </c>
    </row>
    <row r="138">
      <c r="A138" s="89" t="s">
        <v>273</v>
      </c>
      <c r="B138" s="16" t="s">
        <v>274</v>
      </c>
      <c r="C138" s="621">
        <v>17164.0</v>
      </c>
      <c r="D138" s="621">
        <v>16671.0</v>
      </c>
      <c r="E138" s="206">
        <f t="shared" si="69"/>
        <v>-493</v>
      </c>
      <c r="F138" s="622">
        <f t="shared" si="70"/>
        <v>-0.02872290841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13"/>
    <col customWidth="1" min="3" max="3" width="17.0"/>
    <col customWidth="1" min="4" max="4" width="20.13"/>
    <col customWidth="1" min="5" max="5" width="23.75"/>
    <col customWidth="1" min="6" max="6" width="10.63"/>
    <col customWidth="1" min="7" max="7" width="11.38"/>
    <col customWidth="1" min="8" max="8" width="22.63"/>
    <col customWidth="1" min="9" max="9" width="23.75"/>
    <col customWidth="1" min="10" max="10" width="17.38"/>
    <col customWidth="1" min="11" max="11" width="18.13"/>
    <col customWidth="1" min="12" max="12" width="11.25"/>
    <col customWidth="1" min="13" max="13" width="9.13"/>
    <col customWidth="1" min="14" max="14" width="11.13"/>
    <col customWidth="1" min="15" max="15" width="10.63"/>
    <col customWidth="1" min="16" max="16" width="9.63"/>
    <col customWidth="1" min="19" max="19" width="13.25"/>
  </cols>
  <sheetData>
    <row r="1">
      <c r="A1" s="502" t="s">
        <v>557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9"/>
      <c r="T1" s="229"/>
      <c r="U1" s="229"/>
      <c r="V1" s="229"/>
      <c r="W1" s="229"/>
      <c r="X1" s="229"/>
      <c r="Y1" s="229"/>
      <c r="Z1" s="229"/>
    </row>
    <row r="2">
      <c r="A2" s="13" t="s">
        <v>374</v>
      </c>
      <c r="B2" s="504" t="s">
        <v>647</v>
      </c>
      <c r="C2" s="504" t="s">
        <v>2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7</v>
      </c>
      <c r="I2" s="505" t="s">
        <v>8</v>
      </c>
      <c r="J2" s="505" t="s">
        <v>9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14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02" t="s">
        <v>29</v>
      </c>
      <c r="B3" s="502" t="s">
        <v>29</v>
      </c>
      <c r="C3" s="512">
        <f>I3/E111</f>
        <v>0.0009969384589</v>
      </c>
      <c r="D3" s="344" t="s">
        <v>30</v>
      </c>
      <c r="E3" s="344" t="s">
        <v>31</v>
      </c>
      <c r="F3" s="195">
        <v>8.1</v>
      </c>
      <c r="G3" s="513">
        <v>50.0</v>
      </c>
      <c r="H3" s="217">
        <f t="shared" ref="H3:H17" si="1">G3*J3</f>
        <v>133078.5</v>
      </c>
      <c r="I3" s="514">
        <f t="shared" ref="I3:I4" si="2">H3+P3</f>
        <v>9634.5</v>
      </c>
      <c r="J3" s="216">
        <v>2661.57</v>
      </c>
      <c r="K3" s="515">
        <f>IFERROR(__xludf.DUMMYFUNCTION("GOOGLEFINANCE(E3,""changepct"")"),-0.7)</f>
        <v>-0.7</v>
      </c>
      <c r="L3" s="516">
        <f>IFERROR(__xludf.DUMMYFUNCTION("googlefinance(E3,""price"")"),192.69)</f>
        <v>192.69</v>
      </c>
      <c r="M3" s="517"/>
      <c r="N3" s="517">
        <f t="shared" ref="N3:N17" si="3">L3-J3</f>
        <v>-2468.88</v>
      </c>
      <c r="O3" s="518">
        <f t="shared" ref="O3:O4" si="4">L3/J3-1</f>
        <v>-0.927602881</v>
      </c>
      <c r="P3" s="514">
        <f t="shared" ref="P3:P17" si="5">H3*O3</f>
        <v>-123444</v>
      </c>
      <c r="Q3" s="512"/>
      <c r="R3" s="514"/>
      <c r="S3" s="523"/>
      <c r="T3" s="524"/>
      <c r="U3" s="525"/>
      <c r="V3" s="526"/>
      <c r="W3" s="523"/>
      <c r="X3" s="524"/>
      <c r="Y3" s="525"/>
      <c r="Z3" s="526"/>
    </row>
    <row r="4">
      <c r="A4" s="527" t="str">
        <f>B107</f>
        <v>#N/A</v>
      </c>
      <c r="B4" s="527">
        <f>I18/E111</f>
        <v>0.1642180477</v>
      </c>
      <c r="C4" s="512">
        <f>I4/E111</f>
        <v>0.009584971658</v>
      </c>
      <c r="D4" s="344" t="s">
        <v>632</v>
      </c>
      <c r="E4" s="344" t="s">
        <v>674</v>
      </c>
      <c r="F4" s="195">
        <v>8.0</v>
      </c>
      <c r="G4" s="513">
        <v>500.0</v>
      </c>
      <c r="H4" s="217">
        <f t="shared" si="1"/>
        <v>169620</v>
      </c>
      <c r="I4" s="514">
        <f t="shared" si="2"/>
        <v>92630</v>
      </c>
      <c r="J4" s="216">
        <v>339.24</v>
      </c>
      <c r="K4" s="515">
        <f>IFERROR(__xludf.DUMMYFUNCTION("GOOGLEFINANCE(E4,""changepct"")"),0.0)</f>
        <v>0</v>
      </c>
      <c r="L4" s="516">
        <f>IFERROR(__xludf.DUMMYFUNCTION("googlefinance(E4,""price"")"),185.26)</f>
        <v>185.26</v>
      </c>
      <c r="M4" s="517"/>
      <c r="N4" s="517">
        <f t="shared" si="3"/>
        <v>-153.98</v>
      </c>
      <c r="O4" s="518">
        <f t="shared" si="4"/>
        <v>-0.4538969461</v>
      </c>
      <c r="P4" s="514">
        <f t="shared" si="5"/>
        <v>-76990</v>
      </c>
      <c r="Q4" s="512"/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528"/>
      <c r="B5" s="528"/>
      <c r="C5" s="512">
        <f>I5/E111</f>
        <v>0</v>
      </c>
      <c r="D5" s="529" t="s">
        <v>648</v>
      </c>
      <c r="E5" s="529" t="s">
        <v>36</v>
      </c>
      <c r="F5" s="530">
        <v>7.1</v>
      </c>
      <c r="G5" s="513">
        <v>200.0</v>
      </c>
      <c r="H5" s="217">
        <f t="shared" si="1"/>
        <v>153636</v>
      </c>
      <c r="I5" s="217">
        <v>0.0</v>
      </c>
      <c r="J5" s="216">
        <v>768.18</v>
      </c>
      <c r="K5" s="515">
        <f>IFERROR(__xludf.DUMMYFUNCTION("GOOGLEFINANCE(E5,""changepct"")"),-3.3)</f>
        <v>-3.3</v>
      </c>
      <c r="L5" s="516">
        <f>IFERROR(__xludf.DUMMYFUNCTION("googlefinance(E5,""price"")"),417.41)</f>
        <v>417.41</v>
      </c>
      <c r="M5" s="216">
        <v>1186.18</v>
      </c>
      <c r="N5" s="517">
        <f t="shared" si="3"/>
        <v>-350.77</v>
      </c>
      <c r="O5" s="518">
        <f>M5/J5-1</f>
        <v>0.5441432997</v>
      </c>
      <c r="P5" s="514">
        <f t="shared" si="5"/>
        <v>83600</v>
      </c>
      <c r="Q5" s="512"/>
      <c r="R5" s="514"/>
      <c r="S5" s="519" t="s">
        <v>36</v>
      </c>
      <c r="T5" s="520">
        <v>44503.0</v>
      </c>
      <c r="U5" s="531">
        <v>1186.18</v>
      </c>
      <c r="V5" s="522">
        <v>237236.0</v>
      </c>
      <c r="W5" s="519"/>
      <c r="X5" s="520"/>
      <c r="Y5" s="521"/>
      <c r="Z5" s="522"/>
    </row>
    <row r="6">
      <c r="A6" s="528"/>
      <c r="B6" s="528"/>
      <c r="C6" s="512">
        <f>I6/E111</f>
        <v>0.01520350551</v>
      </c>
      <c r="D6" s="534" t="s">
        <v>558</v>
      </c>
      <c r="E6" s="535" t="s">
        <v>40</v>
      </c>
      <c r="F6" s="533">
        <v>7.5</v>
      </c>
      <c r="G6" s="513">
        <v>1200.0</v>
      </c>
      <c r="H6" s="217">
        <f t="shared" si="1"/>
        <v>121620</v>
      </c>
      <c r="I6" s="514">
        <f t="shared" ref="I6:I11" si="6">H6+P6</f>
        <v>146928</v>
      </c>
      <c r="J6" s="216">
        <v>101.35</v>
      </c>
      <c r="K6" s="515">
        <f>IFERROR(__xludf.DUMMYFUNCTION("GOOGLEFINANCE(E6,""changepct"")"),-2.2)</f>
        <v>-2.2</v>
      </c>
      <c r="L6" s="516">
        <f>IFERROR(__xludf.DUMMYFUNCTION("googlefinance(E6,""price"")"),122.44)</f>
        <v>122.44</v>
      </c>
      <c r="M6" s="216"/>
      <c r="N6" s="517">
        <f t="shared" si="3"/>
        <v>21.09</v>
      </c>
      <c r="O6" s="518">
        <f t="shared" ref="O6:O11" si="7">L6/J6-1</f>
        <v>0.2080907745</v>
      </c>
      <c r="P6" s="514">
        <f t="shared" si="5"/>
        <v>25308</v>
      </c>
      <c r="Q6" s="512"/>
      <c r="R6" s="514"/>
      <c r="S6" s="519"/>
      <c r="T6" s="520"/>
      <c r="U6" s="521"/>
      <c r="V6" s="522"/>
      <c r="W6" s="519"/>
      <c r="X6" s="520"/>
      <c r="Y6" s="521"/>
      <c r="Z6" s="522"/>
    </row>
    <row r="7">
      <c r="A7" s="528"/>
      <c r="B7" s="528"/>
      <c r="C7" s="512">
        <f>I7/E111</f>
        <v>0.004280280175</v>
      </c>
      <c r="D7" s="529" t="s">
        <v>441</v>
      </c>
      <c r="E7" s="529" t="s">
        <v>340</v>
      </c>
      <c r="F7" s="530">
        <v>6.7</v>
      </c>
      <c r="G7" s="513">
        <v>500.0</v>
      </c>
      <c r="H7" s="217">
        <f t="shared" si="1"/>
        <v>130750</v>
      </c>
      <c r="I7" s="514">
        <f t="shared" si="6"/>
        <v>41365</v>
      </c>
      <c r="J7" s="216">
        <v>261.5</v>
      </c>
      <c r="K7" s="515">
        <f>IFERROR(__xludf.DUMMYFUNCTION("GOOGLEFINANCE(E7,""changepct"")"),-1.3)</f>
        <v>-1.3</v>
      </c>
      <c r="L7" s="516">
        <f>IFERROR(__xludf.DUMMYFUNCTION("googlefinance(E7,""price"")"),82.73)</f>
        <v>82.73</v>
      </c>
      <c r="M7" s="216"/>
      <c r="N7" s="517">
        <f t="shared" si="3"/>
        <v>-178.77</v>
      </c>
      <c r="O7" s="518">
        <f t="shared" si="7"/>
        <v>-0.6836328872</v>
      </c>
      <c r="P7" s="514">
        <f t="shared" si="5"/>
        <v>-89385</v>
      </c>
      <c r="Q7" s="512"/>
      <c r="R7" s="514"/>
      <c r="S7" s="519"/>
      <c r="T7" s="520"/>
      <c r="U7" s="521"/>
      <c r="V7" s="522"/>
      <c r="W7" s="529"/>
      <c r="X7" s="520"/>
      <c r="Y7" s="521"/>
      <c r="Z7" s="522"/>
    </row>
    <row r="8">
      <c r="A8" s="528"/>
      <c r="B8" s="528"/>
      <c r="C8" s="512">
        <f>I8/E111</f>
        <v>0.03993134582</v>
      </c>
      <c r="D8" s="529" t="s">
        <v>559</v>
      </c>
      <c r="E8" s="529" t="s">
        <v>46</v>
      </c>
      <c r="F8" s="530">
        <v>7.5</v>
      </c>
      <c r="G8" s="513">
        <v>5000.0</v>
      </c>
      <c r="H8" s="217">
        <f t="shared" si="1"/>
        <v>91400</v>
      </c>
      <c r="I8" s="514">
        <f t="shared" si="6"/>
        <v>385900</v>
      </c>
      <c r="J8" s="216">
        <v>18.28</v>
      </c>
      <c r="K8" s="515">
        <f>IFERROR(__xludf.DUMMYFUNCTION("GOOGLEFINANCE(E8,""changepct"")"),-2.4)</f>
        <v>-2.4</v>
      </c>
      <c r="L8" s="516">
        <f>IFERROR(__xludf.DUMMYFUNCTION("googlefinance(E8,""price"")"),77.18)</f>
        <v>77.18</v>
      </c>
      <c r="M8" s="216"/>
      <c r="N8" s="517">
        <f t="shared" si="3"/>
        <v>58.9</v>
      </c>
      <c r="O8" s="518">
        <f t="shared" si="7"/>
        <v>3.222100656</v>
      </c>
      <c r="P8" s="514">
        <f t="shared" si="5"/>
        <v>294500</v>
      </c>
      <c r="Q8" s="512"/>
      <c r="R8" s="514"/>
      <c r="S8" s="519"/>
      <c r="T8" s="520"/>
      <c r="U8" s="521"/>
      <c r="V8" s="522"/>
      <c r="W8" s="529" t="s">
        <v>46</v>
      </c>
      <c r="X8" s="520">
        <v>44544.0</v>
      </c>
      <c r="Y8" s="521">
        <v>18.28</v>
      </c>
      <c r="Z8" s="522">
        <v>91400.0</v>
      </c>
    </row>
    <row r="9">
      <c r="A9" s="528"/>
      <c r="B9" s="528"/>
      <c r="C9" s="512">
        <f>I9/E111</f>
        <v>0.03993134582</v>
      </c>
      <c r="D9" s="529" t="s">
        <v>559</v>
      </c>
      <c r="E9" s="529" t="s">
        <v>46</v>
      </c>
      <c r="F9" s="530">
        <v>7.5</v>
      </c>
      <c r="G9" s="513">
        <v>5000.0</v>
      </c>
      <c r="H9" s="217">
        <f t="shared" si="1"/>
        <v>120200</v>
      </c>
      <c r="I9" s="514">
        <f t="shared" si="6"/>
        <v>385900</v>
      </c>
      <c r="J9" s="216">
        <v>24.04</v>
      </c>
      <c r="K9" s="515">
        <f>IFERROR(__xludf.DUMMYFUNCTION("GOOGLEFINANCE(E9,""changepct"")"),-2.4)</f>
        <v>-2.4</v>
      </c>
      <c r="L9" s="516">
        <f>IFERROR(__xludf.DUMMYFUNCTION("googlefinance(E9,""price"")"),77.18)</f>
        <v>77.18</v>
      </c>
      <c r="M9" s="216"/>
      <c r="N9" s="517">
        <f t="shared" si="3"/>
        <v>53.14</v>
      </c>
      <c r="O9" s="518">
        <f t="shared" si="7"/>
        <v>2.210482529</v>
      </c>
      <c r="P9" s="514">
        <f t="shared" si="5"/>
        <v>265700</v>
      </c>
      <c r="Q9" s="512"/>
      <c r="R9" s="514"/>
      <c r="S9" s="519"/>
      <c r="T9" s="520"/>
      <c r="U9" s="521"/>
      <c r="V9" s="522"/>
      <c r="W9" s="529"/>
      <c r="X9" s="520"/>
      <c r="Y9" s="521"/>
      <c r="Z9" s="522"/>
    </row>
    <row r="10">
      <c r="A10" s="528"/>
      <c r="B10" s="528"/>
      <c r="C10" s="512">
        <f>I10/E111</f>
        <v>0.003093929101</v>
      </c>
      <c r="D10" s="529" t="s">
        <v>697</v>
      </c>
      <c r="E10" s="529" t="s">
        <v>698</v>
      </c>
      <c r="F10" s="530">
        <v>6.5</v>
      </c>
      <c r="G10" s="513">
        <v>5000.0</v>
      </c>
      <c r="H10" s="217">
        <f t="shared" si="1"/>
        <v>124900</v>
      </c>
      <c r="I10" s="514">
        <f t="shared" si="6"/>
        <v>29900</v>
      </c>
      <c r="J10" s="216">
        <v>24.98</v>
      </c>
      <c r="K10" s="515">
        <f>IFERROR(__xludf.DUMMYFUNCTION("GOOGLEFINANCE(E10,""changepct"")"),-6.27)</f>
        <v>-6.27</v>
      </c>
      <c r="L10" s="516">
        <f>IFERROR(__xludf.DUMMYFUNCTION("googlefinance(E10,""price"")"),5.98)</f>
        <v>5.98</v>
      </c>
      <c r="M10" s="216"/>
      <c r="N10" s="517">
        <f t="shared" si="3"/>
        <v>-19</v>
      </c>
      <c r="O10" s="518">
        <f t="shared" si="7"/>
        <v>-0.7606084868</v>
      </c>
      <c r="P10" s="514">
        <f t="shared" si="5"/>
        <v>-95000</v>
      </c>
      <c r="Q10" s="512"/>
      <c r="R10" s="514"/>
      <c r="S10" s="519"/>
      <c r="T10" s="520"/>
      <c r="U10" s="521"/>
      <c r="V10" s="522"/>
      <c r="W10" s="529"/>
      <c r="X10" s="520"/>
      <c r="Y10" s="521"/>
      <c r="Z10" s="522"/>
    </row>
    <row r="11">
      <c r="A11" s="528"/>
      <c r="B11" s="528"/>
      <c r="C11" s="512">
        <f>I11/E111</f>
        <v>0.01599530302</v>
      </c>
      <c r="D11" s="529" t="s">
        <v>440</v>
      </c>
      <c r="E11" s="529" t="s">
        <v>77</v>
      </c>
      <c r="F11" s="530">
        <v>7.7</v>
      </c>
      <c r="G11" s="513">
        <v>1000.0</v>
      </c>
      <c r="H11" s="217">
        <f t="shared" si="1"/>
        <v>180270</v>
      </c>
      <c r="I11" s="514">
        <f t="shared" si="6"/>
        <v>154580</v>
      </c>
      <c r="J11" s="216">
        <v>180.27</v>
      </c>
      <c r="K11" s="515">
        <f>IFERROR(__xludf.DUMMYFUNCTION("GOOGLEFINANCE(E11,""changepct"")"),-1.69)</f>
        <v>-1.69</v>
      </c>
      <c r="L11" s="516">
        <f>IFERROR(__xludf.DUMMYFUNCTION("googlefinance(E11,""price"")"),154.58)</f>
        <v>154.58</v>
      </c>
      <c r="M11" s="216"/>
      <c r="N11" s="517">
        <f t="shared" si="3"/>
        <v>-25.69</v>
      </c>
      <c r="O11" s="518">
        <f t="shared" si="7"/>
        <v>-0.1425084595</v>
      </c>
      <c r="P11" s="514">
        <f t="shared" si="5"/>
        <v>-25690</v>
      </c>
      <c r="Q11" s="538">
        <v>0.017</v>
      </c>
      <c r="R11" s="217" t="s">
        <v>128</v>
      </c>
      <c r="S11" s="519"/>
      <c r="T11" s="520"/>
      <c r="U11" s="521"/>
      <c r="V11" s="522"/>
      <c r="W11" s="519" t="s">
        <v>77</v>
      </c>
      <c r="X11" s="520">
        <v>44537.0</v>
      </c>
      <c r="Y11" s="521">
        <v>180.27</v>
      </c>
      <c r="Z11" s="522">
        <v>180270.0</v>
      </c>
    </row>
    <row r="12">
      <c r="A12" s="528"/>
      <c r="B12" s="528"/>
      <c r="C12" s="512">
        <f>I12/E111</f>
        <v>0</v>
      </c>
      <c r="D12" s="529" t="s">
        <v>440</v>
      </c>
      <c r="E12" s="529" t="s">
        <v>77</v>
      </c>
      <c r="F12" s="530">
        <v>7.7</v>
      </c>
      <c r="G12" s="513">
        <v>1000.0</v>
      </c>
      <c r="H12" s="217">
        <f t="shared" si="1"/>
        <v>137590</v>
      </c>
      <c r="I12" s="217">
        <v>0.0</v>
      </c>
      <c r="J12" s="216">
        <v>137.59</v>
      </c>
      <c r="K12" s="515">
        <f>IFERROR(__xludf.DUMMYFUNCTION("GOOGLEFINANCE(E12,""changepct"")"),-1.69)</f>
        <v>-1.69</v>
      </c>
      <c r="L12" s="516">
        <f>IFERROR(__xludf.DUMMYFUNCTION("googlefinance(E12,""price"")"),154.58)</f>
        <v>154.58</v>
      </c>
      <c r="M12" s="216">
        <v>166.74</v>
      </c>
      <c r="N12" s="517">
        <f t="shared" si="3"/>
        <v>16.99</v>
      </c>
      <c r="O12" s="518">
        <f>M12/J12-1</f>
        <v>0.2118613271</v>
      </c>
      <c r="P12" s="514">
        <f t="shared" si="5"/>
        <v>29150</v>
      </c>
      <c r="Q12" s="538">
        <v>0.017</v>
      </c>
      <c r="R12" s="217" t="s">
        <v>128</v>
      </c>
      <c r="S12" s="519" t="s">
        <v>77</v>
      </c>
      <c r="T12" s="520">
        <v>44510.0</v>
      </c>
      <c r="U12" s="521">
        <v>166.74</v>
      </c>
      <c r="V12" s="522">
        <v>166740.0</v>
      </c>
      <c r="W12" s="519" t="s">
        <v>77</v>
      </c>
      <c r="X12" s="520">
        <v>44503.0</v>
      </c>
      <c r="Y12" s="521">
        <v>137.59</v>
      </c>
      <c r="Z12" s="522">
        <v>137590.0</v>
      </c>
    </row>
    <row r="13">
      <c r="A13" s="528"/>
      <c r="B13" s="528"/>
      <c r="C13" s="512">
        <f>I13/E111</f>
        <v>0.01403753919</v>
      </c>
      <c r="D13" s="529" t="s">
        <v>483</v>
      </c>
      <c r="E13" s="529" t="s">
        <v>484</v>
      </c>
      <c r="F13" s="530">
        <v>7.4</v>
      </c>
      <c r="G13" s="513">
        <v>6000.0</v>
      </c>
      <c r="H13" s="217">
        <f t="shared" si="1"/>
        <v>150780</v>
      </c>
      <c r="I13" s="514">
        <f t="shared" ref="I13:I15" si="8">H13+P13</f>
        <v>135660</v>
      </c>
      <c r="J13" s="216">
        <v>25.13</v>
      </c>
      <c r="K13" s="515">
        <f>IFERROR(__xludf.DUMMYFUNCTION("GOOGLEFINANCE(E13,""changepct"")"),-1.09)</f>
        <v>-1.09</v>
      </c>
      <c r="L13" s="516">
        <f>IFERROR(__xludf.DUMMYFUNCTION("googlefinance(E13,""price"")"),22.61)</f>
        <v>22.61</v>
      </c>
      <c r="M13" s="216"/>
      <c r="N13" s="517">
        <f t="shared" si="3"/>
        <v>-2.52</v>
      </c>
      <c r="O13" s="518">
        <f t="shared" ref="O13:O15" si="9">L13/J13-1</f>
        <v>-0.1002785515</v>
      </c>
      <c r="P13" s="514">
        <f t="shared" si="5"/>
        <v>-15120</v>
      </c>
      <c r="Q13" s="538">
        <v>0.083</v>
      </c>
      <c r="R13" s="217" t="s">
        <v>128</v>
      </c>
      <c r="S13" s="519"/>
      <c r="T13" s="520"/>
      <c r="U13" s="521"/>
      <c r="V13" s="522"/>
      <c r="W13" s="519" t="s">
        <v>484</v>
      </c>
      <c r="X13" s="520">
        <v>44503.0</v>
      </c>
      <c r="Y13" s="521">
        <v>25.13</v>
      </c>
      <c r="Z13" s="522">
        <v>150780.0</v>
      </c>
    </row>
    <row r="14">
      <c r="A14" s="528"/>
      <c r="B14" s="528"/>
      <c r="C14" s="512">
        <f>I14/E111</f>
        <v>0.006152676399</v>
      </c>
      <c r="D14" s="529" t="s">
        <v>337</v>
      </c>
      <c r="E14" s="529" t="s">
        <v>338</v>
      </c>
      <c r="F14" s="530">
        <v>7.7</v>
      </c>
      <c r="G14" s="513">
        <v>3000.0</v>
      </c>
      <c r="H14" s="217">
        <f t="shared" si="1"/>
        <v>144660</v>
      </c>
      <c r="I14" s="514">
        <f t="shared" si="8"/>
        <v>59460</v>
      </c>
      <c r="J14" s="216">
        <v>48.22</v>
      </c>
      <c r="K14" s="515">
        <f>IFERROR(__xludf.DUMMYFUNCTION("GOOGLEFINANCE(E14,""changepct"")"),-2.36)</f>
        <v>-2.36</v>
      </c>
      <c r="L14" s="516">
        <f>IFERROR(__xludf.DUMMYFUNCTION("googlefinance(E14,""price"")"),19.82)</f>
        <v>19.82</v>
      </c>
      <c r="M14" s="216"/>
      <c r="N14" s="517">
        <f t="shared" si="3"/>
        <v>-28.4</v>
      </c>
      <c r="O14" s="518">
        <f t="shared" si="9"/>
        <v>-0.5889672335</v>
      </c>
      <c r="P14" s="514">
        <f t="shared" si="5"/>
        <v>-85200</v>
      </c>
      <c r="Q14" s="538">
        <v>0.027</v>
      </c>
      <c r="R14" s="217">
        <v>1050.0</v>
      </c>
      <c r="S14" s="519"/>
      <c r="T14" s="520"/>
      <c r="U14" s="521"/>
      <c r="V14" s="522"/>
      <c r="W14" s="519" t="s">
        <v>338</v>
      </c>
      <c r="X14" s="520">
        <v>44503.0</v>
      </c>
      <c r="Y14" s="521">
        <v>48.22</v>
      </c>
      <c r="Z14" s="522">
        <v>144660.0</v>
      </c>
    </row>
    <row r="15">
      <c r="A15" s="528"/>
      <c r="B15" s="528"/>
      <c r="C15" s="512">
        <f>I15/E111</f>
        <v>0.00904896655</v>
      </c>
      <c r="D15" s="529" t="s">
        <v>649</v>
      </c>
      <c r="E15" s="529" t="s">
        <v>650</v>
      </c>
      <c r="F15" s="530">
        <v>7.8</v>
      </c>
      <c r="G15" s="513">
        <v>3000.0</v>
      </c>
      <c r="H15" s="217">
        <f t="shared" si="1"/>
        <v>134130</v>
      </c>
      <c r="I15" s="514">
        <f t="shared" si="8"/>
        <v>87450</v>
      </c>
      <c r="J15" s="216">
        <v>44.71</v>
      </c>
      <c r="K15" s="515">
        <f>IFERROR(__xludf.DUMMYFUNCTION("GOOGLEFINANCE(E15,""changepct"")"),-1.39)</f>
        <v>-1.39</v>
      </c>
      <c r="L15" s="516">
        <f>IFERROR(__xludf.DUMMYFUNCTION("googlefinance(E15,""price"")"),29.15)</f>
        <v>29.15</v>
      </c>
      <c r="M15" s="216"/>
      <c r="N15" s="517">
        <f t="shared" si="3"/>
        <v>-15.56</v>
      </c>
      <c r="O15" s="518">
        <f t="shared" si="9"/>
        <v>-0.3480205771</v>
      </c>
      <c r="P15" s="514">
        <f t="shared" si="5"/>
        <v>-46680</v>
      </c>
      <c r="Q15" s="512"/>
      <c r="R15" s="514"/>
      <c r="S15" s="519"/>
      <c r="T15" s="520"/>
      <c r="U15" s="521"/>
      <c r="V15" s="522"/>
      <c r="W15" s="519" t="s">
        <v>650</v>
      </c>
      <c r="X15" s="520">
        <v>44504.0</v>
      </c>
      <c r="Y15" s="521">
        <v>44.71</v>
      </c>
      <c r="Z15" s="522">
        <v>134130.0</v>
      </c>
    </row>
    <row r="16">
      <c r="A16" s="528"/>
      <c r="B16" s="528"/>
      <c r="C16" s="512">
        <f>I16/E111</f>
        <v>0</v>
      </c>
      <c r="D16" s="529" t="s">
        <v>699</v>
      </c>
      <c r="E16" s="529" t="s">
        <v>480</v>
      </c>
      <c r="F16" s="530">
        <v>6.5</v>
      </c>
      <c r="G16" s="513">
        <v>5000.0</v>
      </c>
      <c r="H16" s="217">
        <f t="shared" si="1"/>
        <v>124050</v>
      </c>
      <c r="I16" s="217">
        <v>0.0</v>
      </c>
      <c r="J16" s="216">
        <v>24.81</v>
      </c>
      <c r="K16" s="515">
        <f>IFERROR(__xludf.DUMMYFUNCTION("GOOGLEFINANCE(E16,""changepct"")"),-1.56)</f>
        <v>-1.56</v>
      </c>
      <c r="L16" s="516">
        <f>IFERROR(__xludf.DUMMYFUNCTION("googlefinance(E16,""price"")"),3.15)</f>
        <v>3.15</v>
      </c>
      <c r="M16" s="216">
        <v>36.6</v>
      </c>
      <c r="N16" s="517">
        <f t="shared" si="3"/>
        <v>-21.66</v>
      </c>
      <c r="O16" s="518">
        <f>M16/J16-1</f>
        <v>0.4752116082</v>
      </c>
      <c r="P16" s="514">
        <f t="shared" si="5"/>
        <v>58950</v>
      </c>
      <c r="Q16" s="512"/>
      <c r="R16" s="514"/>
      <c r="S16" s="519" t="s">
        <v>480</v>
      </c>
      <c r="T16" s="520">
        <v>44503.0</v>
      </c>
      <c r="U16" s="521">
        <v>36.6</v>
      </c>
      <c r="V16" s="522">
        <v>183000.0</v>
      </c>
      <c r="W16" s="519"/>
      <c r="X16" s="520"/>
      <c r="Y16" s="521"/>
      <c r="Z16" s="522"/>
    </row>
    <row r="17">
      <c r="A17" s="528"/>
      <c r="B17" s="528"/>
      <c r="C17" s="512">
        <f>I17/E111</f>
        <v>0.005961246003</v>
      </c>
      <c r="D17" s="104" t="s">
        <v>378</v>
      </c>
      <c r="E17" s="344" t="s">
        <v>379</v>
      </c>
      <c r="F17" s="569">
        <v>7.2</v>
      </c>
      <c r="G17" s="513">
        <v>1000.0</v>
      </c>
      <c r="H17" s="217">
        <f t="shared" si="1"/>
        <v>110140</v>
      </c>
      <c r="I17" s="514">
        <f>H17+P17</f>
        <v>57610</v>
      </c>
      <c r="J17" s="216">
        <v>110.14</v>
      </c>
      <c r="K17" s="515">
        <f>IFERROR(__xludf.DUMMYFUNCTION("GOOGLEFINANCE(E17,""changepct"")"),-2.8)</f>
        <v>-2.8</v>
      </c>
      <c r="L17" s="516">
        <f>IFERROR(__xludf.DUMMYFUNCTION("googlefinance(E17,""price"")"),57.61)</f>
        <v>57.61</v>
      </c>
      <c r="M17" s="216"/>
      <c r="N17" s="517">
        <f t="shared" si="3"/>
        <v>-52.53</v>
      </c>
      <c r="O17" s="518">
        <f>L17/J17-1</f>
        <v>-0.476938442</v>
      </c>
      <c r="P17" s="514">
        <f t="shared" si="5"/>
        <v>-52530</v>
      </c>
      <c r="Q17" s="538"/>
      <c r="R17" s="217"/>
      <c r="S17" s="519"/>
      <c r="T17" s="520"/>
      <c r="U17" s="521"/>
      <c r="V17" s="522"/>
      <c r="W17" s="523"/>
      <c r="X17" s="524"/>
      <c r="Y17" s="525"/>
      <c r="Z17" s="526"/>
    </row>
    <row r="18">
      <c r="A18" s="13"/>
      <c r="B18" s="13"/>
      <c r="C18" s="13"/>
      <c r="D18" s="13"/>
      <c r="E18" s="13"/>
      <c r="F18" s="13"/>
      <c r="G18" s="509"/>
      <c r="H18" s="509">
        <f t="shared" ref="H18:I18" si="10">SUM(H3:H17)</f>
        <v>2026824.5</v>
      </c>
      <c r="I18" s="539">
        <f t="shared" si="10"/>
        <v>1587017.5</v>
      </c>
      <c r="J18" s="506"/>
      <c r="K18" s="506"/>
      <c r="L18" s="506"/>
      <c r="M18" s="507"/>
      <c r="N18" s="507"/>
      <c r="O18" s="540">
        <f>P18/H18</f>
        <v>0.0371275362</v>
      </c>
      <c r="P18" s="625">
        <v>75251.0</v>
      </c>
      <c r="Q18" s="541"/>
      <c r="R18" s="193">
        <v>1050.0</v>
      </c>
      <c r="S18" s="510" t="s">
        <v>89</v>
      </c>
      <c r="T18" s="542"/>
      <c r="U18" s="543"/>
      <c r="V18" s="544">
        <f>SUM(V3:V17)</f>
        <v>586976</v>
      </c>
      <c r="W18" s="510" t="s">
        <v>89</v>
      </c>
      <c r="X18" s="542"/>
      <c r="Y18" s="543"/>
      <c r="Z18" s="544">
        <f>SUM(Z3:Z17)</f>
        <v>838830</v>
      </c>
    </row>
    <row r="19">
      <c r="A19" s="173"/>
      <c r="B19" s="504" t="s">
        <v>342</v>
      </c>
      <c r="C19" s="504" t="s">
        <v>2</v>
      </c>
      <c r="D19" s="545" t="s">
        <v>3</v>
      </c>
      <c r="E19" s="545" t="s">
        <v>4</v>
      </c>
      <c r="F19" s="546" t="s">
        <v>5</v>
      </c>
      <c r="G19" s="547" t="s">
        <v>6</v>
      </c>
      <c r="H19" s="504" t="s">
        <v>7</v>
      </c>
      <c r="I19" s="505" t="s">
        <v>8</v>
      </c>
      <c r="J19" s="505" t="s">
        <v>9</v>
      </c>
      <c r="K19" s="548" t="s">
        <v>10</v>
      </c>
      <c r="L19" s="548" t="s">
        <v>11</v>
      </c>
      <c r="M19" s="548" t="s">
        <v>476</v>
      </c>
      <c r="N19" s="549" t="s">
        <v>13</v>
      </c>
      <c r="O19" s="504" t="s">
        <v>14</v>
      </c>
      <c r="P19" s="508" t="s">
        <v>15</v>
      </c>
      <c r="Q19" s="550" t="s">
        <v>16</v>
      </c>
      <c r="R19" s="551" t="s">
        <v>17</v>
      </c>
      <c r="S19" s="546" t="s">
        <v>21</v>
      </c>
      <c r="T19" s="552" t="s">
        <v>22</v>
      </c>
      <c r="U19" s="553" t="s">
        <v>23</v>
      </c>
      <c r="V19" s="553" t="s">
        <v>24</v>
      </c>
      <c r="W19" s="545" t="s">
        <v>25</v>
      </c>
      <c r="X19" s="545" t="s">
        <v>26</v>
      </c>
      <c r="Y19" s="553" t="s">
        <v>27</v>
      </c>
      <c r="Z19" s="551" t="s">
        <v>28</v>
      </c>
    </row>
    <row r="20">
      <c r="A20" s="502" t="s">
        <v>29</v>
      </c>
      <c r="B20" s="321">
        <f>I26/E111</f>
        <v>0.05906445172</v>
      </c>
      <c r="C20" s="512">
        <f>I20/E111</f>
        <v>0.006964341277</v>
      </c>
      <c r="D20" s="344" t="s">
        <v>346</v>
      </c>
      <c r="E20" s="344" t="s">
        <v>347</v>
      </c>
      <c r="F20" s="195">
        <v>7.7</v>
      </c>
      <c r="G20" s="513">
        <v>800.0</v>
      </c>
      <c r="H20" s="217">
        <f t="shared" ref="H20:H25" si="11">G20*J20</f>
        <v>117104</v>
      </c>
      <c r="I20" s="514">
        <f t="shared" ref="I20:I25" si="12">H20+P20</f>
        <v>67304</v>
      </c>
      <c r="J20" s="216">
        <v>146.38</v>
      </c>
      <c r="K20" s="515">
        <f>IFERROR(__xludf.DUMMYFUNCTION("GOOGLEFINANCE(E20,""changepct"")"),-1.09)</f>
        <v>-1.09</v>
      </c>
      <c r="L20" s="516">
        <f>IFERROR(__xludf.DUMMYFUNCTION("googlefinance(E20,""price"")"),84.13)</f>
        <v>84.13</v>
      </c>
      <c r="M20" s="216"/>
      <c r="N20" s="517">
        <f t="shared" ref="N20:N25" si="13">L20-J20</f>
        <v>-62.25</v>
      </c>
      <c r="O20" s="518">
        <f t="shared" ref="O20:O25" si="14">L20/J20-1</f>
        <v>-0.4252630141</v>
      </c>
      <c r="P20" s="514">
        <f t="shared" ref="P20:P25" si="15">H20*O20</f>
        <v>-49800</v>
      </c>
      <c r="Q20" s="14"/>
      <c r="R20" s="19"/>
      <c r="S20" s="626"/>
      <c r="T20" s="627"/>
      <c r="U20" s="628"/>
      <c r="V20" s="629"/>
      <c r="W20" s="630"/>
      <c r="X20" s="630"/>
      <c r="Y20" s="628"/>
      <c r="Z20" s="629"/>
    </row>
    <row r="21">
      <c r="A21" s="528"/>
      <c r="B21" s="38"/>
      <c r="C21" s="512">
        <f>I21/E111</f>
        <v>0.00695771882</v>
      </c>
      <c r="D21" s="344" t="s">
        <v>530</v>
      </c>
      <c r="E21" s="344" t="s">
        <v>34</v>
      </c>
      <c r="F21" s="195">
        <v>7.9</v>
      </c>
      <c r="G21" s="513">
        <v>800.0</v>
      </c>
      <c r="H21" s="217">
        <f t="shared" si="11"/>
        <v>122904</v>
      </c>
      <c r="I21" s="514">
        <f t="shared" si="12"/>
        <v>67240</v>
      </c>
      <c r="J21" s="216">
        <v>153.63</v>
      </c>
      <c r="K21" s="515">
        <f>IFERROR(__xludf.DUMMYFUNCTION("GOOGLEFINANCE(E21,""changepct"")"),-2.94)</f>
        <v>-2.94</v>
      </c>
      <c r="L21" s="516">
        <f>IFERROR(__xludf.DUMMYFUNCTION("googlefinance(E21,""price"")"),84.05)</f>
        <v>84.05</v>
      </c>
      <c r="M21" s="517"/>
      <c r="N21" s="517">
        <f t="shared" si="13"/>
        <v>-69.58</v>
      </c>
      <c r="O21" s="518">
        <f t="shared" si="14"/>
        <v>-0.4529063334</v>
      </c>
      <c r="P21" s="514">
        <f t="shared" si="15"/>
        <v>-55664</v>
      </c>
      <c r="Q21" s="34"/>
      <c r="R21" s="29"/>
      <c r="S21" s="555"/>
      <c r="T21" s="556"/>
      <c r="U21" s="557"/>
      <c r="V21" s="558"/>
      <c r="W21" s="559"/>
      <c r="X21" s="560"/>
      <c r="Y21" s="561"/>
      <c r="Z21" s="562"/>
    </row>
    <row r="22">
      <c r="A22" s="528"/>
      <c r="B22" s="38"/>
      <c r="C22" s="512">
        <f>I22/E111</f>
        <v>0.01760124883</v>
      </c>
      <c r="D22" s="104" t="s">
        <v>700</v>
      </c>
      <c r="E22" s="104" t="s">
        <v>701</v>
      </c>
      <c r="F22" s="195">
        <v>6.2</v>
      </c>
      <c r="G22" s="513">
        <v>15000.0</v>
      </c>
      <c r="H22" s="217">
        <f t="shared" si="11"/>
        <v>108000</v>
      </c>
      <c r="I22" s="514">
        <f t="shared" si="12"/>
        <v>170100</v>
      </c>
      <c r="J22" s="216">
        <v>7.2</v>
      </c>
      <c r="K22" s="515">
        <f>IFERROR(__xludf.DUMMYFUNCTION("GOOGLEFINANCE(E22,""changepct"")"),-3.24)</f>
        <v>-3.24</v>
      </c>
      <c r="L22" s="516">
        <f>IFERROR(__xludf.DUMMYFUNCTION("googlefinance(E22,""price"")"),11.34)</f>
        <v>11.34</v>
      </c>
      <c r="M22" s="517"/>
      <c r="N22" s="517">
        <f t="shared" si="13"/>
        <v>4.14</v>
      </c>
      <c r="O22" s="518">
        <f t="shared" si="14"/>
        <v>0.575</v>
      </c>
      <c r="P22" s="514">
        <f t="shared" si="15"/>
        <v>62100</v>
      </c>
      <c r="Q22" s="34"/>
      <c r="R22" s="29"/>
      <c r="S22" s="555"/>
      <c r="T22" s="556"/>
      <c r="U22" s="557"/>
      <c r="V22" s="558"/>
      <c r="W22" s="559"/>
      <c r="X22" s="560"/>
      <c r="Y22" s="561"/>
      <c r="Z22" s="562"/>
    </row>
    <row r="23">
      <c r="A23" s="528"/>
      <c r="B23" s="38"/>
      <c r="C23" s="512">
        <f>I23/E111</f>
        <v>0.006024366296</v>
      </c>
      <c r="D23" s="529" t="s">
        <v>702</v>
      </c>
      <c r="E23" s="529" t="s">
        <v>703</v>
      </c>
      <c r="F23" s="530">
        <v>7.1</v>
      </c>
      <c r="G23" s="513">
        <v>2000.0</v>
      </c>
      <c r="H23" s="217">
        <f t="shared" si="11"/>
        <v>94160</v>
      </c>
      <c r="I23" s="514">
        <f t="shared" si="12"/>
        <v>58220</v>
      </c>
      <c r="J23" s="216">
        <v>47.08</v>
      </c>
      <c r="K23" s="515">
        <f>IFERROR(__xludf.DUMMYFUNCTION("GOOGLEFINANCE(E23,""changepct"")"),-2.02)</f>
        <v>-2.02</v>
      </c>
      <c r="L23" s="516">
        <f>IFERROR(__xludf.DUMMYFUNCTION("googlefinance(E23,""price"")"),29.11)</f>
        <v>29.11</v>
      </c>
      <c r="M23" s="216"/>
      <c r="N23" s="517">
        <f t="shared" si="13"/>
        <v>-17.97</v>
      </c>
      <c r="O23" s="518">
        <f t="shared" si="14"/>
        <v>-0.3816907392</v>
      </c>
      <c r="P23" s="514">
        <f t="shared" si="15"/>
        <v>-35940</v>
      </c>
      <c r="Q23" s="514"/>
      <c r="R23" s="29"/>
      <c r="S23" s="555"/>
      <c r="T23" s="556"/>
      <c r="U23" s="557"/>
      <c r="V23" s="558"/>
      <c r="W23" s="559"/>
      <c r="X23" s="560"/>
      <c r="Y23" s="561"/>
      <c r="Z23" s="562"/>
    </row>
    <row r="24">
      <c r="A24" s="528"/>
      <c r="B24" s="38"/>
      <c r="C24" s="512">
        <f>I24/E111</f>
        <v>0.0201571033</v>
      </c>
      <c r="D24" s="529" t="s">
        <v>651</v>
      </c>
      <c r="E24" s="529" t="s">
        <v>652</v>
      </c>
      <c r="F24" s="530">
        <v>7.5</v>
      </c>
      <c r="G24" s="513">
        <v>20000.0</v>
      </c>
      <c r="H24" s="217">
        <f t="shared" si="11"/>
        <v>106800</v>
      </c>
      <c r="I24" s="514">
        <f t="shared" si="12"/>
        <v>194800</v>
      </c>
      <c r="J24" s="216">
        <v>5.34</v>
      </c>
      <c r="K24" s="515">
        <f>IFERROR(__xludf.DUMMYFUNCTION("GOOGLEFINANCE(E24,""changepct"")"),13.39)</f>
        <v>13.39</v>
      </c>
      <c r="L24" s="516">
        <f>IFERROR(__xludf.DUMMYFUNCTION("googlefinance(E24,""price"")"),9.74)</f>
        <v>9.74</v>
      </c>
      <c r="M24" s="216"/>
      <c r="N24" s="517">
        <f t="shared" si="13"/>
        <v>4.4</v>
      </c>
      <c r="O24" s="518">
        <f t="shared" si="14"/>
        <v>0.8239700375</v>
      </c>
      <c r="P24" s="514">
        <f t="shared" si="15"/>
        <v>88000</v>
      </c>
      <c r="Q24" s="512"/>
      <c r="R24" s="29"/>
      <c r="S24" s="555"/>
      <c r="T24" s="556"/>
      <c r="U24" s="557"/>
      <c r="V24" s="558"/>
      <c r="W24" s="555"/>
      <c r="X24" s="556"/>
      <c r="Y24" s="557"/>
      <c r="Z24" s="558"/>
    </row>
    <row r="25">
      <c r="A25" s="528"/>
      <c r="B25" s="38"/>
      <c r="C25" s="512">
        <f>I25/E111</f>
        <v>0.00135967319</v>
      </c>
      <c r="D25" s="563" t="s">
        <v>490</v>
      </c>
      <c r="E25" s="563" t="s">
        <v>349</v>
      </c>
      <c r="F25" s="530">
        <v>8.1</v>
      </c>
      <c r="G25" s="513">
        <v>3000.0</v>
      </c>
      <c r="H25" s="217">
        <f t="shared" si="11"/>
        <v>106950</v>
      </c>
      <c r="I25" s="514">
        <f t="shared" si="12"/>
        <v>13140</v>
      </c>
      <c r="J25" s="216">
        <v>35.65</v>
      </c>
      <c r="K25" s="515">
        <f>IFERROR(__xludf.DUMMYFUNCTION("GOOGLEFINANCE(E25,""changepct"")"),-2.23)</f>
        <v>-2.23</v>
      </c>
      <c r="L25" s="516">
        <f>IFERROR(__xludf.DUMMYFUNCTION("googlefinance(E25,""price"")"),4.38)</f>
        <v>4.38</v>
      </c>
      <c r="M25" s="216"/>
      <c r="N25" s="517">
        <f t="shared" si="13"/>
        <v>-31.27</v>
      </c>
      <c r="O25" s="518">
        <f t="shared" si="14"/>
        <v>-0.8771388499</v>
      </c>
      <c r="P25" s="514">
        <f t="shared" si="15"/>
        <v>-93810</v>
      </c>
      <c r="Q25" s="512"/>
      <c r="R25" s="514"/>
      <c r="S25" s="555"/>
      <c r="T25" s="556"/>
      <c r="U25" s="557"/>
      <c r="V25" s="558"/>
      <c r="W25" s="559"/>
      <c r="X25" s="560"/>
      <c r="Y25" s="561"/>
      <c r="Z25" s="562"/>
    </row>
    <row r="26">
      <c r="A26" s="13"/>
      <c r="B26" s="13"/>
      <c r="C26" s="13"/>
      <c r="D26" s="13"/>
      <c r="E26" s="13"/>
      <c r="F26" s="13"/>
      <c r="G26" s="564"/>
      <c r="H26" s="509">
        <f t="shared" ref="H26:I26" si="16">SUM(H20:H25)</f>
        <v>655918</v>
      </c>
      <c r="I26" s="539">
        <f t="shared" si="16"/>
        <v>570804</v>
      </c>
      <c r="J26" s="506"/>
      <c r="K26" s="506"/>
      <c r="L26" s="506"/>
      <c r="M26" s="507"/>
      <c r="N26" s="507"/>
      <c r="O26" s="540">
        <f>P26/H26</f>
        <v>-0.1202650331</v>
      </c>
      <c r="P26" s="625">
        <v>-78884.0</v>
      </c>
      <c r="Q26" s="13"/>
      <c r="R26" s="509"/>
      <c r="S26" s="510" t="s">
        <v>89</v>
      </c>
      <c r="T26" s="542"/>
      <c r="U26" s="542"/>
      <c r="V26" s="544">
        <v>0.0</v>
      </c>
      <c r="W26" s="510" t="s">
        <v>89</v>
      </c>
      <c r="X26" s="542"/>
      <c r="Y26" s="543"/>
      <c r="Z26" s="544">
        <v>0.0</v>
      </c>
    </row>
    <row r="27">
      <c r="A27" s="173"/>
      <c r="B27" s="504" t="s">
        <v>588</v>
      </c>
      <c r="C27" s="504" t="s">
        <v>2</v>
      </c>
      <c r="D27" s="13" t="s">
        <v>3</v>
      </c>
      <c r="E27" s="13" t="s">
        <v>4</v>
      </c>
      <c r="F27" s="13" t="s">
        <v>5</v>
      </c>
      <c r="G27" s="504" t="s">
        <v>6</v>
      </c>
      <c r="H27" s="504" t="s">
        <v>7</v>
      </c>
      <c r="I27" s="505" t="s">
        <v>8</v>
      </c>
      <c r="J27" s="505" t="s">
        <v>9</v>
      </c>
      <c r="K27" s="506" t="s">
        <v>10</v>
      </c>
      <c r="L27" s="506" t="s">
        <v>11</v>
      </c>
      <c r="M27" s="507" t="s">
        <v>476</v>
      </c>
      <c r="N27" s="507" t="s">
        <v>13</v>
      </c>
      <c r="O27" s="504" t="s">
        <v>14</v>
      </c>
      <c r="P27" s="508" t="s">
        <v>15</v>
      </c>
      <c r="Q27" s="13" t="s">
        <v>16</v>
      </c>
      <c r="R27" s="13" t="s">
        <v>17</v>
      </c>
      <c r="S27" s="510" t="s">
        <v>21</v>
      </c>
      <c r="T27" s="510" t="s">
        <v>22</v>
      </c>
      <c r="U27" s="511" t="s">
        <v>23</v>
      </c>
      <c r="V27" s="511" t="s">
        <v>24</v>
      </c>
      <c r="W27" s="510" t="s">
        <v>25</v>
      </c>
      <c r="X27" s="510" t="s">
        <v>26</v>
      </c>
      <c r="Y27" s="510" t="s">
        <v>27</v>
      </c>
      <c r="Z27" s="510" t="s">
        <v>28</v>
      </c>
    </row>
    <row r="28">
      <c r="A28" s="502" t="s">
        <v>29</v>
      </c>
      <c r="B28" s="527" t="str">
        <f>I34/E111</f>
        <v>#N/A</v>
      </c>
      <c r="C28" s="512">
        <f>I28/E111</f>
        <v>0.01904163321</v>
      </c>
      <c r="D28" s="344" t="s">
        <v>677</v>
      </c>
      <c r="E28" s="344" t="s">
        <v>315</v>
      </c>
      <c r="F28" s="569">
        <v>7.7</v>
      </c>
      <c r="G28" s="513">
        <v>2000.0</v>
      </c>
      <c r="H28" s="217">
        <f t="shared" ref="H28:H33" si="17">J28*G28</f>
        <v>136940</v>
      </c>
      <c r="I28" s="514">
        <f t="shared" ref="I28:I33" si="18">H28+P28</f>
        <v>184020</v>
      </c>
      <c r="J28" s="216">
        <v>68.47</v>
      </c>
      <c r="K28" s="568">
        <f>IFERROR(__xludf.DUMMYFUNCTION("GOOGLEFINANCE(E28,""changepct"")"),-2.23)</f>
        <v>-2.23</v>
      </c>
      <c r="L28" s="516">
        <f>IFERROR(__xludf.DUMMYFUNCTION("googlefinance(E28,""price"")"),92.01)</f>
        <v>92.01</v>
      </c>
      <c r="M28" s="517"/>
      <c r="N28" s="517">
        <f t="shared" ref="N28:N33" si="19">L28-J28</f>
        <v>23.54</v>
      </c>
      <c r="O28" s="518">
        <f t="shared" ref="O28:O33" si="20">L28/J28-1</f>
        <v>0.3438002045</v>
      </c>
      <c r="P28" s="495">
        <f t="shared" ref="P28:P33" si="21">H28*O28</f>
        <v>47080</v>
      </c>
      <c r="Q28" s="538">
        <v>0.043</v>
      </c>
      <c r="R28" s="217">
        <v>1570.0</v>
      </c>
      <c r="S28" s="523"/>
      <c r="T28" s="524"/>
      <c r="U28" s="525"/>
      <c r="V28" s="526"/>
      <c r="W28" s="523"/>
      <c r="X28" s="524"/>
      <c r="Y28" s="525"/>
      <c r="Z28" s="526"/>
    </row>
    <row r="29">
      <c r="A29" s="528"/>
      <c r="B29" s="528"/>
      <c r="C29" s="512" t="str">
        <f>I29/E111</f>
        <v>#N/A</v>
      </c>
      <c r="D29" s="104" t="s">
        <v>704</v>
      </c>
      <c r="E29" s="344" t="s">
        <v>705</v>
      </c>
      <c r="F29" s="569">
        <v>7.5</v>
      </c>
      <c r="G29" s="513">
        <v>3000.0</v>
      </c>
      <c r="H29" s="217">
        <f t="shared" si="17"/>
        <v>117000</v>
      </c>
      <c r="I29" s="514" t="str">
        <f t="shared" si="18"/>
        <v>#N/A</v>
      </c>
      <c r="J29" s="216">
        <v>39.0</v>
      </c>
      <c r="K29" s="568" t="str">
        <f>IFERROR(__xludf.DUMMYFUNCTION("GOOGLEFINANCE(E29,""changepct"")"),"#N/A")</f>
        <v>#N/A</v>
      </c>
      <c r="L29" s="516" t="str">
        <f>IFERROR(__xludf.DUMMYFUNCTION("googlefinance(E29,""price"")"),"#N/A")</f>
        <v>#N/A</v>
      </c>
      <c r="M29" s="517"/>
      <c r="N29" s="528" t="str">
        <f t="shared" si="19"/>
        <v>#N/A</v>
      </c>
      <c r="O29" s="518" t="str">
        <f t="shared" si="20"/>
        <v>#N/A</v>
      </c>
      <c r="P29" s="528" t="str">
        <f t="shared" si="21"/>
        <v>#N/A</v>
      </c>
      <c r="Q29" s="512"/>
      <c r="R29" s="514"/>
      <c r="S29" s="523"/>
      <c r="T29" s="524"/>
      <c r="U29" s="525"/>
      <c r="V29" s="526"/>
      <c r="W29" s="523"/>
      <c r="X29" s="524"/>
      <c r="Y29" s="525"/>
      <c r="Z29" s="526"/>
    </row>
    <row r="30">
      <c r="A30" s="528"/>
      <c r="B30" s="528"/>
      <c r="C30" s="512">
        <f>I30/E111</f>
        <v>0.000492338283</v>
      </c>
      <c r="D30" s="567" t="s">
        <v>653</v>
      </c>
      <c r="E30" s="104" t="s">
        <v>561</v>
      </c>
      <c r="F30" s="195">
        <v>6.7</v>
      </c>
      <c r="G30" s="513">
        <v>600.0</v>
      </c>
      <c r="H30" s="217">
        <f t="shared" si="17"/>
        <v>105300</v>
      </c>
      <c r="I30" s="514">
        <f t="shared" si="18"/>
        <v>4758</v>
      </c>
      <c r="J30" s="216">
        <v>175.5</v>
      </c>
      <c r="K30" s="568">
        <f>IFERROR(__xludf.DUMMYFUNCTION("GOOGLEFINANCE(E30,""changepct"")"),-4.23)</f>
        <v>-4.23</v>
      </c>
      <c r="L30" s="516">
        <f>IFERROR(__xludf.DUMMYFUNCTION("googlefinance(E30,""price"")"),7.93)</f>
        <v>7.93</v>
      </c>
      <c r="M30" s="216"/>
      <c r="N30" s="517">
        <f t="shared" si="19"/>
        <v>-167.57</v>
      </c>
      <c r="O30" s="518">
        <f t="shared" si="20"/>
        <v>-0.9548148148</v>
      </c>
      <c r="P30" s="514">
        <f t="shared" si="21"/>
        <v>-100542</v>
      </c>
      <c r="Q30" s="512"/>
      <c r="R30" s="514"/>
      <c r="S30" s="519"/>
      <c r="T30" s="520"/>
      <c r="U30" s="521"/>
      <c r="V30" s="522"/>
      <c r="W30" s="519"/>
      <c r="X30" s="520"/>
      <c r="Y30" s="521"/>
      <c r="Z30" s="522"/>
    </row>
    <row r="31">
      <c r="A31" s="528"/>
      <c r="B31" s="528"/>
      <c r="C31" s="512">
        <f>I31/E111</f>
        <v>0.002037440267</v>
      </c>
      <c r="D31" s="631" t="s">
        <v>654</v>
      </c>
      <c r="E31" s="344" t="s">
        <v>655</v>
      </c>
      <c r="F31" s="195">
        <v>7.1</v>
      </c>
      <c r="G31" s="513">
        <v>500.0</v>
      </c>
      <c r="H31" s="217">
        <f t="shared" si="17"/>
        <v>109650</v>
      </c>
      <c r="I31" s="514">
        <f t="shared" si="18"/>
        <v>19690</v>
      </c>
      <c r="J31" s="216">
        <v>219.3</v>
      </c>
      <c r="K31" s="568">
        <f>IFERROR(__xludf.DUMMYFUNCTION("GOOGLEFINANCE(E31,""changepct"")"),-1.87)</f>
        <v>-1.87</v>
      </c>
      <c r="L31" s="516">
        <f>IFERROR(__xludf.DUMMYFUNCTION("googlefinance(E31,""price"")"),39.38)</f>
        <v>39.38</v>
      </c>
      <c r="M31" s="216"/>
      <c r="N31" s="517">
        <f t="shared" si="19"/>
        <v>-179.92</v>
      </c>
      <c r="O31" s="518">
        <f t="shared" si="20"/>
        <v>-0.8204286366</v>
      </c>
      <c r="P31" s="514">
        <f t="shared" si="21"/>
        <v>-89960</v>
      </c>
      <c r="Q31" s="512"/>
      <c r="R31" s="514"/>
      <c r="S31" s="519"/>
      <c r="T31" s="520"/>
      <c r="U31" s="521"/>
      <c r="V31" s="522"/>
      <c r="W31" s="519" t="s">
        <v>655</v>
      </c>
      <c r="X31" s="520">
        <v>44505.0</v>
      </c>
      <c r="Y31" s="521">
        <v>219.3</v>
      </c>
      <c r="Z31" s="522">
        <v>109650.0</v>
      </c>
    </row>
    <row r="32">
      <c r="A32" s="528"/>
      <c r="B32" s="528"/>
      <c r="C32" s="512">
        <f>I32/E111</f>
        <v>0.00122246416</v>
      </c>
      <c r="D32" s="631" t="s">
        <v>654</v>
      </c>
      <c r="E32" s="344" t="s">
        <v>655</v>
      </c>
      <c r="F32" s="195">
        <v>7.1</v>
      </c>
      <c r="G32" s="513">
        <v>300.0</v>
      </c>
      <c r="H32" s="217">
        <f t="shared" si="17"/>
        <v>103332</v>
      </c>
      <c r="I32" s="514">
        <f t="shared" si="18"/>
        <v>11814</v>
      </c>
      <c r="J32" s="216">
        <v>344.44</v>
      </c>
      <c r="K32" s="568">
        <f>IFERROR(__xludf.DUMMYFUNCTION("GOOGLEFINANCE(E32,""changepct"")"),-1.87)</f>
        <v>-1.87</v>
      </c>
      <c r="L32" s="516">
        <f>IFERROR(__xludf.DUMMYFUNCTION("googlefinance(E32,""price"")"),39.38)</f>
        <v>39.38</v>
      </c>
      <c r="M32" s="216"/>
      <c r="N32" s="517">
        <f t="shared" si="19"/>
        <v>-305.06</v>
      </c>
      <c r="O32" s="518">
        <f t="shared" si="20"/>
        <v>-0.8856694925</v>
      </c>
      <c r="P32" s="514">
        <f t="shared" si="21"/>
        <v>-91518</v>
      </c>
      <c r="Q32" s="512"/>
      <c r="R32" s="514"/>
      <c r="S32" s="519"/>
      <c r="T32" s="520"/>
      <c r="U32" s="521"/>
      <c r="V32" s="522"/>
      <c r="W32" s="519"/>
      <c r="X32" s="520"/>
      <c r="Y32" s="521"/>
      <c r="Z32" s="522"/>
    </row>
    <row r="33">
      <c r="A33" s="528"/>
      <c r="B33" s="528"/>
      <c r="C33" s="512">
        <f>I33/E111</f>
        <v>0.01356982817</v>
      </c>
      <c r="D33" s="104" t="s">
        <v>591</v>
      </c>
      <c r="E33" s="104" t="s">
        <v>592</v>
      </c>
      <c r="F33" s="569">
        <v>7.8</v>
      </c>
      <c r="G33" s="513">
        <v>2000.0</v>
      </c>
      <c r="H33" s="217">
        <f t="shared" si="17"/>
        <v>117420</v>
      </c>
      <c r="I33" s="514">
        <f t="shared" si="18"/>
        <v>131140</v>
      </c>
      <c r="J33" s="216">
        <v>58.71</v>
      </c>
      <c r="K33" s="568">
        <f>IFERROR(__xludf.DUMMYFUNCTION("GOOGLEFINANCE(E33,""changepct"")"),-1.04)</f>
        <v>-1.04</v>
      </c>
      <c r="L33" s="516">
        <f>IFERROR(__xludf.DUMMYFUNCTION("googlefinance(E33,""price"")"),65.57)</f>
        <v>65.57</v>
      </c>
      <c r="M33" s="517"/>
      <c r="N33" s="517">
        <f t="shared" si="19"/>
        <v>6.86</v>
      </c>
      <c r="O33" s="518">
        <f t="shared" si="20"/>
        <v>0.1168455118</v>
      </c>
      <c r="P33" s="514">
        <f t="shared" si="21"/>
        <v>13720</v>
      </c>
      <c r="Q33" s="538">
        <v>0.0222</v>
      </c>
      <c r="R33" s="217">
        <v>655.0</v>
      </c>
      <c r="S33" s="523"/>
      <c r="T33" s="524"/>
      <c r="U33" s="525"/>
      <c r="V33" s="526"/>
      <c r="W33" s="519"/>
      <c r="X33" s="520"/>
      <c r="Y33" s="521"/>
      <c r="Z33" s="522"/>
    </row>
    <row r="34">
      <c r="A34" s="13"/>
      <c r="B34" s="13"/>
      <c r="C34" s="504" t="s">
        <v>89</v>
      </c>
      <c r="D34" s="13"/>
      <c r="E34" s="13"/>
      <c r="F34" s="13"/>
      <c r="G34" s="564"/>
      <c r="H34" s="509">
        <f t="shared" ref="H34:I34" si="22">SUM(H28:H33)</f>
        <v>689642</v>
      </c>
      <c r="I34" s="539" t="str">
        <f t="shared" si="22"/>
        <v>#N/A</v>
      </c>
      <c r="J34" s="506"/>
      <c r="K34" s="506"/>
      <c r="L34" s="506"/>
      <c r="M34" s="507"/>
      <c r="N34" s="507"/>
      <c r="O34" s="540">
        <f>P34/H34</f>
        <v>-0.04640958642</v>
      </c>
      <c r="P34" s="625">
        <v>-32006.0</v>
      </c>
      <c r="Q34" s="13"/>
      <c r="R34" s="509">
        <f>SUM(R28:R33)</f>
        <v>2225</v>
      </c>
      <c r="S34" s="510" t="s">
        <v>89</v>
      </c>
      <c r="T34" s="542"/>
      <c r="U34" s="542"/>
      <c r="V34" s="544">
        <f>SUM(V28:V33)</f>
        <v>0</v>
      </c>
      <c r="W34" s="510" t="s">
        <v>89</v>
      </c>
      <c r="X34" s="542"/>
      <c r="Y34" s="543"/>
      <c r="Z34" s="570">
        <f>SUM(Z28:Z33)</f>
        <v>109650</v>
      </c>
    </row>
    <row r="35">
      <c r="A35" s="173"/>
      <c r="B35" s="504" t="s">
        <v>656</v>
      </c>
      <c r="C35" s="504" t="s">
        <v>2</v>
      </c>
      <c r="D35" s="13" t="s">
        <v>3</v>
      </c>
      <c r="E35" s="13" t="s">
        <v>4</v>
      </c>
      <c r="F35" s="13" t="s">
        <v>5</v>
      </c>
      <c r="G35" s="504" t="s">
        <v>6</v>
      </c>
      <c r="H35" s="504" t="s">
        <v>7</v>
      </c>
      <c r="I35" s="505" t="s">
        <v>8</v>
      </c>
      <c r="J35" s="505" t="s">
        <v>9</v>
      </c>
      <c r="K35" s="506" t="s">
        <v>10</v>
      </c>
      <c r="L35" s="506" t="s">
        <v>11</v>
      </c>
      <c r="M35" s="507" t="s">
        <v>476</v>
      </c>
      <c r="N35" s="507" t="s">
        <v>13</v>
      </c>
      <c r="O35" s="504" t="s">
        <v>14</v>
      </c>
      <c r="P35" s="508" t="s">
        <v>15</v>
      </c>
      <c r="Q35" s="13" t="s">
        <v>16</v>
      </c>
      <c r="R35" s="13" t="s">
        <v>17</v>
      </c>
      <c r="S35" s="510" t="s">
        <v>21</v>
      </c>
      <c r="T35" s="510" t="s">
        <v>22</v>
      </c>
      <c r="U35" s="511" t="s">
        <v>23</v>
      </c>
      <c r="V35" s="511" t="s">
        <v>24</v>
      </c>
      <c r="W35" s="510" t="s">
        <v>25</v>
      </c>
      <c r="X35" s="510" t="s">
        <v>26</v>
      </c>
      <c r="Y35" s="510" t="s">
        <v>27</v>
      </c>
      <c r="Z35" s="510" t="s">
        <v>28</v>
      </c>
    </row>
    <row r="36">
      <c r="A36" s="502" t="s">
        <v>29</v>
      </c>
      <c r="B36" s="527">
        <f>I43/E111</f>
        <v>0.09891415506</v>
      </c>
      <c r="C36" s="512">
        <f>I36/E111</f>
        <v>0.005434553725</v>
      </c>
      <c r="D36" s="344" t="s">
        <v>678</v>
      </c>
      <c r="E36" s="344" t="s">
        <v>679</v>
      </c>
      <c r="F36" s="195">
        <v>7.2</v>
      </c>
      <c r="G36" s="513">
        <v>2000.0</v>
      </c>
      <c r="H36" s="217">
        <f t="shared" ref="H36:H42" si="23">J36*G36</f>
        <v>133000</v>
      </c>
      <c r="I36" s="217">
        <f t="shared" ref="I36:I42" si="24">H36+P36</f>
        <v>52520</v>
      </c>
      <c r="J36" s="216">
        <v>66.5</v>
      </c>
      <c r="K36" s="515">
        <f>IFERROR(__xludf.DUMMYFUNCTION("GOOGLEFINANCE(E36,""changepct"")"),-1.57)</f>
        <v>-1.57</v>
      </c>
      <c r="L36" s="517">
        <f>IFERROR(__xludf.DUMMYFUNCTION("googlefinance(E36,""price"")"),26.26)</f>
        <v>26.26</v>
      </c>
      <c r="M36" s="216"/>
      <c r="N36" s="517">
        <f t="shared" ref="N36:N42" si="25">L36-J36</f>
        <v>-40.24</v>
      </c>
      <c r="O36" s="518">
        <f t="shared" ref="O36:O42" si="26">L36/J36-1</f>
        <v>-0.605112782</v>
      </c>
      <c r="P36" s="514">
        <f t="shared" ref="P36:P42" si="27">H36*O36</f>
        <v>-80480</v>
      </c>
      <c r="Q36" s="538"/>
      <c r="R36" s="514"/>
      <c r="S36" s="519"/>
      <c r="T36" s="520"/>
      <c r="U36" s="521"/>
      <c r="V36" s="522"/>
      <c r="W36" s="523"/>
      <c r="X36" s="524"/>
      <c r="Y36" s="525"/>
      <c r="Z36" s="526"/>
    </row>
    <row r="37">
      <c r="A37" s="528"/>
      <c r="B37" s="528"/>
      <c r="C37" s="512">
        <f>I37/E111</f>
        <v>0.02005776645</v>
      </c>
      <c r="D37" s="567" t="s">
        <v>495</v>
      </c>
      <c r="E37" s="567" t="s">
        <v>496</v>
      </c>
      <c r="F37" s="195">
        <v>7.5</v>
      </c>
      <c r="G37" s="513">
        <v>4000.0</v>
      </c>
      <c r="H37" s="217">
        <f t="shared" si="23"/>
        <v>122720</v>
      </c>
      <c r="I37" s="217">
        <f t="shared" si="24"/>
        <v>193840</v>
      </c>
      <c r="J37" s="216">
        <v>30.68</v>
      </c>
      <c r="K37" s="515">
        <f>IFERROR(__xludf.DUMMYFUNCTION("GOOGLEFINANCE(E37,""changepct"")"),-0.21)</f>
        <v>-0.21</v>
      </c>
      <c r="L37" s="517">
        <f>IFERROR(__xludf.DUMMYFUNCTION("googlefinance(E37,""price"")"),48.46)</f>
        <v>48.46</v>
      </c>
      <c r="M37" s="216"/>
      <c r="N37" s="517">
        <f t="shared" si="25"/>
        <v>17.78</v>
      </c>
      <c r="O37" s="518">
        <f t="shared" si="26"/>
        <v>0.5795306389</v>
      </c>
      <c r="P37" s="514">
        <f t="shared" si="27"/>
        <v>71120</v>
      </c>
      <c r="Q37" s="538"/>
      <c r="R37" s="217"/>
      <c r="S37" s="519"/>
      <c r="T37" s="520"/>
      <c r="U37" s="521"/>
      <c r="V37" s="522"/>
      <c r="W37" s="519" t="s">
        <v>496</v>
      </c>
      <c r="X37" s="520">
        <v>44537.0</v>
      </c>
      <c r="Y37" s="521">
        <v>30.68</v>
      </c>
      <c r="Z37" s="522">
        <v>122720.0</v>
      </c>
    </row>
    <row r="38">
      <c r="A38" s="528"/>
      <c r="B38" s="528"/>
      <c r="C38" s="512">
        <f>I38/E111</f>
        <v>0.02474936329</v>
      </c>
      <c r="D38" s="567" t="s">
        <v>566</v>
      </c>
      <c r="E38" s="567" t="s">
        <v>567</v>
      </c>
      <c r="F38" s="195">
        <v>7.4</v>
      </c>
      <c r="G38" s="513">
        <v>2000.0</v>
      </c>
      <c r="H38" s="217">
        <f t="shared" si="23"/>
        <v>144980</v>
      </c>
      <c r="I38" s="217">
        <f t="shared" si="24"/>
        <v>239180</v>
      </c>
      <c r="J38" s="216">
        <v>72.49</v>
      </c>
      <c r="K38" s="515">
        <f>IFERROR(__xludf.DUMMYFUNCTION("GOOGLEFINANCE(E38,""changepct"")"),0.01)</f>
        <v>0.01</v>
      </c>
      <c r="L38" s="517">
        <f>IFERROR(__xludf.DUMMYFUNCTION("googlefinance(E38,""price"")"),119.59)</f>
        <v>119.59</v>
      </c>
      <c r="M38" s="216"/>
      <c r="N38" s="517">
        <f t="shared" si="25"/>
        <v>47.1</v>
      </c>
      <c r="O38" s="518">
        <f t="shared" si="26"/>
        <v>0.6497447924</v>
      </c>
      <c r="P38" s="514">
        <f t="shared" si="27"/>
        <v>94200</v>
      </c>
      <c r="Q38" s="538">
        <v>0.055</v>
      </c>
      <c r="R38" s="217" t="s">
        <v>128</v>
      </c>
      <c r="S38" s="519"/>
      <c r="T38" s="520"/>
      <c r="U38" s="521"/>
      <c r="V38" s="522"/>
      <c r="W38" s="519" t="s">
        <v>567</v>
      </c>
      <c r="X38" s="520">
        <v>44537.0</v>
      </c>
      <c r="Y38" s="521">
        <v>72.49</v>
      </c>
      <c r="Z38" s="522">
        <v>144980.0</v>
      </c>
    </row>
    <row r="39">
      <c r="A39" s="528"/>
      <c r="B39" s="528"/>
      <c r="C39" s="512">
        <f>I39/E111</f>
        <v>0.01201148127</v>
      </c>
      <c r="D39" s="567" t="s">
        <v>657</v>
      </c>
      <c r="E39" s="567" t="s">
        <v>309</v>
      </c>
      <c r="F39" s="195">
        <v>7.7</v>
      </c>
      <c r="G39" s="513">
        <v>8000.0</v>
      </c>
      <c r="H39" s="217">
        <f t="shared" si="23"/>
        <v>106080</v>
      </c>
      <c r="I39" s="217">
        <f t="shared" si="24"/>
        <v>116080</v>
      </c>
      <c r="J39" s="216">
        <v>13.26</v>
      </c>
      <c r="K39" s="515">
        <f>IFERROR(__xludf.DUMMYFUNCTION("GOOGLEFINANCE(E39,""changepct"")"),0.28)</f>
        <v>0.28</v>
      </c>
      <c r="L39" s="517">
        <f>IFERROR(__xludf.DUMMYFUNCTION("googlefinance(E39,""price"")"),14.51)</f>
        <v>14.51</v>
      </c>
      <c r="M39" s="216"/>
      <c r="N39" s="517">
        <f t="shared" si="25"/>
        <v>1.25</v>
      </c>
      <c r="O39" s="518">
        <f t="shared" si="26"/>
        <v>0.09426847662</v>
      </c>
      <c r="P39" s="514">
        <f t="shared" si="27"/>
        <v>10000</v>
      </c>
      <c r="Q39" s="538"/>
      <c r="R39" s="217"/>
      <c r="S39" s="519"/>
      <c r="T39" s="520"/>
      <c r="U39" s="521"/>
      <c r="V39" s="522"/>
      <c r="W39" s="519"/>
      <c r="X39" s="520"/>
      <c r="Y39" s="521"/>
      <c r="Z39" s="522"/>
    </row>
    <row r="40">
      <c r="A40" s="528"/>
      <c r="B40" s="528"/>
      <c r="C40" s="512">
        <f>I40/E111</f>
        <v>0.02188722018</v>
      </c>
      <c r="D40" s="567" t="s">
        <v>491</v>
      </c>
      <c r="E40" s="567" t="s">
        <v>492</v>
      </c>
      <c r="F40" s="195">
        <v>7.9</v>
      </c>
      <c r="G40" s="513">
        <v>2000.0</v>
      </c>
      <c r="H40" s="217">
        <f t="shared" si="23"/>
        <v>119560</v>
      </c>
      <c r="I40" s="217">
        <f t="shared" si="24"/>
        <v>211520</v>
      </c>
      <c r="J40" s="216">
        <v>59.78</v>
      </c>
      <c r="K40" s="515">
        <f>IFERROR(__xludf.DUMMYFUNCTION("GOOGLEFINANCE(E40,""changepct"")"),-0.68)</f>
        <v>-0.68</v>
      </c>
      <c r="L40" s="517">
        <f>IFERROR(__xludf.DUMMYFUNCTION("googlefinance(E40,""price"")"),105.76)</f>
        <v>105.76</v>
      </c>
      <c r="M40" s="216"/>
      <c r="N40" s="517">
        <f t="shared" si="25"/>
        <v>45.98</v>
      </c>
      <c r="O40" s="518">
        <f t="shared" si="26"/>
        <v>0.7691535631</v>
      </c>
      <c r="P40" s="514">
        <f t="shared" si="27"/>
        <v>91960</v>
      </c>
      <c r="Q40" s="538">
        <v>0.054</v>
      </c>
      <c r="R40" s="217">
        <v>1660.0</v>
      </c>
      <c r="S40" s="519"/>
      <c r="T40" s="520"/>
      <c r="U40" s="521"/>
      <c r="V40" s="522"/>
      <c r="W40" s="519"/>
      <c r="X40" s="520"/>
      <c r="Y40" s="521"/>
      <c r="Z40" s="522"/>
    </row>
    <row r="41">
      <c r="A41" s="528"/>
      <c r="B41" s="528"/>
      <c r="C41" s="512">
        <f>I41/E111</f>
        <v>0.01369348186</v>
      </c>
      <c r="D41" s="567" t="s">
        <v>94</v>
      </c>
      <c r="E41" s="567" t="s">
        <v>95</v>
      </c>
      <c r="F41" s="195">
        <v>7.4</v>
      </c>
      <c r="G41" s="513">
        <v>3500.0</v>
      </c>
      <c r="H41" s="217">
        <f t="shared" si="23"/>
        <v>104755</v>
      </c>
      <c r="I41" s="217">
        <f t="shared" si="24"/>
        <v>132335</v>
      </c>
      <c r="J41" s="216">
        <v>29.93</v>
      </c>
      <c r="K41" s="515">
        <f>IFERROR(__xludf.DUMMYFUNCTION("GOOGLEFINANCE(E41,""changepct"")"),0.03)</f>
        <v>0.03</v>
      </c>
      <c r="L41" s="517">
        <f>IFERROR(__xludf.DUMMYFUNCTION("googlefinance(E41,""price"")"),37.81)</f>
        <v>37.81</v>
      </c>
      <c r="M41" s="216"/>
      <c r="N41" s="517">
        <f t="shared" si="25"/>
        <v>7.88</v>
      </c>
      <c r="O41" s="518">
        <f t="shared" si="26"/>
        <v>0.263280989</v>
      </c>
      <c r="P41" s="514">
        <f t="shared" si="27"/>
        <v>27580</v>
      </c>
      <c r="Q41" s="538">
        <v>0.015</v>
      </c>
      <c r="R41" s="217">
        <v>400.0</v>
      </c>
      <c r="S41" s="519"/>
      <c r="T41" s="520"/>
      <c r="U41" s="521"/>
      <c r="V41" s="522"/>
      <c r="W41" s="519"/>
      <c r="X41" s="520"/>
      <c r="Y41" s="521"/>
      <c r="Z41" s="522"/>
    </row>
    <row r="42">
      <c r="A42" s="528"/>
      <c r="B42" s="528"/>
      <c r="C42" s="512">
        <f>I42/E111</f>
        <v>0.001080288288</v>
      </c>
      <c r="D42" s="344" t="s">
        <v>680</v>
      </c>
      <c r="E42" s="344" t="s">
        <v>681</v>
      </c>
      <c r="F42" s="195">
        <v>8.0</v>
      </c>
      <c r="G42" s="513">
        <v>1500.0</v>
      </c>
      <c r="H42" s="217">
        <f t="shared" si="23"/>
        <v>143550</v>
      </c>
      <c r="I42" s="217">
        <f t="shared" si="24"/>
        <v>10440</v>
      </c>
      <c r="J42" s="216">
        <v>95.7</v>
      </c>
      <c r="K42" s="515">
        <f>IFERROR(__xludf.DUMMYFUNCTION("GOOGLEFINANCE(E42,""changepct"")"),0.0)</f>
        <v>0</v>
      </c>
      <c r="L42" s="517">
        <f>IFERROR(__xludf.DUMMYFUNCTION("googlefinance(E42,""price"")"),6.96)</f>
        <v>6.96</v>
      </c>
      <c r="M42" s="216"/>
      <c r="N42" s="517">
        <f t="shared" si="25"/>
        <v>-88.74</v>
      </c>
      <c r="O42" s="518">
        <f t="shared" si="26"/>
        <v>-0.9272727273</v>
      </c>
      <c r="P42" s="514">
        <f t="shared" si="27"/>
        <v>-133110</v>
      </c>
      <c r="Q42" s="538">
        <v>0.0344</v>
      </c>
      <c r="R42" s="217">
        <v>1136.0</v>
      </c>
      <c r="S42" s="519"/>
      <c r="T42" s="520"/>
      <c r="U42" s="521"/>
      <c r="V42" s="522"/>
      <c r="W42" s="523"/>
      <c r="X42" s="524"/>
      <c r="Y42" s="525"/>
      <c r="Z42" s="526"/>
    </row>
    <row r="43">
      <c r="A43" s="13"/>
      <c r="B43" s="13"/>
      <c r="C43" s="504" t="s">
        <v>89</v>
      </c>
      <c r="D43" s="13"/>
      <c r="E43" s="13"/>
      <c r="F43" s="13"/>
      <c r="G43" s="564"/>
      <c r="H43" s="509">
        <f t="shared" ref="H43:I43" si="28">SUM(H36:H42)</f>
        <v>874645</v>
      </c>
      <c r="I43" s="539">
        <f t="shared" si="28"/>
        <v>955915</v>
      </c>
      <c r="J43" s="506"/>
      <c r="K43" s="506"/>
      <c r="L43" s="506"/>
      <c r="M43" s="507"/>
      <c r="N43" s="507"/>
      <c r="O43" s="540">
        <f>P43/H43</f>
        <v>-0.0112731451</v>
      </c>
      <c r="P43" s="625">
        <v>-9860.0</v>
      </c>
      <c r="Q43" s="13"/>
      <c r="R43" s="509">
        <f>SUM(R36:R42)</f>
        <v>3196</v>
      </c>
      <c r="S43" s="510" t="s">
        <v>89</v>
      </c>
      <c r="T43" s="542"/>
      <c r="U43" s="543"/>
      <c r="V43" s="570">
        <f>SUM(V36:V42)</f>
        <v>0</v>
      </c>
      <c r="W43" s="510" t="s">
        <v>89</v>
      </c>
      <c r="X43" s="542"/>
      <c r="Y43" s="543"/>
      <c r="Z43" s="570">
        <f>SUM(Z36:Z42)</f>
        <v>267700</v>
      </c>
    </row>
    <row r="44">
      <c r="A44" s="173"/>
      <c r="B44" s="504" t="s">
        <v>682</v>
      </c>
      <c r="C44" s="504" t="s">
        <v>2</v>
      </c>
      <c r="D44" s="13" t="s">
        <v>3</v>
      </c>
      <c r="E44" s="13" t="s">
        <v>4</v>
      </c>
      <c r="F44" s="13" t="s">
        <v>5</v>
      </c>
      <c r="G44" s="504" t="s">
        <v>6</v>
      </c>
      <c r="H44" s="504" t="s">
        <v>7</v>
      </c>
      <c r="I44" s="505" t="s">
        <v>8</v>
      </c>
      <c r="J44" s="505" t="s">
        <v>9</v>
      </c>
      <c r="K44" s="506" t="s">
        <v>10</v>
      </c>
      <c r="L44" s="506" t="s">
        <v>11</v>
      </c>
      <c r="M44" s="507" t="s">
        <v>476</v>
      </c>
      <c r="N44" s="507" t="s">
        <v>13</v>
      </c>
      <c r="O44" s="504" t="s">
        <v>14</v>
      </c>
      <c r="P44" s="508" t="s">
        <v>15</v>
      </c>
      <c r="Q44" s="13" t="s">
        <v>16</v>
      </c>
      <c r="R44" s="13" t="s">
        <v>17</v>
      </c>
      <c r="S44" s="510" t="s">
        <v>21</v>
      </c>
      <c r="T44" s="510" t="s">
        <v>22</v>
      </c>
      <c r="U44" s="511" t="s">
        <v>23</v>
      </c>
      <c r="V44" s="511" t="s">
        <v>24</v>
      </c>
      <c r="W44" s="510" t="s">
        <v>25</v>
      </c>
      <c r="X44" s="510" t="s">
        <v>26</v>
      </c>
      <c r="Y44" s="510" t="s">
        <v>27</v>
      </c>
      <c r="Z44" s="510" t="s">
        <v>28</v>
      </c>
    </row>
    <row r="45">
      <c r="A45" s="502" t="s">
        <v>29</v>
      </c>
      <c r="B45" s="527" t="str">
        <f>I55/E111</f>
        <v>#N/A</v>
      </c>
      <c r="C45" s="512">
        <f>I45/E111</f>
        <v>0.009093978562</v>
      </c>
      <c r="D45" s="571" t="s">
        <v>595</v>
      </c>
      <c r="E45" s="104" t="s">
        <v>130</v>
      </c>
      <c r="F45" s="195">
        <v>8.1</v>
      </c>
      <c r="G45" s="513">
        <v>1500.0</v>
      </c>
      <c r="H45" s="217">
        <f t="shared" ref="H45:H54" si="29">G45*J45</f>
        <v>100245</v>
      </c>
      <c r="I45" s="514">
        <f t="shared" ref="I45:I50" si="30">H45+P45</f>
        <v>87885</v>
      </c>
      <c r="J45" s="216">
        <v>66.83</v>
      </c>
      <c r="K45" s="515">
        <f>IFERROR(__xludf.DUMMYFUNCTION("GOOGLEFINANCE(E45,""changepct"")"),-0.71)</f>
        <v>-0.71</v>
      </c>
      <c r="L45" s="517">
        <f>IFERROR(__xludf.DUMMYFUNCTION("googlefinance(E45,""price"")"),58.59)</f>
        <v>58.59</v>
      </c>
      <c r="M45" s="517"/>
      <c r="N45" s="517">
        <f t="shared" ref="N45:N54" si="31">L45-J45</f>
        <v>-8.24</v>
      </c>
      <c r="O45" s="518">
        <f t="shared" ref="O45:O50" si="32">L45/J45-1</f>
        <v>-0.1232979201</v>
      </c>
      <c r="P45" s="495">
        <f t="shared" ref="P45:P54" si="33">H45*O45</f>
        <v>-12360</v>
      </c>
      <c r="Q45" s="538">
        <v>0.12</v>
      </c>
      <c r="R45" s="217">
        <v>2998.0</v>
      </c>
      <c r="S45" s="523"/>
      <c r="T45" s="524"/>
      <c r="U45" s="525"/>
      <c r="V45" s="525"/>
      <c r="W45" s="519"/>
      <c r="X45" s="520"/>
      <c r="Y45" s="521"/>
      <c r="Z45" s="522"/>
    </row>
    <row r="46">
      <c r="A46" s="528"/>
      <c r="B46" s="528"/>
      <c r="C46" s="512">
        <f>I46/E111</f>
        <v>0.01375194573</v>
      </c>
      <c r="D46" s="571" t="s">
        <v>706</v>
      </c>
      <c r="E46" s="104" t="s">
        <v>707</v>
      </c>
      <c r="F46" s="195">
        <v>8.0</v>
      </c>
      <c r="G46" s="513">
        <v>15000.0</v>
      </c>
      <c r="H46" s="217">
        <f t="shared" si="29"/>
        <v>179850</v>
      </c>
      <c r="I46" s="514">
        <f t="shared" si="30"/>
        <v>132900</v>
      </c>
      <c r="J46" s="216">
        <v>11.99</v>
      </c>
      <c r="K46" s="515">
        <f>IFERROR(__xludf.DUMMYFUNCTION("GOOGLEFINANCE(E46,""changepct"")"),-0.67)</f>
        <v>-0.67</v>
      </c>
      <c r="L46" s="517">
        <f>IFERROR(__xludf.DUMMYFUNCTION("googlefinance(E46,""price"")"),8.86)</f>
        <v>8.86</v>
      </c>
      <c r="M46" s="517"/>
      <c r="N46" s="517">
        <f t="shared" si="31"/>
        <v>-3.13</v>
      </c>
      <c r="O46" s="518">
        <f t="shared" si="32"/>
        <v>-0.2610508757</v>
      </c>
      <c r="P46" s="495">
        <f t="shared" si="33"/>
        <v>-46950</v>
      </c>
      <c r="Q46" s="538">
        <v>0.22</v>
      </c>
      <c r="R46" s="217" t="s">
        <v>128</v>
      </c>
      <c r="S46" s="523"/>
      <c r="T46" s="524"/>
      <c r="U46" s="525"/>
      <c r="V46" s="525"/>
      <c r="W46" s="519" t="s">
        <v>707</v>
      </c>
      <c r="X46" s="520">
        <v>44503.0</v>
      </c>
      <c r="Y46" s="521">
        <v>11.99</v>
      </c>
      <c r="Z46" s="522">
        <v>179850.0</v>
      </c>
    </row>
    <row r="47">
      <c r="A47" s="528"/>
      <c r="B47" s="528"/>
      <c r="C47" s="512">
        <f>I47/E111</f>
        <v>0.02365717527</v>
      </c>
      <c r="D47" s="571" t="s">
        <v>596</v>
      </c>
      <c r="E47" s="104" t="s">
        <v>597</v>
      </c>
      <c r="F47" s="195">
        <v>7.9</v>
      </c>
      <c r="G47" s="513">
        <v>2500.0</v>
      </c>
      <c r="H47" s="217">
        <f t="shared" si="29"/>
        <v>146375</v>
      </c>
      <c r="I47" s="514">
        <f t="shared" si="30"/>
        <v>228625</v>
      </c>
      <c r="J47" s="216">
        <v>58.55</v>
      </c>
      <c r="K47" s="515">
        <f>IFERROR(__xludf.DUMMYFUNCTION("GOOGLEFINANCE(E47,""changepct"")"),-1.89)</f>
        <v>-1.89</v>
      </c>
      <c r="L47" s="517">
        <f>IFERROR(__xludf.DUMMYFUNCTION("googlefinance(E47,""price"")"),91.45)</f>
        <v>91.45</v>
      </c>
      <c r="M47" s="517"/>
      <c r="N47" s="517">
        <f t="shared" si="31"/>
        <v>32.9</v>
      </c>
      <c r="O47" s="518">
        <f t="shared" si="32"/>
        <v>0.561912895</v>
      </c>
      <c r="P47" s="495">
        <f t="shared" si="33"/>
        <v>82250</v>
      </c>
      <c r="Q47" s="538">
        <v>0.068</v>
      </c>
      <c r="R47" s="217">
        <v>2600.0</v>
      </c>
      <c r="S47" s="523"/>
      <c r="T47" s="524"/>
      <c r="U47" s="525"/>
      <c r="V47" s="525"/>
      <c r="W47" s="519" t="s">
        <v>597</v>
      </c>
      <c r="X47" s="520">
        <v>44503.0</v>
      </c>
      <c r="Y47" s="521">
        <v>58.55</v>
      </c>
      <c r="Z47" s="522">
        <v>146375.0</v>
      </c>
    </row>
    <row r="48">
      <c r="A48" s="528"/>
      <c r="B48" s="528"/>
      <c r="C48" s="512">
        <f>I48/E111</f>
        <v>0.006736280416</v>
      </c>
      <c r="D48" s="571" t="s">
        <v>598</v>
      </c>
      <c r="E48" s="104" t="s">
        <v>599</v>
      </c>
      <c r="F48" s="195">
        <v>7.1</v>
      </c>
      <c r="G48" s="513">
        <v>7000.0</v>
      </c>
      <c r="H48" s="217">
        <f t="shared" si="29"/>
        <v>158060</v>
      </c>
      <c r="I48" s="514">
        <f t="shared" si="30"/>
        <v>65100</v>
      </c>
      <c r="J48" s="216">
        <v>22.58</v>
      </c>
      <c r="K48" s="515">
        <f>IFERROR(__xludf.DUMMYFUNCTION("GOOGLEFINANCE(E48,""changepct"")"),0.65)</f>
        <v>0.65</v>
      </c>
      <c r="L48" s="517">
        <f>IFERROR(__xludf.DUMMYFUNCTION("googlefinance(E48,""price"")"),9.3)</f>
        <v>9.3</v>
      </c>
      <c r="M48" s="517"/>
      <c r="N48" s="517">
        <f t="shared" si="31"/>
        <v>-13.28</v>
      </c>
      <c r="O48" s="518">
        <f t="shared" si="32"/>
        <v>-0.5881310895</v>
      </c>
      <c r="P48" s="495">
        <f t="shared" si="33"/>
        <v>-92960</v>
      </c>
      <c r="Q48" s="538"/>
      <c r="R48" s="217"/>
      <c r="S48" s="523"/>
      <c r="T48" s="524"/>
      <c r="U48" s="525"/>
      <c r="V48" s="525"/>
      <c r="W48" s="519" t="s">
        <v>599</v>
      </c>
      <c r="X48" s="520">
        <v>44503.0</v>
      </c>
      <c r="Y48" s="521">
        <v>22.58</v>
      </c>
      <c r="Z48" s="522">
        <v>158060.0</v>
      </c>
    </row>
    <row r="49">
      <c r="A49" s="528"/>
      <c r="B49" s="528"/>
      <c r="C49" s="512" t="str">
        <f>I49/E111</f>
        <v>#N/A</v>
      </c>
      <c r="D49" s="600" t="s">
        <v>683</v>
      </c>
      <c r="E49" s="344" t="s">
        <v>684</v>
      </c>
      <c r="F49" s="195">
        <v>8.1</v>
      </c>
      <c r="G49" s="513">
        <v>5000.0</v>
      </c>
      <c r="H49" s="217">
        <f t="shared" si="29"/>
        <v>152200</v>
      </c>
      <c r="I49" s="514" t="str">
        <f t="shared" si="30"/>
        <v>#N/A</v>
      </c>
      <c r="J49" s="216">
        <v>30.44</v>
      </c>
      <c r="K49" s="515" t="str">
        <f>IFERROR(__xludf.DUMMYFUNCTION("GOOGLEFINANCE(E49,""changepct"")"),"#N/A")</f>
        <v>#N/A</v>
      </c>
      <c r="L49" s="517" t="str">
        <f>IFERROR(__xludf.DUMMYFUNCTION("googlefinance(E49,""price"")"),"#N/A")</f>
        <v>#N/A</v>
      </c>
      <c r="M49" s="517"/>
      <c r="N49" s="528" t="str">
        <f t="shared" si="31"/>
        <v>#N/A</v>
      </c>
      <c r="O49" s="518" t="str">
        <f t="shared" si="32"/>
        <v>#N/A</v>
      </c>
      <c r="P49" s="637" t="str">
        <f t="shared" si="33"/>
        <v>#N/A</v>
      </c>
      <c r="Q49" s="538">
        <v>0.13</v>
      </c>
      <c r="R49" s="217">
        <v>2850.0</v>
      </c>
      <c r="S49" s="523"/>
      <c r="T49" s="524"/>
      <c r="U49" s="525"/>
      <c r="V49" s="525"/>
      <c r="W49" s="523"/>
      <c r="X49" s="524"/>
      <c r="Y49" s="525"/>
      <c r="Z49" s="526"/>
    </row>
    <row r="50">
      <c r="A50" s="528"/>
      <c r="B50" s="528"/>
      <c r="C50" s="512">
        <f>I50/E111</f>
        <v>0.009434414239</v>
      </c>
      <c r="D50" s="571" t="s">
        <v>145</v>
      </c>
      <c r="E50" s="104" t="s">
        <v>146</v>
      </c>
      <c r="F50" s="195">
        <v>8.2</v>
      </c>
      <c r="G50" s="513">
        <v>2500.0</v>
      </c>
      <c r="H50" s="217">
        <f t="shared" si="29"/>
        <v>136000</v>
      </c>
      <c r="I50" s="514">
        <f t="shared" si="30"/>
        <v>91175</v>
      </c>
      <c r="J50" s="216">
        <v>54.4</v>
      </c>
      <c r="K50" s="515">
        <f>IFERROR(__xludf.DUMMYFUNCTION("GOOGLEFINANCE(E50,""changepct"")"),-2.33)</f>
        <v>-2.33</v>
      </c>
      <c r="L50" s="517">
        <f>IFERROR(__xludf.DUMMYFUNCTION("googlefinance(E50,""price"")"),36.47)</f>
        <v>36.47</v>
      </c>
      <c r="M50" s="216"/>
      <c r="N50" s="517">
        <f t="shared" si="31"/>
        <v>-17.93</v>
      </c>
      <c r="O50" s="518">
        <f t="shared" si="32"/>
        <v>-0.3295955882</v>
      </c>
      <c r="P50" s="495">
        <f t="shared" si="33"/>
        <v>-44825</v>
      </c>
      <c r="Q50" s="538">
        <v>0.009</v>
      </c>
      <c r="R50" s="217">
        <v>300.0</v>
      </c>
      <c r="S50" s="519"/>
      <c r="T50" s="520"/>
      <c r="U50" s="521"/>
      <c r="V50" s="522"/>
      <c r="W50" s="519"/>
      <c r="X50" s="520"/>
      <c r="Y50" s="521"/>
      <c r="Z50" s="522"/>
    </row>
    <row r="51">
      <c r="A51" s="528"/>
      <c r="B51" s="528"/>
      <c r="C51" s="512">
        <f>I51/E111</f>
        <v>0</v>
      </c>
      <c r="D51" s="600" t="s">
        <v>661</v>
      </c>
      <c r="E51" s="344" t="s">
        <v>144</v>
      </c>
      <c r="F51" s="195">
        <v>7.3</v>
      </c>
      <c r="G51" s="513">
        <v>5000.0</v>
      </c>
      <c r="H51" s="217">
        <f t="shared" si="29"/>
        <v>110000</v>
      </c>
      <c r="I51" s="217">
        <v>0.0</v>
      </c>
      <c r="J51" s="216">
        <v>22.0</v>
      </c>
      <c r="K51" s="515">
        <f>IFERROR(__xludf.DUMMYFUNCTION("GOOGLEFINANCE(E51,""changepct"")"),-2.91)</f>
        <v>-2.91</v>
      </c>
      <c r="L51" s="517">
        <f>IFERROR(__xludf.DUMMYFUNCTION("googlefinance(E51,""price"")"),3.0)</f>
        <v>3</v>
      </c>
      <c r="M51" s="216">
        <v>29.12</v>
      </c>
      <c r="N51" s="517">
        <f t="shared" si="31"/>
        <v>-19</v>
      </c>
      <c r="O51" s="518">
        <f>M51/J51-1</f>
        <v>0.3236363636</v>
      </c>
      <c r="P51" s="495">
        <f t="shared" si="33"/>
        <v>35600</v>
      </c>
      <c r="Q51" s="538"/>
      <c r="R51" s="514"/>
      <c r="S51" s="519" t="s">
        <v>144</v>
      </c>
      <c r="T51" s="520">
        <v>44503.0</v>
      </c>
      <c r="U51" s="521">
        <v>29.12</v>
      </c>
      <c r="V51" s="522">
        <v>145600.0</v>
      </c>
      <c r="W51" s="519"/>
      <c r="X51" s="520"/>
      <c r="Y51" s="521"/>
      <c r="Z51" s="522"/>
    </row>
    <row r="52">
      <c r="A52" s="528"/>
      <c r="B52" s="528"/>
      <c r="C52" s="512">
        <f>I52/E111</f>
        <v>0.009933685407</v>
      </c>
      <c r="D52" s="104" t="s">
        <v>454</v>
      </c>
      <c r="E52" s="104" t="s">
        <v>132</v>
      </c>
      <c r="F52" s="195">
        <v>8.1</v>
      </c>
      <c r="G52" s="513">
        <v>4000.0</v>
      </c>
      <c r="H52" s="217">
        <f t="shared" si="29"/>
        <v>142840</v>
      </c>
      <c r="I52" s="514">
        <f t="shared" ref="I52:I54" si="34">H52+P52</f>
        <v>96000</v>
      </c>
      <c r="J52" s="216">
        <v>35.71</v>
      </c>
      <c r="K52" s="515">
        <f>IFERROR(__xludf.DUMMYFUNCTION("GOOGLEFINANCE(E52,""changepct"")"),0.54)</f>
        <v>0.54</v>
      </c>
      <c r="L52" s="517">
        <f>IFERROR(__xludf.DUMMYFUNCTION("googlefinance(E52,""price"")"),24.0)</f>
        <v>24</v>
      </c>
      <c r="M52" s="517"/>
      <c r="N52" s="517">
        <f t="shared" si="31"/>
        <v>-11.71</v>
      </c>
      <c r="O52" s="518">
        <f t="shared" ref="O52:O54" si="35">L52/J52-1</f>
        <v>-0.3279193503</v>
      </c>
      <c r="P52" s="495">
        <f t="shared" si="33"/>
        <v>-46840</v>
      </c>
      <c r="Q52" s="538">
        <v>0.008</v>
      </c>
      <c r="R52" s="217">
        <v>316.0</v>
      </c>
      <c r="S52" s="523"/>
      <c r="T52" s="524"/>
      <c r="U52" s="525"/>
      <c r="V52" s="525"/>
      <c r="W52" s="519"/>
      <c r="X52" s="520"/>
      <c r="Y52" s="521"/>
      <c r="Z52" s="522"/>
    </row>
    <row r="53">
      <c r="A53" s="528"/>
      <c r="B53" s="528"/>
      <c r="C53" s="512">
        <f>I53/E111</f>
        <v>0.01002138122</v>
      </c>
      <c r="D53" s="104" t="s">
        <v>452</v>
      </c>
      <c r="E53" s="104" t="s">
        <v>453</v>
      </c>
      <c r="F53" s="569">
        <v>8.2</v>
      </c>
      <c r="G53" s="513">
        <v>750.0</v>
      </c>
      <c r="H53" s="217">
        <f t="shared" si="29"/>
        <v>131880</v>
      </c>
      <c r="I53" s="514">
        <f t="shared" si="34"/>
        <v>96847.5</v>
      </c>
      <c r="J53" s="216">
        <v>175.84</v>
      </c>
      <c r="K53" s="515">
        <f>IFERROR(__xludf.DUMMYFUNCTION("GOOGLEFINANCE(E53,""changepct"")"),-0.81)</f>
        <v>-0.81</v>
      </c>
      <c r="L53" s="517">
        <f>IFERROR(__xludf.DUMMYFUNCTION("googlefinance(E53,""price"")"),129.13)</f>
        <v>129.13</v>
      </c>
      <c r="M53" s="216"/>
      <c r="N53" s="517">
        <f t="shared" si="31"/>
        <v>-46.71</v>
      </c>
      <c r="O53" s="518">
        <f t="shared" si="35"/>
        <v>-0.2656392175</v>
      </c>
      <c r="P53" s="495">
        <f t="shared" si="33"/>
        <v>-35032.5</v>
      </c>
      <c r="Q53" s="538">
        <v>0.033</v>
      </c>
      <c r="R53" s="217">
        <v>1100.0</v>
      </c>
      <c r="S53" s="519"/>
      <c r="T53" s="520"/>
      <c r="U53" s="521"/>
      <c r="V53" s="522"/>
      <c r="W53" s="519"/>
      <c r="X53" s="520"/>
      <c r="Y53" s="521"/>
      <c r="Z53" s="522"/>
    </row>
    <row r="54">
      <c r="A54" s="528"/>
      <c r="B54" s="528"/>
      <c r="C54" s="512">
        <f>I54/E111</f>
        <v>0.006447582684</v>
      </c>
      <c r="D54" s="344" t="s">
        <v>662</v>
      </c>
      <c r="E54" s="344" t="s">
        <v>663</v>
      </c>
      <c r="F54" s="569">
        <v>8.0</v>
      </c>
      <c r="G54" s="513">
        <v>1500.0</v>
      </c>
      <c r="H54" s="217">
        <f t="shared" si="29"/>
        <v>121980</v>
      </c>
      <c r="I54" s="514">
        <f t="shared" si="34"/>
        <v>62310</v>
      </c>
      <c r="J54" s="216">
        <v>81.32</v>
      </c>
      <c r="K54" s="515">
        <f>IFERROR(__xludf.DUMMYFUNCTION("GOOGLEFINANCE(E54,""changepct"")"),-0.72)</f>
        <v>-0.72</v>
      </c>
      <c r="L54" s="517">
        <f>IFERROR(__xludf.DUMMYFUNCTION("googlefinance(E54,""price"")"),41.54)</f>
        <v>41.54</v>
      </c>
      <c r="M54" s="216"/>
      <c r="N54" s="517">
        <f t="shared" si="31"/>
        <v>-39.78</v>
      </c>
      <c r="O54" s="518">
        <f t="shared" si="35"/>
        <v>-0.4891785539</v>
      </c>
      <c r="P54" s="495">
        <f t="shared" si="33"/>
        <v>-59670</v>
      </c>
      <c r="Q54" s="538"/>
      <c r="R54" s="514"/>
      <c r="S54" s="519"/>
      <c r="T54" s="520"/>
      <c r="U54" s="521"/>
      <c r="V54" s="522"/>
      <c r="W54" s="519"/>
      <c r="X54" s="520"/>
      <c r="Y54" s="521"/>
      <c r="Z54" s="522"/>
    </row>
    <row r="55">
      <c r="A55" s="13"/>
      <c r="B55" s="13"/>
      <c r="C55" s="13"/>
      <c r="D55" s="13"/>
      <c r="E55" s="13"/>
      <c r="F55" s="13"/>
      <c r="G55" s="564"/>
      <c r="H55" s="509">
        <f t="shared" ref="H55:I55" si="36">SUM(H45:H54)</f>
        <v>1379430</v>
      </c>
      <c r="I55" s="539" t="str">
        <f t="shared" si="36"/>
        <v>#N/A</v>
      </c>
      <c r="J55" s="506"/>
      <c r="K55" s="506"/>
      <c r="L55" s="506"/>
      <c r="M55" s="507"/>
      <c r="N55" s="507"/>
      <c r="O55" s="540" t="str">
        <f>P55/H55</f>
        <v>#N/A</v>
      </c>
      <c r="P55" s="507" t="str">
        <f>SUM(P45:P54)</f>
        <v>#N/A</v>
      </c>
      <c r="Q55" s="13"/>
      <c r="R55" s="509">
        <f>SUM(R45:R54)</f>
        <v>10164</v>
      </c>
      <c r="S55" s="510" t="s">
        <v>89</v>
      </c>
      <c r="T55" s="542"/>
      <c r="U55" s="543"/>
      <c r="V55" s="570">
        <f>SUM(V45:V54)</f>
        <v>145600</v>
      </c>
      <c r="W55" s="510" t="s">
        <v>89</v>
      </c>
      <c r="X55" s="542"/>
      <c r="Y55" s="543"/>
      <c r="Z55" s="570">
        <f>SUM(Z45:Z54)</f>
        <v>484285</v>
      </c>
    </row>
    <row r="56">
      <c r="A56" s="173"/>
      <c r="B56" s="504" t="s">
        <v>614</v>
      </c>
      <c r="C56" s="504" t="s">
        <v>2</v>
      </c>
      <c r="D56" s="13" t="s">
        <v>3</v>
      </c>
      <c r="E56" s="13" t="s">
        <v>4</v>
      </c>
      <c r="F56" s="13" t="s">
        <v>5</v>
      </c>
      <c r="G56" s="504" t="s">
        <v>6</v>
      </c>
      <c r="H56" s="504" t="s">
        <v>7</v>
      </c>
      <c r="I56" s="505" t="s">
        <v>8</v>
      </c>
      <c r="J56" s="505" t="s">
        <v>9</v>
      </c>
      <c r="K56" s="506" t="s">
        <v>10</v>
      </c>
      <c r="L56" s="506" t="s">
        <v>11</v>
      </c>
      <c r="M56" s="507" t="s">
        <v>476</v>
      </c>
      <c r="N56" s="507" t="s">
        <v>13</v>
      </c>
      <c r="O56" s="504" t="s">
        <v>14</v>
      </c>
      <c r="P56" s="508" t="s">
        <v>15</v>
      </c>
      <c r="Q56" s="13" t="s">
        <v>16</v>
      </c>
      <c r="R56" s="13" t="s">
        <v>17</v>
      </c>
      <c r="S56" s="510" t="s">
        <v>21</v>
      </c>
      <c r="T56" s="510" t="s">
        <v>22</v>
      </c>
      <c r="U56" s="511" t="s">
        <v>23</v>
      </c>
      <c r="V56" s="511" t="s">
        <v>24</v>
      </c>
      <c r="W56" s="510" t="s">
        <v>25</v>
      </c>
      <c r="X56" s="510" t="s">
        <v>26</v>
      </c>
      <c r="Y56" s="510" t="s">
        <v>27</v>
      </c>
      <c r="Z56" s="510" t="s">
        <v>28</v>
      </c>
    </row>
    <row r="57">
      <c r="A57" s="502" t="s">
        <v>29</v>
      </c>
      <c r="B57" s="527">
        <f>I62/E111</f>
        <v>0.08575936868</v>
      </c>
      <c r="C57" s="512">
        <f>I57/E111</f>
        <v>0.0237394386</v>
      </c>
      <c r="D57" s="344" t="s">
        <v>539</v>
      </c>
      <c r="E57" s="344" t="s">
        <v>540</v>
      </c>
      <c r="F57" s="195">
        <v>8.1</v>
      </c>
      <c r="G57" s="513">
        <v>400.0</v>
      </c>
      <c r="H57" s="217">
        <f t="shared" ref="H57:H61" si="37">G57*J57</f>
        <v>151800</v>
      </c>
      <c r="I57" s="217">
        <f t="shared" ref="I57:I61" si="38">H57+P57</f>
        <v>229420</v>
      </c>
      <c r="J57" s="216">
        <v>379.5</v>
      </c>
      <c r="K57" s="568">
        <f>IFERROR(__xludf.DUMMYFUNCTION("GOOGLEFINANCE(E57,""changepct"")"),-0.46)</f>
        <v>-0.46</v>
      </c>
      <c r="L57" s="516">
        <f>IFERROR(__xludf.DUMMYFUNCTION("googlefinance(E57,""price"")"),573.55)</f>
        <v>573.55</v>
      </c>
      <c r="M57" s="216"/>
      <c r="N57" s="517">
        <f t="shared" ref="N57:N61" si="39">L57-J57</f>
        <v>194.05</v>
      </c>
      <c r="O57" s="518">
        <f t="shared" ref="O57:O61" si="40">L57/J57-1</f>
        <v>0.5113306983</v>
      </c>
      <c r="P57" s="495">
        <f t="shared" ref="P57:P61" si="41">H57*O57</f>
        <v>77620</v>
      </c>
      <c r="Q57" s="538">
        <v>0.02</v>
      </c>
      <c r="R57" s="217">
        <v>780.0</v>
      </c>
      <c r="S57" s="519"/>
      <c r="T57" s="520"/>
      <c r="U57" s="521"/>
      <c r="V57" s="522"/>
      <c r="W57" s="523"/>
      <c r="X57" s="524"/>
      <c r="Y57" s="525"/>
      <c r="Z57" s="526"/>
    </row>
    <row r="58">
      <c r="A58" s="528"/>
      <c r="B58" s="528"/>
      <c r="C58" s="512">
        <f>I58/E111</f>
        <v>0.02476384991</v>
      </c>
      <c r="D58" s="344" t="s">
        <v>615</v>
      </c>
      <c r="E58" s="344" t="s">
        <v>616</v>
      </c>
      <c r="F58" s="195">
        <v>8.0</v>
      </c>
      <c r="G58" s="513">
        <v>1000.0</v>
      </c>
      <c r="H58" s="217">
        <f t="shared" si="37"/>
        <v>164440</v>
      </c>
      <c r="I58" s="217">
        <f t="shared" si="38"/>
        <v>239320</v>
      </c>
      <c r="J58" s="216">
        <v>164.44</v>
      </c>
      <c r="K58" s="568">
        <f>IFERROR(__xludf.DUMMYFUNCTION("GOOGLEFINANCE(E58,""changepct"")"),-0.77)</f>
        <v>-0.77</v>
      </c>
      <c r="L58" s="516">
        <f>IFERROR(__xludf.DUMMYFUNCTION("googlefinance(E58,""price"")"),239.32)</f>
        <v>239.32</v>
      </c>
      <c r="M58" s="216"/>
      <c r="N58" s="517">
        <f t="shared" si="39"/>
        <v>74.88</v>
      </c>
      <c r="O58" s="518">
        <f t="shared" si="40"/>
        <v>0.4553636585</v>
      </c>
      <c r="P58" s="495">
        <f t="shared" si="41"/>
        <v>74880</v>
      </c>
      <c r="Q58" s="538">
        <v>0.024</v>
      </c>
      <c r="R58" s="217">
        <v>960.0</v>
      </c>
      <c r="S58" s="519"/>
      <c r="T58" s="520"/>
      <c r="U58" s="521"/>
      <c r="V58" s="522"/>
      <c r="W58" s="519"/>
      <c r="X58" s="520"/>
      <c r="Y58" s="521"/>
      <c r="Z58" s="522"/>
    </row>
    <row r="59">
      <c r="A59" s="528"/>
      <c r="B59" s="528"/>
      <c r="C59" s="512">
        <f>I59/E111</f>
        <v>0.008839945253</v>
      </c>
      <c r="D59" s="104" t="s">
        <v>381</v>
      </c>
      <c r="E59" s="104" t="s">
        <v>382</v>
      </c>
      <c r="F59" s="195">
        <v>8.3</v>
      </c>
      <c r="G59" s="513">
        <v>1000.0</v>
      </c>
      <c r="H59" s="217">
        <f t="shared" si="37"/>
        <v>188870</v>
      </c>
      <c r="I59" s="217">
        <f t="shared" si="38"/>
        <v>85430</v>
      </c>
      <c r="J59" s="216">
        <v>188.87</v>
      </c>
      <c r="K59" s="568">
        <f>IFERROR(__xludf.DUMMYFUNCTION("GOOGLEFINANCE(E59,""changepct"")"),-1.65)</f>
        <v>-1.65</v>
      </c>
      <c r="L59" s="516">
        <f>IFERROR(__xludf.DUMMYFUNCTION("googlefinance(E59,""price"")"),85.43)</f>
        <v>85.43</v>
      </c>
      <c r="M59" s="216"/>
      <c r="N59" s="517">
        <f t="shared" si="39"/>
        <v>-103.44</v>
      </c>
      <c r="O59" s="518">
        <f t="shared" si="40"/>
        <v>-0.5476782972</v>
      </c>
      <c r="P59" s="495">
        <f t="shared" si="41"/>
        <v>-103440</v>
      </c>
      <c r="Q59" s="538"/>
      <c r="R59" s="217"/>
      <c r="S59" s="519"/>
      <c r="T59" s="520"/>
      <c r="U59" s="521"/>
      <c r="V59" s="522"/>
      <c r="W59" s="519" t="s">
        <v>382</v>
      </c>
      <c r="X59" s="520">
        <v>44537.0</v>
      </c>
      <c r="Y59" s="521">
        <v>188.87</v>
      </c>
      <c r="Z59" s="522">
        <v>188870.0</v>
      </c>
    </row>
    <row r="60">
      <c r="A60" s="528"/>
      <c r="B60" s="528"/>
      <c r="C60" s="512">
        <f>I60/E111</f>
        <v>0.008839945253</v>
      </c>
      <c r="D60" s="104" t="s">
        <v>381</v>
      </c>
      <c r="E60" s="104" t="s">
        <v>382</v>
      </c>
      <c r="F60" s="195">
        <v>8.3</v>
      </c>
      <c r="G60" s="513">
        <v>1000.0</v>
      </c>
      <c r="H60" s="217">
        <f t="shared" si="37"/>
        <v>227200</v>
      </c>
      <c r="I60" s="217">
        <f t="shared" si="38"/>
        <v>85430</v>
      </c>
      <c r="J60" s="216">
        <v>227.2</v>
      </c>
      <c r="K60" s="568">
        <f>IFERROR(__xludf.DUMMYFUNCTION("GOOGLEFINANCE(E60,""changepct"")"),-1.65)</f>
        <v>-1.65</v>
      </c>
      <c r="L60" s="516">
        <f>IFERROR(__xludf.DUMMYFUNCTION("googlefinance(E60,""price"")"),85.43)</f>
        <v>85.43</v>
      </c>
      <c r="M60" s="216"/>
      <c r="N60" s="517">
        <f t="shared" si="39"/>
        <v>-141.77</v>
      </c>
      <c r="O60" s="518">
        <f t="shared" si="40"/>
        <v>-0.6239876761</v>
      </c>
      <c r="P60" s="495">
        <f t="shared" si="41"/>
        <v>-141770</v>
      </c>
      <c r="Q60" s="538"/>
      <c r="R60" s="217"/>
      <c r="S60" s="519"/>
      <c r="T60" s="520"/>
      <c r="U60" s="521"/>
      <c r="V60" s="522"/>
      <c r="W60" s="519" t="s">
        <v>382</v>
      </c>
      <c r="X60" s="520">
        <v>44503.0</v>
      </c>
      <c r="Y60" s="521">
        <v>227.2</v>
      </c>
      <c r="Z60" s="522">
        <v>227200.0</v>
      </c>
    </row>
    <row r="61">
      <c r="A61" s="528"/>
      <c r="B61" s="528"/>
      <c r="C61" s="512">
        <f>I61/E111</f>
        <v>0.01957618966</v>
      </c>
      <c r="D61" s="344" t="s">
        <v>664</v>
      </c>
      <c r="E61" s="344" t="s">
        <v>665</v>
      </c>
      <c r="F61" s="195">
        <v>8.3</v>
      </c>
      <c r="G61" s="513">
        <v>600.0</v>
      </c>
      <c r="H61" s="217">
        <f t="shared" si="37"/>
        <v>134568</v>
      </c>
      <c r="I61" s="217">
        <f t="shared" si="38"/>
        <v>189186</v>
      </c>
      <c r="J61" s="216">
        <v>224.28</v>
      </c>
      <c r="K61" s="515">
        <f>IFERROR(__xludf.DUMMYFUNCTION("GOOGLEFINANCE(E61,""changepct"")"),-1.05)</f>
        <v>-1.05</v>
      </c>
      <c r="L61" s="517">
        <f>IFERROR(__xludf.DUMMYFUNCTION("googlefinance(E61,""price"")"),315.31)</f>
        <v>315.31</v>
      </c>
      <c r="M61" s="216"/>
      <c r="N61" s="517">
        <f t="shared" si="39"/>
        <v>91.03</v>
      </c>
      <c r="O61" s="518">
        <f t="shared" si="40"/>
        <v>0.4058765828</v>
      </c>
      <c r="P61" s="495">
        <f t="shared" si="41"/>
        <v>54618</v>
      </c>
      <c r="Q61" s="538"/>
      <c r="R61" s="217"/>
      <c r="S61" s="519"/>
      <c r="T61" s="520"/>
      <c r="U61" s="521"/>
      <c r="V61" s="522"/>
      <c r="W61" s="523"/>
      <c r="X61" s="524"/>
      <c r="Y61" s="525"/>
      <c r="Z61" s="526"/>
    </row>
    <row r="62">
      <c r="A62" s="13"/>
      <c r="B62" s="13"/>
      <c r="C62" s="13"/>
      <c r="D62" s="13"/>
      <c r="E62" s="13"/>
      <c r="F62" s="13"/>
      <c r="G62" s="509"/>
      <c r="H62" s="509">
        <f t="shared" ref="H62:I62" si="42">SUM(H57:H61)</f>
        <v>866878</v>
      </c>
      <c r="I62" s="539">
        <f t="shared" si="42"/>
        <v>828786</v>
      </c>
      <c r="J62" s="506"/>
      <c r="K62" s="506"/>
      <c r="L62" s="506"/>
      <c r="M62" s="507"/>
      <c r="N62" s="507"/>
      <c r="O62" s="540">
        <f>P62/H62</f>
        <v>-0.05574256124</v>
      </c>
      <c r="P62" s="625">
        <v>-48322.0</v>
      </c>
      <c r="Q62" s="13"/>
      <c r="R62" s="509">
        <f>SUM(R57:R61)</f>
        <v>1740</v>
      </c>
      <c r="S62" s="510" t="s">
        <v>89</v>
      </c>
      <c r="T62" s="542"/>
      <c r="U62" s="543"/>
      <c r="V62" s="570">
        <f>SUM(V57:V61)</f>
        <v>0</v>
      </c>
      <c r="W62" s="510" t="s">
        <v>89</v>
      </c>
      <c r="X62" s="542"/>
      <c r="Y62" s="543"/>
      <c r="Z62" s="570">
        <f>SUM(Z57:Z61)</f>
        <v>416070</v>
      </c>
    </row>
    <row r="63">
      <c r="A63" s="173"/>
      <c r="B63" s="504" t="s">
        <v>409</v>
      </c>
      <c r="C63" s="504" t="s">
        <v>2</v>
      </c>
      <c r="D63" s="13" t="s">
        <v>150</v>
      </c>
      <c r="E63" s="13" t="s">
        <v>4</v>
      </c>
      <c r="F63" s="13" t="s">
        <v>5</v>
      </c>
      <c r="G63" s="504" t="s">
        <v>6</v>
      </c>
      <c r="H63" s="504" t="s">
        <v>7</v>
      </c>
      <c r="I63" s="505" t="s">
        <v>8</v>
      </c>
      <c r="J63" s="505" t="s">
        <v>9</v>
      </c>
      <c r="K63" s="506" t="s">
        <v>10</v>
      </c>
      <c r="L63" s="506" t="s">
        <v>11</v>
      </c>
      <c r="M63" s="507" t="s">
        <v>476</v>
      </c>
      <c r="N63" s="507" t="s">
        <v>13</v>
      </c>
      <c r="O63" s="504" t="s">
        <v>14</v>
      </c>
      <c r="P63" s="508" t="s">
        <v>15</v>
      </c>
      <c r="Q63" s="13" t="s">
        <v>16</v>
      </c>
      <c r="R63" s="13" t="s">
        <v>17</v>
      </c>
      <c r="S63" s="510" t="s">
        <v>21</v>
      </c>
      <c r="T63" s="510" t="s">
        <v>22</v>
      </c>
      <c r="U63" s="511" t="s">
        <v>23</v>
      </c>
      <c r="V63" s="511" t="s">
        <v>24</v>
      </c>
      <c r="W63" s="510" t="s">
        <v>25</v>
      </c>
      <c r="X63" s="510" t="s">
        <v>26</v>
      </c>
      <c r="Y63" s="510" t="s">
        <v>27</v>
      </c>
      <c r="Z63" s="510" t="s">
        <v>28</v>
      </c>
    </row>
    <row r="64">
      <c r="A64" s="502" t="s">
        <v>29</v>
      </c>
      <c r="B64" s="527" t="str">
        <f>I76/E111</f>
        <v>#N/A</v>
      </c>
      <c r="C64" s="512">
        <f>I64/E111</f>
        <v>0.02837308894</v>
      </c>
      <c r="D64" s="344" t="s">
        <v>151</v>
      </c>
      <c r="E64" s="344" t="s">
        <v>152</v>
      </c>
      <c r="F64" s="195">
        <v>7.5</v>
      </c>
      <c r="G64" s="513">
        <v>150.0</v>
      </c>
      <c r="H64" s="217">
        <f t="shared" ref="H64:H75" si="43">G64*J64</f>
        <v>262995</v>
      </c>
      <c r="I64" s="514">
        <f t="shared" ref="I64:I75" si="44">H64+P64</f>
        <v>274200</v>
      </c>
      <c r="J64" s="216">
        <v>1753.3</v>
      </c>
      <c r="K64" s="594"/>
      <c r="L64" s="597">
        <v>1828.0</v>
      </c>
      <c r="M64" s="517"/>
      <c r="N64" s="517">
        <f t="shared" ref="N64:N75" si="45">L64-J64</f>
        <v>74.7</v>
      </c>
      <c r="O64" s="518">
        <f t="shared" ref="O64:O75" si="46">L64/J64-1</f>
        <v>0.04260537273</v>
      </c>
      <c r="P64" s="495">
        <f t="shared" ref="P64:P75" si="47">H64*O64</f>
        <v>11205</v>
      </c>
      <c r="Q64" s="512"/>
      <c r="R64" s="514"/>
      <c r="S64" s="524"/>
      <c r="T64" s="524"/>
      <c r="U64" s="525"/>
      <c r="V64" s="526"/>
      <c r="W64" s="523"/>
      <c r="X64" s="524"/>
      <c r="Y64" s="525"/>
      <c r="Z64" s="526"/>
    </row>
    <row r="65">
      <c r="A65" s="344" t="s">
        <v>153</v>
      </c>
      <c r="B65" s="596">
        <f>I64+I65</f>
        <v>508200</v>
      </c>
      <c r="C65" s="512">
        <f>I65/E111</f>
        <v>0.02421335818</v>
      </c>
      <c r="D65" s="344" t="s">
        <v>154</v>
      </c>
      <c r="E65" s="344" t="s">
        <v>155</v>
      </c>
      <c r="F65" s="195">
        <v>7.3</v>
      </c>
      <c r="G65" s="513">
        <v>10000.0</v>
      </c>
      <c r="H65" s="217">
        <f t="shared" si="43"/>
        <v>220400</v>
      </c>
      <c r="I65" s="514">
        <f t="shared" si="44"/>
        <v>234000</v>
      </c>
      <c r="J65" s="216">
        <v>22.04</v>
      </c>
      <c r="K65" s="594"/>
      <c r="L65" s="597">
        <v>23.4</v>
      </c>
      <c r="M65" s="517"/>
      <c r="N65" s="517">
        <f t="shared" si="45"/>
        <v>1.36</v>
      </c>
      <c r="O65" s="518">
        <f t="shared" si="46"/>
        <v>0.06170598911</v>
      </c>
      <c r="P65" s="514">
        <f t="shared" si="47"/>
        <v>13600</v>
      </c>
      <c r="Q65" s="512"/>
      <c r="R65" s="514"/>
      <c r="S65" s="524"/>
      <c r="T65" s="524"/>
      <c r="U65" s="525"/>
      <c r="V65" s="526"/>
      <c r="W65" s="523"/>
      <c r="X65" s="524"/>
      <c r="Y65" s="525"/>
      <c r="Z65" s="526"/>
    </row>
    <row r="66">
      <c r="A66" s="344" t="s">
        <v>156</v>
      </c>
      <c r="B66" s="598">
        <f>B65/E111</f>
        <v>0.05258644712</v>
      </c>
      <c r="C66" s="512">
        <f>I66/E111</f>
        <v>0.01223033278</v>
      </c>
      <c r="D66" s="344" t="s">
        <v>570</v>
      </c>
      <c r="E66" s="344" t="s">
        <v>158</v>
      </c>
      <c r="F66" s="195">
        <v>7.7</v>
      </c>
      <c r="G66" s="513">
        <v>3500.0</v>
      </c>
      <c r="H66" s="217">
        <f t="shared" si="43"/>
        <v>103145</v>
      </c>
      <c r="I66" s="514">
        <f t="shared" si="44"/>
        <v>118195</v>
      </c>
      <c r="J66" s="216">
        <v>29.47</v>
      </c>
      <c r="K66" s="568">
        <f>IFERROR(__xludf.DUMMYFUNCTION("GOOGLEFINANCE(E66,""changepct"")"),-1.43)</f>
        <v>-1.43</v>
      </c>
      <c r="L66" s="516">
        <f>IFERROR(__xludf.DUMMYFUNCTION("googlefinance(E66,""price"")"),33.77)</f>
        <v>33.77</v>
      </c>
      <c r="M66" s="517"/>
      <c r="N66" s="517">
        <f t="shared" si="45"/>
        <v>4.3</v>
      </c>
      <c r="O66" s="518">
        <f t="shared" si="46"/>
        <v>0.145911096</v>
      </c>
      <c r="P66" s="514">
        <f t="shared" si="47"/>
        <v>15050</v>
      </c>
      <c r="Q66" s="538">
        <v>0.006</v>
      </c>
      <c r="R66" s="217">
        <v>162.0</v>
      </c>
      <c r="S66" s="524"/>
      <c r="T66" s="524"/>
      <c r="U66" s="525"/>
      <c r="V66" s="526"/>
      <c r="W66" s="523"/>
      <c r="X66" s="524"/>
      <c r="Y66" s="525"/>
      <c r="Z66" s="526"/>
    </row>
    <row r="67">
      <c r="A67" s="344" t="s">
        <v>159</v>
      </c>
      <c r="B67" s="596" t="str">
        <f>I66+I67+I68+I69+I70+I71+I72+I73+I74+I75</f>
        <v>#N/A</v>
      </c>
      <c r="C67" s="512">
        <f>I67/E111</f>
        <v>0.01313729895</v>
      </c>
      <c r="D67" s="344" t="s">
        <v>160</v>
      </c>
      <c r="E67" s="344" t="s">
        <v>161</v>
      </c>
      <c r="F67" s="195">
        <v>7.8</v>
      </c>
      <c r="G67" s="513">
        <v>3000.0</v>
      </c>
      <c r="H67" s="217">
        <f t="shared" si="43"/>
        <v>115260</v>
      </c>
      <c r="I67" s="514">
        <f t="shared" si="44"/>
        <v>126960</v>
      </c>
      <c r="J67" s="216">
        <v>38.42</v>
      </c>
      <c r="K67" s="568">
        <f>IFERROR(__xludf.DUMMYFUNCTION("GOOGLEFINANCE(E67,""changepct"")"),-1.7)</f>
        <v>-1.7</v>
      </c>
      <c r="L67" s="516">
        <f>IFERROR(__xludf.DUMMYFUNCTION("googlefinance(E67,""price"")"),42.32)</f>
        <v>42.32</v>
      </c>
      <c r="M67" s="216"/>
      <c r="N67" s="517">
        <f t="shared" si="45"/>
        <v>3.9</v>
      </c>
      <c r="O67" s="518">
        <f t="shared" si="46"/>
        <v>0.1015096304</v>
      </c>
      <c r="P67" s="514">
        <f t="shared" si="47"/>
        <v>11700</v>
      </c>
      <c r="Q67" s="538">
        <v>0.019</v>
      </c>
      <c r="R67" s="217">
        <v>585.0</v>
      </c>
      <c r="S67" s="524"/>
      <c r="T67" s="520"/>
      <c r="U67" s="521"/>
      <c r="V67" s="522"/>
      <c r="W67" s="523"/>
      <c r="X67" s="524"/>
      <c r="Y67" s="525"/>
      <c r="Z67" s="526"/>
    </row>
    <row r="68">
      <c r="A68" s="344" t="s">
        <v>708</v>
      </c>
      <c r="B68" s="598" t="str">
        <f>B67/E111</f>
        <v>#N/A</v>
      </c>
      <c r="C68" s="512" t="str">
        <f>I68/E111</f>
        <v>#N/A</v>
      </c>
      <c r="D68" s="344" t="s">
        <v>709</v>
      </c>
      <c r="E68" s="344" t="s">
        <v>710</v>
      </c>
      <c r="F68" s="195">
        <v>8.0</v>
      </c>
      <c r="G68" s="513">
        <v>3000.0</v>
      </c>
      <c r="H68" s="217">
        <f t="shared" si="43"/>
        <v>124200</v>
      </c>
      <c r="I68" s="514" t="str">
        <f t="shared" si="44"/>
        <v>#N/A</v>
      </c>
      <c r="J68" s="216">
        <v>41.4</v>
      </c>
      <c r="K68" s="568" t="str">
        <f>IFERROR(__xludf.DUMMYFUNCTION("GOOGLEFINANCE(E68,""changepct"")"),"#N/A")</f>
        <v>#N/A</v>
      </c>
      <c r="L68" s="516" t="str">
        <f>IFERROR(__xludf.DUMMYFUNCTION("googlefinance(E68,""price"")"),"#N/A")</f>
        <v>#N/A</v>
      </c>
      <c r="M68" s="517"/>
      <c r="N68" s="528" t="str">
        <f t="shared" si="45"/>
        <v>#N/A</v>
      </c>
      <c r="O68" s="518" t="str">
        <f t="shared" si="46"/>
        <v>#N/A</v>
      </c>
      <c r="P68" s="528" t="str">
        <f t="shared" si="47"/>
        <v>#N/A</v>
      </c>
      <c r="Q68" s="538">
        <v>0.018</v>
      </c>
      <c r="R68" s="217">
        <v>550.0</v>
      </c>
      <c r="S68" s="524"/>
      <c r="T68" s="524"/>
      <c r="U68" s="525"/>
      <c r="V68" s="526"/>
      <c r="W68" s="523"/>
      <c r="X68" s="524"/>
      <c r="Y68" s="525"/>
      <c r="Z68" s="526"/>
    </row>
    <row r="69">
      <c r="A69" s="344"/>
      <c r="B69" s="528"/>
      <c r="C69" s="512">
        <f>I69/E111</f>
        <v>0.007657215834</v>
      </c>
      <c r="D69" s="344" t="s">
        <v>506</v>
      </c>
      <c r="E69" s="344" t="s">
        <v>169</v>
      </c>
      <c r="F69" s="195">
        <v>8.0</v>
      </c>
      <c r="G69" s="513">
        <v>2000.0</v>
      </c>
      <c r="H69" s="217">
        <f t="shared" si="43"/>
        <v>108440</v>
      </c>
      <c r="I69" s="514">
        <f t="shared" si="44"/>
        <v>74000</v>
      </c>
      <c r="J69" s="216">
        <v>54.22</v>
      </c>
      <c r="K69" s="568">
        <f>IFERROR(__xludf.DUMMYFUNCTION("GOOGLEFINANCE(E69,""changepct"")"),-2.22)</f>
        <v>-2.22</v>
      </c>
      <c r="L69" s="516">
        <f>IFERROR(__xludf.DUMMYFUNCTION("googlefinance(E69,""price"")"),37.0)</f>
        <v>37</v>
      </c>
      <c r="M69" s="517"/>
      <c r="N69" s="517">
        <f t="shared" si="45"/>
        <v>-17.22</v>
      </c>
      <c r="O69" s="518">
        <f t="shared" si="46"/>
        <v>-0.3175949834</v>
      </c>
      <c r="P69" s="514">
        <f t="shared" si="47"/>
        <v>-34440</v>
      </c>
      <c r="Q69" s="538">
        <v>0.039</v>
      </c>
      <c r="R69" s="217">
        <v>1180.0</v>
      </c>
      <c r="S69" s="524"/>
      <c r="T69" s="524"/>
      <c r="U69" s="525"/>
      <c r="V69" s="526"/>
      <c r="W69" s="523"/>
      <c r="X69" s="524"/>
      <c r="Y69" s="525"/>
      <c r="Z69" s="526"/>
    </row>
    <row r="70">
      <c r="A70" s="344"/>
      <c r="B70" s="528"/>
      <c r="C70" s="512">
        <f>I70/E111</f>
        <v>0.009598423524</v>
      </c>
      <c r="D70" s="104" t="s">
        <v>571</v>
      </c>
      <c r="E70" s="104" t="s">
        <v>172</v>
      </c>
      <c r="F70" s="195">
        <v>7.7</v>
      </c>
      <c r="G70" s="513">
        <v>6000.0</v>
      </c>
      <c r="H70" s="217">
        <f t="shared" si="43"/>
        <v>107520</v>
      </c>
      <c r="I70" s="514">
        <f t="shared" si="44"/>
        <v>92760</v>
      </c>
      <c r="J70" s="216">
        <v>17.92</v>
      </c>
      <c r="K70" s="568">
        <f>IFERROR(__xludf.DUMMYFUNCTION("GOOGLEFINANCE(E70,""changepct"")"),-1.4)</f>
        <v>-1.4</v>
      </c>
      <c r="L70" s="516">
        <f>IFERROR(__xludf.DUMMYFUNCTION("googlefinance(E70,""price"")"),15.46)</f>
        <v>15.46</v>
      </c>
      <c r="M70" s="216"/>
      <c r="N70" s="517">
        <f t="shared" si="45"/>
        <v>-2.46</v>
      </c>
      <c r="O70" s="518">
        <f t="shared" si="46"/>
        <v>-0.1372767857</v>
      </c>
      <c r="P70" s="514">
        <f t="shared" si="47"/>
        <v>-14760</v>
      </c>
      <c r="Q70" s="538">
        <v>0.019</v>
      </c>
      <c r="R70" s="217">
        <v>523.0</v>
      </c>
      <c r="S70" s="524"/>
      <c r="T70" s="520"/>
      <c r="U70" s="638"/>
      <c r="V70" s="522"/>
      <c r="W70" s="519"/>
      <c r="X70" s="520"/>
      <c r="Y70" s="521"/>
      <c r="Z70" s="522"/>
    </row>
    <row r="71">
      <c r="A71" s="528"/>
      <c r="B71" s="528"/>
      <c r="C71" s="512">
        <f>I71/E111</f>
        <v>0.01897747816</v>
      </c>
      <c r="D71" s="344" t="s">
        <v>166</v>
      </c>
      <c r="E71" s="344" t="s">
        <v>167</v>
      </c>
      <c r="F71" s="195">
        <v>7.9</v>
      </c>
      <c r="G71" s="513">
        <v>20000.0</v>
      </c>
      <c r="H71" s="217">
        <f t="shared" si="43"/>
        <v>106600</v>
      </c>
      <c r="I71" s="514">
        <f t="shared" si="44"/>
        <v>183400</v>
      </c>
      <c r="J71" s="216">
        <v>5.33</v>
      </c>
      <c r="K71" s="568">
        <f>IFERROR(__xludf.DUMMYFUNCTION("GOOGLEFINANCE(E71,""changepct"")"),-1.5)</f>
        <v>-1.5</v>
      </c>
      <c r="L71" s="516">
        <f>IFERROR(__xludf.DUMMYFUNCTION("googlefinance(E71,""price"")"),9.17)</f>
        <v>9.17</v>
      </c>
      <c r="M71" s="517"/>
      <c r="N71" s="517">
        <f t="shared" si="45"/>
        <v>3.84</v>
      </c>
      <c r="O71" s="518">
        <f t="shared" si="46"/>
        <v>0.7204502814</v>
      </c>
      <c r="P71" s="514">
        <f t="shared" si="47"/>
        <v>76800</v>
      </c>
      <c r="Q71" s="538">
        <v>0.02</v>
      </c>
      <c r="R71" s="217">
        <v>560.0</v>
      </c>
      <c r="S71" s="524"/>
      <c r="T71" s="524"/>
      <c r="U71" s="525"/>
      <c r="V71" s="526"/>
      <c r="W71" s="519"/>
      <c r="X71" s="520"/>
      <c r="Y71" s="521"/>
      <c r="Z71" s="522"/>
    </row>
    <row r="72">
      <c r="A72" s="528"/>
      <c r="B72" s="528"/>
      <c r="C72" s="512">
        <f>I72/E111</f>
        <v>0.01015098477</v>
      </c>
      <c r="D72" s="344" t="s">
        <v>507</v>
      </c>
      <c r="E72" s="344" t="s">
        <v>508</v>
      </c>
      <c r="F72" s="195">
        <v>7.5</v>
      </c>
      <c r="G72" s="513">
        <v>10000.0</v>
      </c>
      <c r="H72" s="217">
        <f t="shared" si="43"/>
        <v>118400</v>
      </c>
      <c r="I72" s="514">
        <f t="shared" si="44"/>
        <v>98100</v>
      </c>
      <c r="J72" s="216">
        <v>11.84</v>
      </c>
      <c r="K72" s="568">
        <f>IFERROR(__xludf.DUMMYFUNCTION("GOOGLEFINANCE(E72,""changepct"")"),-2.77)</f>
        <v>-2.77</v>
      </c>
      <c r="L72" s="516">
        <f>IFERROR(__xludf.DUMMYFUNCTION("googlefinance(E72,""price"")"),9.81)</f>
        <v>9.81</v>
      </c>
      <c r="M72" s="216"/>
      <c r="N72" s="517">
        <f t="shared" si="45"/>
        <v>-2.03</v>
      </c>
      <c r="O72" s="518">
        <f t="shared" si="46"/>
        <v>-0.1714527027</v>
      </c>
      <c r="P72" s="514">
        <f t="shared" si="47"/>
        <v>-20300</v>
      </c>
      <c r="Q72" s="538">
        <v>0.035</v>
      </c>
      <c r="R72" s="217">
        <v>1094.0</v>
      </c>
      <c r="S72" s="524"/>
      <c r="T72" s="520"/>
      <c r="U72" s="521"/>
      <c r="V72" s="522"/>
      <c r="W72" s="519"/>
      <c r="X72" s="520"/>
      <c r="Y72" s="521"/>
      <c r="Z72" s="522"/>
    </row>
    <row r="73">
      <c r="A73" s="528"/>
      <c r="B73" s="528"/>
      <c r="C73" s="512">
        <f>I73/E111</f>
        <v>0.01183764178</v>
      </c>
      <c r="D73" s="600" t="s">
        <v>179</v>
      </c>
      <c r="E73" s="344" t="s">
        <v>180</v>
      </c>
      <c r="F73" s="195">
        <v>7.9</v>
      </c>
      <c r="G73" s="513">
        <v>10000.0</v>
      </c>
      <c r="H73" s="217">
        <f t="shared" si="43"/>
        <v>122900</v>
      </c>
      <c r="I73" s="514">
        <f t="shared" si="44"/>
        <v>114400</v>
      </c>
      <c r="J73" s="216">
        <v>12.29</v>
      </c>
      <c r="K73" s="568">
        <f>IFERROR(__xludf.DUMMYFUNCTION("GOOGLEFINANCE(E73,""changepct"")"),-2.8)</f>
        <v>-2.8</v>
      </c>
      <c r="L73" s="516">
        <f>IFERROR(__xludf.DUMMYFUNCTION("googlefinance(E73,""price"")"),11.44)</f>
        <v>11.44</v>
      </c>
      <c r="M73" s="517"/>
      <c r="N73" s="517">
        <f t="shared" si="45"/>
        <v>-0.85</v>
      </c>
      <c r="O73" s="518">
        <f t="shared" si="46"/>
        <v>-0.06916192026</v>
      </c>
      <c r="P73" s="514">
        <f t="shared" si="47"/>
        <v>-8500</v>
      </c>
      <c r="Q73" s="538">
        <v>0.013</v>
      </c>
      <c r="R73" s="217">
        <v>420.0</v>
      </c>
      <c r="S73" s="524"/>
      <c r="T73" s="524"/>
      <c r="U73" s="525"/>
      <c r="V73" s="526"/>
      <c r="W73" s="523"/>
      <c r="X73" s="524"/>
      <c r="Y73" s="525"/>
      <c r="Z73" s="526"/>
    </row>
    <row r="74">
      <c r="A74" s="528"/>
      <c r="B74" s="528"/>
      <c r="C74" s="512">
        <f>I74/E111</f>
        <v>0.005577350452</v>
      </c>
      <c r="D74" s="600" t="s">
        <v>711</v>
      </c>
      <c r="E74" s="344" t="s">
        <v>550</v>
      </c>
      <c r="F74" s="195">
        <v>7.7</v>
      </c>
      <c r="G74" s="513">
        <v>10000.0</v>
      </c>
      <c r="H74" s="217">
        <f t="shared" si="43"/>
        <v>113300</v>
      </c>
      <c r="I74" s="514">
        <f t="shared" si="44"/>
        <v>53900</v>
      </c>
      <c r="J74" s="216">
        <v>11.33</v>
      </c>
      <c r="K74" s="568">
        <f>IFERROR(__xludf.DUMMYFUNCTION("GOOGLEFINANCE(E74,""changepct"")"),-2.71)</f>
        <v>-2.71</v>
      </c>
      <c r="L74" s="516">
        <f>IFERROR(__xludf.DUMMYFUNCTION("googlefinance(E74,""price"")"),5.39)</f>
        <v>5.39</v>
      </c>
      <c r="M74" s="517"/>
      <c r="N74" s="517">
        <f t="shared" si="45"/>
        <v>-5.94</v>
      </c>
      <c r="O74" s="518">
        <f t="shared" si="46"/>
        <v>-0.5242718447</v>
      </c>
      <c r="P74" s="514">
        <f t="shared" si="47"/>
        <v>-59400</v>
      </c>
      <c r="Q74" s="538"/>
      <c r="R74" s="514"/>
      <c r="S74" s="524"/>
      <c r="T74" s="524"/>
      <c r="U74" s="525"/>
      <c r="V74" s="526"/>
      <c r="W74" s="523"/>
      <c r="X74" s="524"/>
      <c r="Y74" s="525"/>
      <c r="Z74" s="526"/>
    </row>
    <row r="75">
      <c r="A75" s="528"/>
      <c r="B75" s="528"/>
      <c r="C75" s="512">
        <f>I75/E111</f>
        <v>0.0103165462</v>
      </c>
      <c r="D75" s="344" t="s">
        <v>357</v>
      </c>
      <c r="E75" s="344" t="s">
        <v>174</v>
      </c>
      <c r="F75" s="195">
        <v>7.5</v>
      </c>
      <c r="G75" s="513">
        <v>5000.0</v>
      </c>
      <c r="H75" s="217">
        <f t="shared" si="43"/>
        <v>115750</v>
      </c>
      <c r="I75" s="514">
        <f t="shared" si="44"/>
        <v>99700</v>
      </c>
      <c r="J75" s="216">
        <v>23.15</v>
      </c>
      <c r="K75" s="568">
        <f>IFERROR(__xludf.DUMMYFUNCTION("GOOGLEFINANCE(E75,""changepct"")"),-3.11)</f>
        <v>-3.11</v>
      </c>
      <c r="L75" s="516">
        <f>IFERROR(__xludf.DUMMYFUNCTION("googlefinance(E75,""price"")"),19.94)</f>
        <v>19.94</v>
      </c>
      <c r="M75" s="517"/>
      <c r="N75" s="517">
        <f t="shared" si="45"/>
        <v>-3.21</v>
      </c>
      <c r="O75" s="518">
        <f t="shared" si="46"/>
        <v>-0.1386609071</v>
      </c>
      <c r="P75" s="514">
        <f t="shared" si="47"/>
        <v>-16050</v>
      </c>
      <c r="Q75" s="538">
        <v>0.016</v>
      </c>
      <c r="R75" s="217">
        <v>500.0</v>
      </c>
      <c r="S75" s="524"/>
      <c r="T75" s="524"/>
      <c r="U75" s="525"/>
      <c r="V75" s="526"/>
      <c r="W75" s="523"/>
      <c r="X75" s="524"/>
      <c r="Y75" s="525"/>
      <c r="Z75" s="526"/>
    </row>
    <row r="76">
      <c r="A76" s="173"/>
      <c r="B76" s="173"/>
      <c r="C76" s="13"/>
      <c r="D76" s="13"/>
      <c r="E76" s="13"/>
      <c r="F76" s="13"/>
      <c r="G76" s="509"/>
      <c r="H76" s="509">
        <f t="shared" ref="H76:I76" si="48">SUM(H64:H75)</f>
        <v>1618910</v>
      </c>
      <c r="I76" s="539" t="str">
        <f t="shared" si="48"/>
        <v>#N/A</v>
      </c>
      <c r="J76" s="506"/>
      <c r="K76" s="506"/>
      <c r="L76" s="507"/>
      <c r="M76" s="507"/>
      <c r="N76" s="507"/>
      <c r="O76" s="540">
        <f>P76/H76</f>
        <v>0.05993230013</v>
      </c>
      <c r="P76" s="625">
        <v>97025.0</v>
      </c>
      <c r="Q76" s="13"/>
      <c r="R76" s="509">
        <f>SUM(R66:R75)</f>
        <v>5574</v>
      </c>
      <c r="S76" s="510" t="s">
        <v>89</v>
      </c>
      <c r="T76" s="542"/>
      <c r="U76" s="543"/>
      <c r="V76" s="544">
        <v>0.0</v>
      </c>
      <c r="W76" s="510" t="s">
        <v>89</v>
      </c>
      <c r="X76" s="542"/>
      <c r="Y76" s="542"/>
      <c r="Z76" s="570">
        <f>SUM(Z64:Z75)</f>
        <v>0</v>
      </c>
    </row>
    <row r="77">
      <c r="A77" s="173"/>
      <c r="B77" s="504" t="s">
        <v>181</v>
      </c>
      <c r="C77" s="504" t="s">
        <v>2</v>
      </c>
      <c r="D77" s="13" t="s">
        <v>182</v>
      </c>
      <c r="E77" s="13" t="s">
        <v>4</v>
      </c>
      <c r="F77" s="13" t="s">
        <v>5</v>
      </c>
      <c r="G77" s="504" t="s">
        <v>6</v>
      </c>
      <c r="H77" s="504" t="s">
        <v>7</v>
      </c>
      <c r="I77" s="505" t="s">
        <v>8</v>
      </c>
      <c r="J77" s="505" t="s">
        <v>9</v>
      </c>
      <c r="K77" s="506" t="s">
        <v>10</v>
      </c>
      <c r="L77" s="506" t="s">
        <v>11</v>
      </c>
      <c r="M77" s="507" t="s">
        <v>476</v>
      </c>
      <c r="N77" s="507" t="s">
        <v>13</v>
      </c>
      <c r="O77" s="504" t="s">
        <v>14</v>
      </c>
      <c r="P77" s="508" t="s">
        <v>15</v>
      </c>
      <c r="Q77" s="13" t="s">
        <v>16</v>
      </c>
      <c r="R77" s="13" t="s">
        <v>17</v>
      </c>
      <c r="S77" s="510" t="s">
        <v>21</v>
      </c>
      <c r="T77" s="510" t="s">
        <v>22</v>
      </c>
      <c r="U77" s="511" t="s">
        <v>23</v>
      </c>
      <c r="V77" s="511" t="s">
        <v>24</v>
      </c>
      <c r="W77" s="510" t="s">
        <v>25</v>
      </c>
      <c r="X77" s="510" t="s">
        <v>26</v>
      </c>
      <c r="Y77" s="510" t="s">
        <v>27</v>
      </c>
      <c r="Z77" s="510" t="s">
        <v>28</v>
      </c>
    </row>
    <row r="78">
      <c r="A78" s="502" t="s">
        <v>29</v>
      </c>
      <c r="B78" s="527">
        <f>I105/E111</f>
        <v>0.1724904794</v>
      </c>
      <c r="C78" s="512">
        <f>I78/E111</f>
        <v>0</v>
      </c>
      <c r="D78" s="601" t="s">
        <v>413</v>
      </c>
      <c r="E78" s="344" t="s">
        <v>185</v>
      </c>
      <c r="F78" s="195">
        <v>7.9</v>
      </c>
      <c r="G78" s="217" t="s">
        <v>128</v>
      </c>
      <c r="H78" s="217">
        <v>525000.0</v>
      </c>
      <c r="I78" s="217">
        <v>0.0</v>
      </c>
      <c r="J78" s="217">
        <v>42998.0</v>
      </c>
      <c r="K78" s="568"/>
      <c r="L78" s="452"/>
      <c r="M78" s="217">
        <v>65712.0</v>
      </c>
      <c r="N78" s="595">
        <f t="shared" ref="N78:N104" si="49">L78-J78</f>
        <v>-42998</v>
      </c>
      <c r="O78" s="518">
        <f t="shared" ref="O78:O80" si="50">M78/J78-1</f>
        <v>0.5282571282</v>
      </c>
      <c r="P78" s="514">
        <f t="shared" ref="P78:P104" si="51">H78*O78</f>
        <v>277334.9923</v>
      </c>
      <c r="Q78" s="528"/>
      <c r="R78" s="528"/>
      <c r="S78" s="519" t="s">
        <v>185</v>
      </c>
      <c r="T78" s="520">
        <v>44490.0</v>
      </c>
      <c r="U78" s="522">
        <v>65712.0</v>
      </c>
      <c r="V78" s="522">
        <v>802335.0</v>
      </c>
      <c r="W78" s="519"/>
      <c r="X78" s="520"/>
      <c r="Y78" s="522"/>
      <c r="Z78" s="522"/>
    </row>
    <row r="79">
      <c r="A79" s="528"/>
      <c r="B79" s="528"/>
      <c r="C79" s="512">
        <f>I79/E111</f>
        <v>0</v>
      </c>
      <c r="D79" s="601" t="s">
        <v>413</v>
      </c>
      <c r="E79" s="344" t="s">
        <v>185</v>
      </c>
      <c r="F79" s="195">
        <v>7.9</v>
      </c>
      <c r="G79" s="217" t="s">
        <v>128</v>
      </c>
      <c r="H79" s="217">
        <v>401168.0</v>
      </c>
      <c r="I79" s="217">
        <v>0.0</v>
      </c>
      <c r="J79" s="217">
        <v>65712.0</v>
      </c>
      <c r="K79" s="568"/>
      <c r="L79" s="452"/>
      <c r="M79" s="217">
        <v>52900.0</v>
      </c>
      <c r="N79" s="595">
        <f t="shared" si="49"/>
        <v>-65712</v>
      </c>
      <c r="O79" s="518">
        <f t="shared" si="50"/>
        <v>-0.194971999</v>
      </c>
      <c r="P79" s="514">
        <f t="shared" si="51"/>
        <v>-78216.52691</v>
      </c>
      <c r="Q79" s="528"/>
      <c r="R79" s="528"/>
      <c r="S79" s="519" t="s">
        <v>185</v>
      </c>
      <c r="T79" s="520">
        <v>44534.0</v>
      </c>
      <c r="U79" s="217">
        <v>52900.0</v>
      </c>
      <c r="V79" s="522">
        <v>322951.0</v>
      </c>
      <c r="W79" s="519" t="s">
        <v>185</v>
      </c>
      <c r="X79" s="520">
        <v>44490.0</v>
      </c>
      <c r="Y79" s="522">
        <v>65712.0</v>
      </c>
      <c r="Z79" s="522">
        <v>401168.0</v>
      </c>
    </row>
    <row r="80">
      <c r="A80" s="528"/>
      <c r="B80" s="528"/>
      <c r="C80" s="512">
        <f>I80/E111</f>
        <v>0</v>
      </c>
      <c r="D80" s="601" t="s">
        <v>413</v>
      </c>
      <c r="E80" s="344" t="s">
        <v>185</v>
      </c>
      <c r="F80" s="195">
        <v>7.9</v>
      </c>
      <c r="G80" s="217" t="s">
        <v>128</v>
      </c>
      <c r="H80" s="217">
        <v>227445.0</v>
      </c>
      <c r="I80" s="217">
        <v>0.0</v>
      </c>
      <c r="J80" s="217">
        <v>57160.0</v>
      </c>
      <c r="K80" s="568"/>
      <c r="L80" s="452"/>
      <c r="M80" s="217">
        <v>56984.0</v>
      </c>
      <c r="N80" s="595">
        <f t="shared" si="49"/>
        <v>-57160</v>
      </c>
      <c r="O80" s="518">
        <f t="shared" si="50"/>
        <v>-0.003079076277</v>
      </c>
      <c r="P80" s="514">
        <f t="shared" si="51"/>
        <v>-700.3205038</v>
      </c>
      <c r="Q80" s="528"/>
      <c r="R80" s="528"/>
      <c r="S80" s="519" t="s">
        <v>185</v>
      </c>
      <c r="T80" s="520">
        <v>44526.0</v>
      </c>
      <c r="U80" s="217">
        <v>56984.0</v>
      </c>
      <c r="V80" s="522">
        <v>226745.0</v>
      </c>
      <c r="W80" s="519" t="s">
        <v>185</v>
      </c>
      <c r="X80" s="520">
        <v>44519.0</v>
      </c>
      <c r="Y80" s="522">
        <v>57160.0</v>
      </c>
      <c r="Z80" s="522">
        <v>227445.0</v>
      </c>
    </row>
    <row r="81">
      <c r="A81" s="528"/>
      <c r="B81" s="528"/>
      <c r="C81" s="512">
        <f>I81/E111</f>
        <v>0</v>
      </c>
      <c r="D81" s="601" t="s">
        <v>413</v>
      </c>
      <c r="E81" s="344" t="s">
        <v>185</v>
      </c>
      <c r="F81" s="195">
        <v>7.9</v>
      </c>
      <c r="G81" s="217" t="s">
        <v>128</v>
      </c>
      <c r="H81" s="217">
        <v>527884.0</v>
      </c>
      <c r="I81" s="217">
        <f>H81+P81</f>
        <v>0</v>
      </c>
      <c r="J81" s="217">
        <v>50127.0</v>
      </c>
      <c r="K81" s="568"/>
      <c r="L81" s="452"/>
      <c r="M81" s="217"/>
      <c r="N81" s="595">
        <f t="shared" si="49"/>
        <v>-50127</v>
      </c>
      <c r="O81" s="518">
        <f>L81/J81-1</f>
        <v>-1</v>
      </c>
      <c r="P81" s="514">
        <f t="shared" si="51"/>
        <v>-527884</v>
      </c>
      <c r="Q81" s="528"/>
      <c r="R81" s="528"/>
      <c r="S81" s="519"/>
      <c r="T81" s="520"/>
      <c r="U81" s="217"/>
      <c r="V81" s="522"/>
      <c r="W81" s="519" t="s">
        <v>185</v>
      </c>
      <c r="X81" s="520">
        <v>44537.0</v>
      </c>
      <c r="Y81" s="522">
        <v>50127.0</v>
      </c>
      <c r="Z81" s="522">
        <v>527884.0</v>
      </c>
    </row>
    <row r="82">
      <c r="A82" s="528"/>
      <c r="B82" s="528"/>
      <c r="C82" s="512">
        <f>I82/E111</f>
        <v>0</v>
      </c>
      <c r="D82" s="344" t="s">
        <v>187</v>
      </c>
      <c r="E82" s="344" t="s">
        <v>188</v>
      </c>
      <c r="F82" s="195">
        <v>7.8</v>
      </c>
      <c r="G82" s="217" t="s">
        <v>128</v>
      </c>
      <c r="H82" s="217">
        <v>220770.0</v>
      </c>
      <c r="I82" s="217">
        <v>0.0</v>
      </c>
      <c r="J82" s="217">
        <v>2980.0</v>
      </c>
      <c r="K82" s="568"/>
      <c r="L82" s="452"/>
      <c r="M82" s="217">
        <v>4225.0</v>
      </c>
      <c r="N82" s="595">
        <f t="shared" si="49"/>
        <v>-2980</v>
      </c>
      <c r="O82" s="518">
        <f>M82/J82-1</f>
        <v>0.4177852349</v>
      </c>
      <c r="P82" s="514">
        <f t="shared" si="51"/>
        <v>92234.44631</v>
      </c>
      <c r="Q82" s="528"/>
      <c r="R82" s="528"/>
      <c r="S82" s="519" t="s">
        <v>188</v>
      </c>
      <c r="T82" s="520">
        <v>44490.0</v>
      </c>
      <c r="U82" s="217">
        <v>4225.0</v>
      </c>
      <c r="V82" s="522">
        <v>313004.0</v>
      </c>
      <c r="W82" s="519"/>
      <c r="X82" s="520"/>
      <c r="Y82" s="531"/>
      <c r="Z82" s="522"/>
    </row>
    <row r="83">
      <c r="A83" s="528"/>
      <c r="B83" s="528"/>
      <c r="C83" s="512">
        <f>I83/E111</f>
        <v>0</v>
      </c>
      <c r="D83" s="344" t="s">
        <v>187</v>
      </c>
      <c r="E83" s="344" t="s">
        <v>188</v>
      </c>
      <c r="F83" s="195">
        <v>7.8</v>
      </c>
      <c r="G83" s="217" t="s">
        <v>128</v>
      </c>
      <c r="H83" s="217">
        <v>115774.0</v>
      </c>
      <c r="I83" s="217">
        <f>H83+P83</f>
        <v>0</v>
      </c>
      <c r="J83" s="217">
        <v>4225.0</v>
      </c>
      <c r="K83" s="568"/>
      <c r="L83" s="452"/>
      <c r="M83" s="639"/>
      <c r="N83" s="595">
        <f t="shared" si="49"/>
        <v>-4225</v>
      </c>
      <c r="O83" s="518">
        <f>L83/J83-1</f>
        <v>-1</v>
      </c>
      <c r="P83" s="514">
        <f t="shared" si="51"/>
        <v>-115774</v>
      </c>
      <c r="Q83" s="528"/>
      <c r="R83" s="528"/>
      <c r="S83" s="519"/>
      <c r="T83" s="520"/>
      <c r="U83" s="640"/>
      <c r="V83" s="522"/>
      <c r="W83" s="519" t="s">
        <v>188</v>
      </c>
      <c r="X83" s="520">
        <v>44490.0</v>
      </c>
      <c r="Y83" s="522">
        <v>4225.0</v>
      </c>
      <c r="Z83" s="522">
        <v>115774.0</v>
      </c>
    </row>
    <row r="84">
      <c r="A84" s="528"/>
      <c r="B84" s="528"/>
      <c r="C84" s="512">
        <f>I84/E111</f>
        <v>0</v>
      </c>
      <c r="D84" s="104" t="s">
        <v>712</v>
      </c>
      <c r="E84" s="104" t="s">
        <v>713</v>
      </c>
      <c r="F84" s="569">
        <v>7.5</v>
      </c>
      <c r="G84" s="217" t="s">
        <v>128</v>
      </c>
      <c r="H84" s="217">
        <v>138669.0</v>
      </c>
      <c r="I84" s="217">
        <v>0.0</v>
      </c>
      <c r="J84" s="641">
        <v>0.0923</v>
      </c>
      <c r="K84" s="568"/>
      <c r="L84" s="452"/>
      <c r="M84" s="639">
        <v>0.135</v>
      </c>
      <c r="N84" s="595">
        <f t="shared" si="49"/>
        <v>-0.0923</v>
      </c>
      <c r="O84" s="518">
        <f t="shared" ref="O84:O85" si="52">M84/J84-1</f>
        <v>0.4626218852</v>
      </c>
      <c r="P84" s="514">
        <f t="shared" si="51"/>
        <v>64151.31419</v>
      </c>
      <c r="Q84" s="528"/>
      <c r="R84" s="528"/>
      <c r="S84" s="519" t="s">
        <v>713</v>
      </c>
      <c r="T84" s="520">
        <v>44493.0</v>
      </c>
      <c r="U84" s="640">
        <v>0.135</v>
      </c>
      <c r="V84" s="522">
        <v>202820.0</v>
      </c>
      <c r="W84" s="519"/>
      <c r="X84" s="520"/>
      <c r="Y84" s="642"/>
      <c r="Z84" s="522"/>
    </row>
    <row r="85">
      <c r="A85" s="528"/>
      <c r="B85" s="528"/>
      <c r="C85" s="512">
        <f>I85/E111</f>
        <v>0</v>
      </c>
      <c r="D85" s="104" t="s">
        <v>197</v>
      </c>
      <c r="E85" s="344" t="s">
        <v>198</v>
      </c>
      <c r="F85" s="569">
        <v>7.5</v>
      </c>
      <c r="G85" s="217" t="s">
        <v>128</v>
      </c>
      <c r="H85" s="217">
        <v>152331.0</v>
      </c>
      <c r="I85" s="217">
        <v>0.0</v>
      </c>
      <c r="J85" s="641">
        <v>0.0846</v>
      </c>
      <c r="K85" s="568"/>
      <c r="L85" s="452"/>
      <c r="M85" s="643">
        <v>0.09996</v>
      </c>
      <c r="N85" s="595">
        <f t="shared" si="49"/>
        <v>-0.0846</v>
      </c>
      <c r="O85" s="518">
        <f t="shared" si="52"/>
        <v>0.1815602837</v>
      </c>
      <c r="P85" s="514">
        <f t="shared" si="51"/>
        <v>27657.25957</v>
      </c>
      <c r="Q85" s="528"/>
      <c r="R85" s="528"/>
      <c r="S85" s="519" t="s">
        <v>198</v>
      </c>
      <c r="T85" s="520">
        <v>44516.0</v>
      </c>
      <c r="U85" s="644">
        <v>0.09996</v>
      </c>
      <c r="V85" s="522">
        <v>179988.0</v>
      </c>
      <c r="W85" s="519"/>
      <c r="X85" s="520"/>
      <c r="Y85" s="642"/>
      <c r="Z85" s="522"/>
    </row>
    <row r="86">
      <c r="A86" s="528"/>
      <c r="B86" s="528"/>
      <c r="C86" s="512">
        <f>I86/E111</f>
        <v>0</v>
      </c>
      <c r="D86" s="104" t="s">
        <v>574</v>
      </c>
      <c r="E86" s="529" t="s">
        <v>213</v>
      </c>
      <c r="F86" s="195">
        <v>7.5</v>
      </c>
      <c r="G86" s="217" t="s">
        <v>128</v>
      </c>
      <c r="H86" s="217">
        <v>146880.0</v>
      </c>
      <c r="I86" s="217">
        <f t="shared" ref="I86:I87" si="53">H86+P86</f>
        <v>0</v>
      </c>
      <c r="J86" s="216">
        <v>1.41</v>
      </c>
      <c r="K86" s="568"/>
      <c r="L86" s="452"/>
      <c r="M86" s="216"/>
      <c r="N86" s="595">
        <f t="shared" si="49"/>
        <v>-1.41</v>
      </c>
      <c r="O86" s="518">
        <f t="shared" ref="O86:O87" si="54">L86/J86-1</f>
        <v>-1</v>
      </c>
      <c r="P86" s="514">
        <f t="shared" si="51"/>
        <v>-146880</v>
      </c>
      <c r="Q86" s="528"/>
      <c r="R86" s="528"/>
      <c r="S86" s="519"/>
      <c r="T86" s="520"/>
      <c r="U86" s="521"/>
      <c r="V86" s="522"/>
      <c r="W86" s="519" t="s">
        <v>213</v>
      </c>
      <c r="X86" s="520">
        <v>44537.0</v>
      </c>
      <c r="Y86" s="531">
        <v>1.41</v>
      </c>
      <c r="Z86" s="522">
        <v>146880.0</v>
      </c>
    </row>
    <row r="87">
      <c r="A87" s="528"/>
      <c r="B87" s="528"/>
      <c r="C87" s="512">
        <f>I87/E111</f>
        <v>0</v>
      </c>
      <c r="D87" s="104" t="s">
        <v>574</v>
      </c>
      <c r="E87" s="529" t="s">
        <v>213</v>
      </c>
      <c r="F87" s="195">
        <v>7.5</v>
      </c>
      <c r="G87" s="217" t="s">
        <v>128</v>
      </c>
      <c r="H87" s="217">
        <v>180555.0</v>
      </c>
      <c r="I87" s="217">
        <f t="shared" si="53"/>
        <v>0</v>
      </c>
      <c r="J87" s="216">
        <v>2.094</v>
      </c>
      <c r="K87" s="568"/>
      <c r="L87" s="452"/>
      <c r="M87" s="216"/>
      <c r="N87" s="595">
        <f t="shared" si="49"/>
        <v>-2.094</v>
      </c>
      <c r="O87" s="518">
        <f t="shared" si="54"/>
        <v>-1</v>
      </c>
      <c r="P87" s="514">
        <f t="shared" si="51"/>
        <v>-180555</v>
      </c>
      <c r="Q87" s="528"/>
      <c r="R87" s="528"/>
      <c r="S87" s="519"/>
      <c r="T87" s="520"/>
      <c r="U87" s="521"/>
      <c r="V87" s="522"/>
      <c r="W87" s="519"/>
      <c r="X87" s="520"/>
      <c r="Y87" s="531"/>
      <c r="Z87" s="522"/>
    </row>
    <row r="88">
      <c r="A88" s="528"/>
      <c r="B88" s="528"/>
      <c r="C88" s="512">
        <f>I88/E111</f>
        <v>0</v>
      </c>
      <c r="D88" s="104" t="s">
        <v>689</v>
      </c>
      <c r="E88" s="529" t="s">
        <v>690</v>
      </c>
      <c r="F88" s="195">
        <v>7.4</v>
      </c>
      <c r="G88" s="217" t="s">
        <v>128</v>
      </c>
      <c r="H88" s="217">
        <v>188443.0</v>
      </c>
      <c r="I88" s="217">
        <v>0.0</v>
      </c>
      <c r="J88" s="216">
        <v>52.87</v>
      </c>
      <c r="K88" s="568"/>
      <c r="L88" s="452"/>
      <c r="M88" s="216">
        <v>47.96</v>
      </c>
      <c r="N88" s="595">
        <f t="shared" si="49"/>
        <v>-52.87</v>
      </c>
      <c r="O88" s="518">
        <f t="shared" ref="O88:O90" si="55">M88/J88-1</f>
        <v>-0.09286930206</v>
      </c>
      <c r="P88" s="514">
        <f t="shared" si="51"/>
        <v>-17500.56989</v>
      </c>
      <c r="Q88" s="528"/>
      <c r="R88" s="528"/>
      <c r="S88" s="519" t="s">
        <v>690</v>
      </c>
      <c r="T88" s="520">
        <v>44534.0</v>
      </c>
      <c r="U88" s="521">
        <v>47.96</v>
      </c>
      <c r="V88" s="522">
        <v>170942.0</v>
      </c>
      <c r="W88" s="519" t="s">
        <v>690</v>
      </c>
      <c r="X88" s="520">
        <v>44519.0</v>
      </c>
      <c r="Y88" s="531">
        <v>52.87</v>
      </c>
      <c r="Z88" s="522">
        <v>188443.0</v>
      </c>
    </row>
    <row r="89">
      <c r="A89" s="528"/>
      <c r="B89" s="528"/>
      <c r="C89" s="512">
        <f>I89/E111</f>
        <v>0</v>
      </c>
      <c r="D89" s="344" t="s">
        <v>692</v>
      </c>
      <c r="E89" s="563" t="s">
        <v>418</v>
      </c>
      <c r="F89" s="195">
        <v>7.5</v>
      </c>
      <c r="G89" s="217" t="s">
        <v>128</v>
      </c>
      <c r="H89" s="217">
        <v>187644.0</v>
      </c>
      <c r="I89" s="217">
        <v>0.0</v>
      </c>
      <c r="J89" s="216">
        <v>154.47</v>
      </c>
      <c r="K89" s="568"/>
      <c r="L89" s="452"/>
      <c r="M89" s="216">
        <v>277.69</v>
      </c>
      <c r="N89" s="595">
        <f t="shared" si="49"/>
        <v>-154.47</v>
      </c>
      <c r="O89" s="518">
        <f t="shared" si="55"/>
        <v>0.7976953454</v>
      </c>
      <c r="P89" s="514">
        <f t="shared" si="51"/>
        <v>149682.7454</v>
      </c>
      <c r="Q89" s="528"/>
      <c r="R89" s="528"/>
      <c r="S89" s="519" t="s">
        <v>418</v>
      </c>
      <c r="T89" s="520">
        <v>44526.0</v>
      </c>
      <c r="U89" s="521">
        <v>277.69</v>
      </c>
      <c r="V89" s="522">
        <v>337327.0</v>
      </c>
      <c r="W89" s="519" t="s">
        <v>418</v>
      </c>
      <c r="X89" s="520">
        <v>44519.0</v>
      </c>
      <c r="Y89" s="531">
        <v>154.47</v>
      </c>
      <c r="Z89" s="522">
        <v>187644.0</v>
      </c>
    </row>
    <row r="90">
      <c r="A90" s="528"/>
      <c r="B90" s="528"/>
      <c r="C90" s="512">
        <f>I90/E111</f>
        <v>0</v>
      </c>
      <c r="D90" s="344" t="s">
        <v>692</v>
      </c>
      <c r="E90" s="563" t="s">
        <v>418</v>
      </c>
      <c r="F90" s="195">
        <v>7.5</v>
      </c>
      <c r="G90" s="217" t="s">
        <v>128</v>
      </c>
      <c r="H90" s="217">
        <v>137800.0</v>
      </c>
      <c r="I90" s="217">
        <v>0.0</v>
      </c>
      <c r="J90" s="216">
        <v>104.6</v>
      </c>
      <c r="K90" s="568"/>
      <c r="L90" s="452"/>
      <c r="M90" s="216">
        <v>143.3</v>
      </c>
      <c r="N90" s="595">
        <f t="shared" si="49"/>
        <v>-104.6</v>
      </c>
      <c r="O90" s="518">
        <f t="shared" si="55"/>
        <v>0.3699808795</v>
      </c>
      <c r="P90" s="514">
        <f t="shared" si="51"/>
        <v>50983.3652</v>
      </c>
      <c r="Q90" s="528"/>
      <c r="R90" s="528"/>
      <c r="S90" s="519" t="s">
        <v>418</v>
      </c>
      <c r="T90" s="520">
        <v>44487.0</v>
      </c>
      <c r="U90" s="521">
        <v>143.3</v>
      </c>
      <c r="V90" s="522">
        <v>188783.0</v>
      </c>
      <c r="W90" s="519"/>
      <c r="X90" s="520"/>
      <c r="Y90" s="531"/>
      <c r="Z90" s="522"/>
    </row>
    <row r="91">
      <c r="A91" s="528"/>
      <c r="B91" s="528"/>
      <c r="C91" s="512">
        <f>I91/E111</f>
        <v>0</v>
      </c>
      <c r="D91" s="344" t="s">
        <v>209</v>
      </c>
      <c r="E91" s="344" t="s">
        <v>210</v>
      </c>
      <c r="F91" s="195">
        <v>7.6</v>
      </c>
      <c r="G91" s="217" t="s">
        <v>128</v>
      </c>
      <c r="H91" s="217">
        <v>277665.0</v>
      </c>
      <c r="I91" s="217">
        <f>H91+P91</f>
        <v>0</v>
      </c>
      <c r="J91" s="216">
        <v>19.39</v>
      </c>
      <c r="K91" s="568"/>
      <c r="L91" s="452"/>
      <c r="M91" s="216"/>
      <c r="N91" s="595">
        <f t="shared" si="49"/>
        <v>-19.39</v>
      </c>
      <c r="O91" s="518">
        <f>L91/J91-1</f>
        <v>-1</v>
      </c>
      <c r="P91" s="514">
        <f t="shared" si="51"/>
        <v>-277665</v>
      </c>
      <c r="Q91" s="528"/>
      <c r="R91" s="528"/>
      <c r="S91" s="519"/>
      <c r="T91" s="520"/>
      <c r="U91" s="521"/>
      <c r="V91" s="522"/>
      <c r="W91" s="519" t="s">
        <v>714</v>
      </c>
      <c r="X91" s="520">
        <v>44537.0</v>
      </c>
      <c r="Y91" s="531">
        <v>19.39</v>
      </c>
      <c r="Z91" s="522">
        <v>277665.0</v>
      </c>
    </row>
    <row r="92">
      <c r="A92" s="528"/>
      <c r="B92" s="528"/>
      <c r="C92" s="512">
        <f>I92/E111</f>
        <v>0</v>
      </c>
      <c r="D92" s="344" t="s">
        <v>209</v>
      </c>
      <c r="E92" s="344" t="s">
        <v>210</v>
      </c>
      <c r="F92" s="195">
        <v>7.6</v>
      </c>
      <c r="G92" s="217" t="s">
        <v>128</v>
      </c>
      <c r="H92" s="217">
        <v>212475.0</v>
      </c>
      <c r="I92" s="217">
        <v>0.0</v>
      </c>
      <c r="J92" s="216">
        <v>27.39</v>
      </c>
      <c r="K92" s="568"/>
      <c r="L92" s="452"/>
      <c r="M92" s="216">
        <v>26.07</v>
      </c>
      <c r="N92" s="595">
        <f t="shared" si="49"/>
        <v>-27.39</v>
      </c>
      <c r="O92" s="518">
        <f t="shared" ref="O92:O94" si="56">M92/J92-1</f>
        <v>-0.04819277108</v>
      </c>
      <c r="P92" s="514">
        <f t="shared" si="51"/>
        <v>-10239.75904</v>
      </c>
      <c r="Q92" s="528"/>
      <c r="R92" s="528"/>
      <c r="S92" s="519" t="s">
        <v>210</v>
      </c>
      <c r="T92" s="520">
        <v>44526.0</v>
      </c>
      <c r="U92" s="521">
        <v>26.07</v>
      </c>
      <c r="V92" s="522">
        <v>202235.0</v>
      </c>
      <c r="W92" s="519" t="s">
        <v>210</v>
      </c>
      <c r="X92" s="520">
        <v>44519.0</v>
      </c>
      <c r="Y92" s="531">
        <v>27.39</v>
      </c>
      <c r="Z92" s="522">
        <v>212475.0</v>
      </c>
    </row>
    <row r="93">
      <c r="A93" s="528"/>
      <c r="B93" s="528"/>
      <c r="C93" s="512">
        <f>I93/E111</f>
        <v>0</v>
      </c>
      <c r="D93" s="344" t="s">
        <v>209</v>
      </c>
      <c r="E93" s="344" t="s">
        <v>210</v>
      </c>
      <c r="F93" s="195">
        <v>7.6</v>
      </c>
      <c r="G93" s="217" t="s">
        <v>128</v>
      </c>
      <c r="H93" s="217">
        <v>247560.0</v>
      </c>
      <c r="I93" s="217">
        <v>0.0</v>
      </c>
      <c r="J93" s="216">
        <v>30.71</v>
      </c>
      <c r="K93" s="568"/>
      <c r="L93" s="452"/>
      <c r="M93" s="216">
        <v>32.32</v>
      </c>
      <c r="N93" s="595">
        <f t="shared" si="49"/>
        <v>-30.71</v>
      </c>
      <c r="O93" s="518">
        <f t="shared" si="56"/>
        <v>0.0524259199</v>
      </c>
      <c r="P93" s="514">
        <f t="shared" si="51"/>
        <v>12978.56073</v>
      </c>
      <c r="Q93" s="528"/>
      <c r="R93" s="528"/>
      <c r="S93" s="519" t="s">
        <v>210</v>
      </c>
      <c r="T93" s="520">
        <v>44516.0</v>
      </c>
      <c r="U93" s="521">
        <v>32.32</v>
      </c>
      <c r="V93" s="522">
        <v>260539.0</v>
      </c>
      <c r="W93" s="519" t="s">
        <v>210</v>
      </c>
      <c r="X93" s="520">
        <v>44494.0</v>
      </c>
      <c r="Y93" s="531">
        <v>30.71</v>
      </c>
      <c r="Z93" s="522">
        <v>247560.0</v>
      </c>
    </row>
    <row r="94">
      <c r="A94" s="528"/>
      <c r="B94" s="528"/>
      <c r="C94" s="512">
        <f>I94/E111</f>
        <v>0</v>
      </c>
      <c r="D94" s="344" t="s">
        <v>209</v>
      </c>
      <c r="E94" s="344" t="s">
        <v>210</v>
      </c>
      <c r="F94" s="195">
        <v>7.6</v>
      </c>
      <c r="G94" s="217" t="s">
        <v>128</v>
      </c>
      <c r="H94" s="217">
        <v>167890.0</v>
      </c>
      <c r="I94" s="217">
        <v>0.0</v>
      </c>
      <c r="J94" s="216">
        <v>23.41</v>
      </c>
      <c r="K94" s="568"/>
      <c r="L94" s="452"/>
      <c r="M94" s="216">
        <v>30.14</v>
      </c>
      <c r="N94" s="595">
        <f t="shared" si="49"/>
        <v>-23.41</v>
      </c>
      <c r="O94" s="518">
        <f t="shared" si="56"/>
        <v>0.2874839812</v>
      </c>
      <c r="P94" s="514">
        <f t="shared" si="51"/>
        <v>48265.6856</v>
      </c>
      <c r="Q94" s="528"/>
      <c r="R94" s="528"/>
      <c r="S94" s="519" t="s">
        <v>210</v>
      </c>
      <c r="T94" s="520">
        <v>44493.0</v>
      </c>
      <c r="U94" s="521">
        <v>30.14</v>
      </c>
      <c r="V94" s="522">
        <v>216516.0</v>
      </c>
      <c r="W94" s="519"/>
      <c r="X94" s="520"/>
      <c r="Y94" s="531"/>
      <c r="Z94" s="522"/>
    </row>
    <row r="95">
      <c r="A95" s="528"/>
      <c r="B95" s="528"/>
      <c r="C95" s="512">
        <f>I95/E111</f>
        <v>0</v>
      </c>
      <c r="D95" s="104" t="s">
        <v>622</v>
      </c>
      <c r="E95" s="104" t="s">
        <v>195</v>
      </c>
      <c r="F95" s="195">
        <v>7.6</v>
      </c>
      <c r="G95" s="217" t="s">
        <v>128</v>
      </c>
      <c r="H95" s="217">
        <v>280667.0</v>
      </c>
      <c r="I95" s="217">
        <f>H95+P95</f>
        <v>0</v>
      </c>
      <c r="J95" s="216">
        <v>27.88</v>
      </c>
      <c r="K95" s="568"/>
      <c r="L95" s="452"/>
      <c r="M95" s="216"/>
      <c r="N95" s="595">
        <f t="shared" si="49"/>
        <v>-27.88</v>
      </c>
      <c r="O95" s="518">
        <f>L95/J95-1</f>
        <v>-1</v>
      </c>
      <c r="P95" s="514">
        <f t="shared" si="51"/>
        <v>-280667</v>
      </c>
      <c r="Q95" s="528"/>
      <c r="R95" s="528"/>
      <c r="S95" s="519"/>
      <c r="T95" s="520"/>
      <c r="U95" s="521"/>
      <c r="V95" s="522"/>
      <c r="W95" s="519" t="s">
        <v>195</v>
      </c>
      <c r="X95" s="520">
        <v>44537.0</v>
      </c>
      <c r="Y95" s="531">
        <v>27.88</v>
      </c>
      <c r="Z95" s="522">
        <v>280667.0</v>
      </c>
    </row>
    <row r="96">
      <c r="A96" s="528"/>
      <c r="B96" s="528"/>
      <c r="C96" s="512">
        <f>I96/E111</f>
        <v>0</v>
      </c>
      <c r="D96" s="104" t="s">
        <v>622</v>
      </c>
      <c r="E96" s="104" t="s">
        <v>195</v>
      </c>
      <c r="F96" s="195">
        <v>7.6</v>
      </c>
      <c r="G96" s="217" t="s">
        <v>128</v>
      </c>
      <c r="H96" s="217">
        <v>227880.0</v>
      </c>
      <c r="I96" s="217">
        <v>0.0</v>
      </c>
      <c r="J96" s="216">
        <v>39.47</v>
      </c>
      <c r="K96" s="568"/>
      <c r="L96" s="452"/>
      <c r="M96" s="216">
        <v>38.29</v>
      </c>
      <c r="N96" s="595">
        <f t="shared" si="49"/>
        <v>-39.47</v>
      </c>
      <c r="O96" s="518">
        <f t="shared" ref="O96:O98" si="57">M96/J96-1</f>
        <v>-0.02989612364</v>
      </c>
      <c r="P96" s="514">
        <f t="shared" si="51"/>
        <v>-6812.728655</v>
      </c>
      <c r="Q96" s="528"/>
      <c r="R96" s="528"/>
      <c r="S96" s="519" t="s">
        <v>195</v>
      </c>
      <c r="T96" s="520">
        <v>44526.0</v>
      </c>
      <c r="U96" s="521">
        <v>38.29</v>
      </c>
      <c r="V96" s="522">
        <v>221067.0</v>
      </c>
      <c r="W96" s="519" t="s">
        <v>195</v>
      </c>
      <c r="X96" s="520">
        <v>44519.0</v>
      </c>
      <c r="Y96" s="531">
        <v>39.47</v>
      </c>
      <c r="Z96" s="522">
        <v>227880.0</v>
      </c>
    </row>
    <row r="97">
      <c r="A97" s="528"/>
      <c r="B97" s="528"/>
      <c r="C97" s="512">
        <f>I97/E111</f>
        <v>0</v>
      </c>
      <c r="D97" s="104" t="s">
        <v>622</v>
      </c>
      <c r="E97" s="104" t="s">
        <v>195</v>
      </c>
      <c r="F97" s="195">
        <v>7.6</v>
      </c>
      <c r="G97" s="217" t="s">
        <v>128</v>
      </c>
      <c r="H97" s="217">
        <v>225640.0</v>
      </c>
      <c r="I97" s="217">
        <v>0.0</v>
      </c>
      <c r="J97" s="216">
        <v>43.14</v>
      </c>
      <c r="K97" s="568"/>
      <c r="L97" s="452"/>
      <c r="M97" s="216">
        <v>43.97</v>
      </c>
      <c r="N97" s="595">
        <f t="shared" si="49"/>
        <v>-43.14</v>
      </c>
      <c r="O97" s="518">
        <f t="shared" si="57"/>
        <v>0.01923968475</v>
      </c>
      <c r="P97" s="514">
        <f t="shared" si="51"/>
        <v>4341.242466</v>
      </c>
      <c r="Q97" s="528"/>
      <c r="R97" s="528"/>
      <c r="S97" s="519" t="s">
        <v>195</v>
      </c>
      <c r="T97" s="520">
        <v>44516.0</v>
      </c>
      <c r="U97" s="521">
        <v>43.97</v>
      </c>
      <c r="V97" s="522">
        <v>229981.0</v>
      </c>
      <c r="W97" s="519" t="s">
        <v>195</v>
      </c>
      <c r="X97" s="520">
        <v>44494.0</v>
      </c>
      <c r="Y97" s="531">
        <v>43.14</v>
      </c>
      <c r="Z97" s="522">
        <v>225640.0</v>
      </c>
    </row>
    <row r="98">
      <c r="A98" s="528"/>
      <c r="B98" s="528"/>
      <c r="C98" s="512">
        <f>I98/E111</f>
        <v>0</v>
      </c>
      <c r="D98" s="104" t="s">
        <v>622</v>
      </c>
      <c r="E98" s="104" t="s">
        <v>195</v>
      </c>
      <c r="F98" s="195">
        <v>7.6</v>
      </c>
      <c r="G98" s="217" t="s">
        <v>715</v>
      </c>
      <c r="H98" s="217">
        <v>180784.0</v>
      </c>
      <c r="I98" s="217">
        <v>0.0</v>
      </c>
      <c r="J98" s="216">
        <v>27.88</v>
      </c>
      <c r="K98" s="568"/>
      <c r="L98" s="452"/>
      <c r="M98" s="216">
        <v>44.48</v>
      </c>
      <c r="N98" s="595">
        <f t="shared" si="49"/>
        <v>-27.88</v>
      </c>
      <c r="O98" s="518">
        <f t="shared" si="57"/>
        <v>0.5954088953</v>
      </c>
      <c r="P98" s="514">
        <f t="shared" si="51"/>
        <v>107640.4017</v>
      </c>
      <c r="Q98" s="528"/>
      <c r="R98" s="528"/>
      <c r="S98" s="519" t="s">
        <v>195</v>
      </c>
      <c r="T98" s="520">
        <v>44490.0</v>
      </c>
      <c r="U98" s="521">
        <v>44.48</v>
      </c>
      <c r="V98" s="522">
        <v>288424.0</v>
      </c>
      <c r="W98" s="519"/>
      <c r="X98" s="520"/>
      <c r="Y98" s="531"/>
      <c r="Z98" s="522"/>
    </row>
    <row r="99">
      <c r="A99" s="528"/>
      <c r="B99" s="528"/>
      <c r="C99" s="512">
        <f>I99/E111</f>
        <v>0</v>
      </c>
      <c r="D99" s="104" t="s">
        <v>509</v>
      </c>
      <c r="E99" s="104" t="s">
        <v>510</v>
      </c>
      <c r="F99" s="195">
        <v>7.7</v>
      </c>
      <c r="G99" s="217" t="s">
        <v>128</v>
      </c>
      <c r="H99" s="217">
        <v>227888.0</v>
      </c>
      <c r="I99" s="217">
        <f>H99+P99</f>
        <v>0</v>
      </c>
      <c r="J99" s="216">
        <v>193.29</v>
      </c>
      <c r="K99" s="568"/>
      <c r="L99" s="452"/>
      <c r="M99" s="216"/>
      <c r="N99" s="595">
        <f t="shared" si="49"/>
        <v>-193.29</v>
      </c>
      <c r="O99" s="518">
        <f>L99/J99-1</f>
        <v>-1</v>
      </c>
      <c r="P99" s="514">
        <f t="shared" si="51"/>
        <v>-227888</v>
      </c>
      <c r="Q99" s="528"/>
      <c r="R99" s="528"/>
      <c r="S99" s="519"/>
      <c r="T99" s="520"/>
      <c r="U99" s="521"/>
      <c r="V99" s="522"/>
      <c r="W99" s="519" t="s">
        <v>510</v>
      </c>
      <c r="X99" s="520">
        <v>44537.0</v>
      </c>
      <c r="Y99" s="531">
        <v>193.29</v>
      </c>
      <c r="Z99" s="522">
        <v>227888.0</v>
      </c>
    </row>
    <row r="100">
      <c r="A100" s="528"/>
      <c r="B100" s="528"/>
      <c r="C100" s="512">
        <f>I100/E111</f>
        <v>0</v>
      </c>
      <c r="D100" s="104" t="s">
        <v>509</v>
      </c>
      <c r="E100" s="104" t="s">
        <v>510</v>
      </c>
      <c r="F100" s="195">
        <v>7.7</v>
      </c>
      <c r="G100" s="217" t="s">
        <v>128</v>
      </c>
      <c r="H100" s="217">
        <v>218767.0</v>
      </c>
      <c r="I100" s="217">
        <v>0.0</v>
      </c>
      <c r="J100" s="216">
        <v>200.17</v>
      </c>
      <c r="K100" s="568"/>
      <c r="L100" s="452"/>
      <c r="M100" s="216">
        <v>207.53</v>
      </c>
      <c r="N100" s="595">
        <f t="shared" si="49"/>
        <v>-200.17</v>
      </c>
      <c r="O100" s="518">
        <f t="shared" ref="O100:O104" si="58">M100/J100-1</f>
        <v>0.03676874657</v>
      </c>
      <c r="P100" s="514">
        <f t="shared" si="51"/>
        <v>8043.78838</v>
      </c>
      <c r="Q100" s="528"/>
      <c r="R100" s="528"/>
      <c r="S100" s="519" t="s">
        <v>510</v>
      </c>
      <c r="T100" s="520">
        <v>44526.0</v>
      </c>
      <c r="U100" s="521">
        <v>207.53</v>
      </c>
      <c r="V100" s="522">
        <v>226811.0</v>
      </c>
      <c r="W100" s="519" t="s">
        <v>510</v>
      </c>
      <c r="X100" s="520">
        <v>44519.0</v>
      </c>
      <c r="Y100" s="531">
        <v>200.17</v>
      </c>
      <c r="Z100" s="522">
        <v>218767.0</v>
      </c>
    </row>
    <row r="101">
      <c r="A101" s="528"/>
      <c r="B101" s="528"/>
      <c r="C101" s="512">
        <f>I101/E111</f>
        <v>0</v>
      </c>
      <c r="D101" s="104" t="s">
        <v>509</v>
      </c>
      <c r="E101" s="104" t="s">
        <v>510</v>
      </c>
      <c r="F101" s="195">
        <v>7.7</v>
      </c>
      <c r="G101" s="217" t="s">
        <v>715</v>
      </c>
      <c r="H101" s="217">
        <v>237685.0</v>
      </c>
      <c r="I101" s="217">
        <v>0.0</v>
      </c>
      <c r="J101" s="216">
        <v>206.31</v>
      </c>
      <c r="K101" s="568"/>
      <c r="L101" s="452"/>
      <c r="M101" s="216">
        <v>236.14</v>
      </c>
      <c r="N101" s="595">
        <f t="shared" si="49"/>
        <v>-206.31</v>
      </c>
      <c r="O101" s="518">
        <f t="shared" si="58"/>
        <v>0.144588241</v>
      </c>
      <c r="P101" s="514">
        <f t="shared" si="51"/>
        <v>34366.45606</v>
      </c>
      <c r="Q101" s="528"/>
      <c r="R101" s="528"/>
      <c r="S101" s="519" t="s">
        <v>510</v>
      </c>
      <c r="T101" s="520">
        <v>44516.0</v>
      </c>
      <c r="U101" s="521">
        <v>236.14</v>
      </c>
      <c r="V101" s="522">
        <v>272051.0</v>
      </c>
      <c r="W101" s="519" t="s">
        <v>510</v>
      </c>
      <c r="X101" s="520">
        <v>44494.0</v>
      </c>
      <c r="Y101" s="531">
        <v>206.31</v>
      </c>
      <c r="Z101" s="522">
        <v>237685.0</v>
      </c>
    </row>
    <row r="102">
      <c r="A102" s="528"/>
      <c r="B102" s="528"/>
      <c r="C102" s="512">
        <f>I102/E111</f>
        <v>0</v>
      </c>
      <c r="D102" s="104" t="s">
        <v>509</v>
      </c>
      <c r="E102" s="104" t="s">
        <v>510</v>
      </c>
      <c r="F102" s="195">
        <v>7.7</v>
      </c>
      <c r="G102" s="217" t="s">
        <v>715</v>
      </c>
      <c r="H102" s="217">
        <v>185408.0</v>
      </c>
      <c r="I102" s="217">
        <v>0.0</v>
      </c>
      <c r="J102" s="216">
        <v>137.94</v>
      </c>
      <c r="K102" s="568"/>
      <c r="L102" s="452"/>
      <c r="M102" s="216">
        <v>190.47</v>
      </c>
      <c r="N102" s="595">
        <f t="shared" si="49"/>
        <v>-137.94</v>
      </c>
      <c r="O102" s="518">
        <f t="shared" si="58"/>
        <v>0.3808177468</v>
      </c>
      <c r="P102" s="514">
        <f t="shared" si="51"/>
        <v>70606.65681</v>
      </c>
      <c r="Q102" s="528"/>
      <c r="R102" s="528"/>
      <c r="S102" s="519" t="s">
        <v>510</v>
      </c>
      <c r="T102" s="520">
        <v>44490.0</v>
      </c>
      <c r="U102" s="521">
        <v>190.47</v>
      </c>
      <c r="V102" s="522">
        <v>256015.0</v>
      </c>
      <c r="W102" s="519"/>
      <c r="X102" s="520"/>
      <c r="Y102" s="531"/>
      <c r="Z102" s="522"/>
    </row>
    <row r="103">
      <c r="A103" s="528"/>
      <c r="B103" s="528"/>
      <c r="C103" s="512">
        <f>I103/E111</f>
        <v>0</v>
      </c>
      <c r="D103" s="344" t="s">
        <v>513</v>
      </c>
      <c r="E103" s="344" t="s">
        <v>514</v>
      </c>
      <c r="F103" s="195">
        <v>7.5</v>
      </c>
      <c r="G103" s="217" t="s">
        <v>128</v>
      </c>
      <c r="H103" s="217">
        <v>227681.0</v>
      </c>
      <c r="I103" s="217">
        <v>0.0</v>
      </c>
      <c r="J103" s="216">
        <v>287.1</v>
      </c>
      <c r="K103" s="568"/>
      <c r="L103" s="452"/>
      <c r="M103" s="216">
        <v>219.0</v>
      </c>
      <c r="N103" s="595">
        <f t="shared" si="49"/>
        <v>-287.1</v>
      </c>
      <c r="O103" s="518">
        <f t="shared" si="58"/>
        <v>-0.237199582</v>
      </c>
      <c r="P103" s="514">
        <f t="shared" si="51"/>
        <v>-54005.83804</v>
      </c>
      <c r="Q103" s="528"/>
      <c r="R103" s="528"/>
      <c r="S103" s="519" t="s">
        <v>514</v>
      </c>
      <c r="T103" s="520">
        <v>44534.0</v>
      </c>
      <c r="U103" s="521">
        <v>219.0</v>
      </c>
      <c r="V103" s="522">
        <v>173675.0</v>
      </c>
      <c r="W103" s="519" t="s">
        <v>514</v>
      </c>
      <c r="X103" s="520">
        <v>44494.0</v>
      </c>
      <c r="Y103" s="531">
        <v>287.1</v>
      </c>
      <c r="Z103" s="522">
        <v>227681.0</v>
      </c>
    </row>
    <row r="104">
      <c r="A104" s="528"/>
      <c r="B104" s="528"/>
      <c r="C104" s="512">
        <f>I104/E111</f>
        <v>0</v>
      </c>
      <c r="D104" s="344" t="s">
        <v>513</v>
      </c>
      <c r="E104" s="344" t="s">
        <v>514</v>
      </c>
      <c r="F104" s="195">
        <v>7.5</v>
      </c>
      <c r="G104" s="217" t="s">
        <v>128</v>
      </c>
      <c r="H104" s="217">
        <v>125700.0</v>
      </c>
      <c r="I104" s="217">
        <v>0.0</v>
      </c>
      <c r="J104" s="216">
        <v>248.7</v>
      </c>
      <c r="K104" s="568"/>
      <c r="L104" s="452"/>
      <c r="M104" s="216">
        <v>260.8</v>
      </c>
      <c r="N104" s="595">
        <f t="shared" si="49"/>
        <v>-248.7</v>
      </c>
      <c r="O104" s="518">
        <f t="shared" si="58"/>
        <v>0.04865299558</v>
      </c>
      <c r="P104" s="514">
        <f t="shared" si="51"/>
        <v>6115.681544</v>
      </c>
      <c r="Q104" s="528"/>
      <c r="R104" s="528"/>
      <c r="S104" s="519" t="s">
        <v>514</v>
      </c>
      <c r="T104" s="520">
        <v>44487.0</v>
      </c>
      <c r="U104" s="521">
        <v>260.8</v>
      </c>
      <c r="V104" s="522">
        <v>131816.0</v>
      </c>
      <c r="W104" s="519"/>
      <c r="X104" s="520"/>
      <c r="Y104" s="531"/>
      <c r="Z104" s="522"/>
    </row>
    <row r="105">
      <c r="A105" s="13"/>
      <c r="B105" s="13"/>
      <c r="C105" s="173"/>
      <c r="D105" s="173"/>
      <c r="E105" s="173"/>
      <c r="F105" s="173"/>
      <c r="G105" s="509"/>
      <c r="H105" s="509">
        <f>SUM(H78:H104)</f>
        <v>6194053</v>
      </c>
      <c r="I105" s="193">
        <v>1666963.0</v>
      </c>
      <c r="J105" s="607"/>
      <c r="K105" s="173"/>
      <c r="L105" s="13"/>
      <c r="M105" s="173"/>
      <c r="N105" s="173"/>
      <c r="O105" s="541">
        <f>F109</f>
        <v>0.3457117376</v>
      </c>
      <c r="P105" s="193">
        <v>696577.0</v>
      </c>
      <c r="Q105" s="173"/>
      <c r="R105" s="173"/>
      <c r="S105" s="510" t="s">
        <v>89</v>
      </c>
      <c r="T105" s="542"/>
      <c r="U105" s="543"/>
      <c r="V105" s="570">
        <f>SUM(V78:V104)</f>
        <v>5224025</v>
      </c>
      <c r="W105" s="510" t="s">
        <v>89</v>
      </c>
      <c r="X105" s="542"/>
      <c r="Y105" s="608"/>
      <c r="Z105" s="544">
        <f>SUM(Z78:Z104)</f>
        <v>4179146</v>
      </c>
    </row>
    <row r="106">
      <c r="A106" s="13" t="s">
        <v>227</v>
      </c>
      <c r="B106" s="13" t="s">
        <v>228</v>
      </c>
      <c r="C106" s="504"/>
      <c r="D106" s="504" t="s">
        <v>624</v>
      </c>
      <c r="E106" s="504" t="s">
        <v>716</v>
      </c>
      <c r="F106" s="504" t="s">
        <v>14</v>
      </c>
      <c r="G106" s="504" t="s">
        <v>626</v>
      </c>
      <c r="H106" s="13" t="s">
        <v>233</v>
      </c>
      <c r="I106" s="13" t="s">
        <v>234</v>
      </c>
      <c r="J106" s="609" t="s">
        <v>627</v>
      </c>
      <c r="K106" s="609" t="s">
        <v>423</v>
      </c>
      <c r="L106" s="173"/>
      <c r="M106" s="173"/>
      <c r="N106" s="173"/>
      <c r="O106" s="173"/>
      <c r="P106" s="173"/>
      <c r="Q106" s="173"/>
      <c r="R106" s="610"/>
      <c r="S106" s="610"/>
      <c r="T106" s="610"/>
      <c r="U106" s="610"/>
      <c r="V106" s="610"/>
      <c r="W106" s="610"/>
      <c r="X106" s="610"/>
      <c r="Y106" s="610"/>
      <c r="Z106" s="610"/>
    </row>
    <row r="107">
      <c r="A107" s="344" t="s">
        <v>374</v>
      </c>
      <c r="B107" s="512" t="str">
        <f>E107/E111</f>
        <v>#N/A</v>
      </c>
      <c r="C107" s="514"/>
      <c r="D107" s="611">
        <v>4376803.0</v>
      </c>
      <c r="E107" s="217" t="str">
        <f>I55+I43+I34+I26+I18+I62</f>
        <v>#N/A</v>
      </c>
      <c r="F107" s="518">
        <f t="shared" ref="F107:F109" si="59">G107/D107</f>
        <v>-0.003154814142</v>
      </c>
      <c r="G107" s="612">
        <v>-13808.0</v>
      </c>
      <c r="H107" s="612">
        <v>171877.0</v>
      </c>
      <c r="I107" s="612">
        <f>R76+R62+R55+R43+R34+R18</f>
        <v>23949</v>
      </c>
      <c r="J107" s="612">
        <v>159642.0</v>
      </c>
      <c r="K107" s="612">
        <f>G107+H107+I107+J107</f>
        <v>341660</v>
      </c>
      <c r="L107" s="528"/>
      <c r="M107" s="528"/>
      <c r="N107" s="528"/>
      <c r="O107" s="528"/>
      <c r="P107" s="528"/>
      <c r="Q107" s="528"/>
      <c r="R107" s="610"/>
      <c r="S107" s="610"/>
      <c r="T107" s="610"/>
      <c r="U107" s="610"/>
      <c r="V107" s="610"/>
      <c r="W107" s="610"/>
      <c r="X107" s="610"/>
      <c r="Y107" s="610"/>
      <c r="Z107" s="610"/>
    </row>
    <row r="108">
      <c r="A108" s="344" t="s">
        <v>409</v>
      </c>
      <c r="B108" s="512" t="str">
        <f>E108/E111</f>
        <v>#N/A</v>
      </c>
      <c r="C108" s="514"/>
      <c r="D108" s="217">
        <v>1618910.0</v>
      </c>
      <c r="E108" s="217" t="str">
        <f>I76</f>
        <v>#N/A</v>
      </c>
      <c r="F108" s="518">
        <f t="shared" si="59"/>
        <v>0.05993230013</v>
      </c>
      <c r="G108" s="612">
        <v>97025.0</v>
      </c>
      <c r="H108" s="613"/>
      <c r="I108" s="518"/>
      <c r="J108" s="518"/>
      <c r="K108" s="518">
        <f>K107/D107</f>
        <v>0.07806154401</v>
      </c>
      <c r="L108" s="528"/>
      <c r="M108" s="528"/>
      <c r="N108" s="528"/>
      <c r="O108" s="528"/>
      <c r="P108" s="528"/>
      <c r="Q108" s="528"/>
      <c r="R108" s="610"/>
      <c r="S108" s="610"/>
      <c r="T108" s="610"/>
      <c r="U108" s="610"/>
      <c r="V108" s="610"/>
      <c r="W108" s="610"/>
      <c r="X108" s="610"/>
      <c r="Y108" s="610"/>
      <c r="Z108" s="610"/>
    </row>
    <row r="109">
      <c r="A109" s="344" t="s">
        <v>240</v>
      </c>
      <c r="B109" s="512">
        <f>E109/E111</f>
        <v>0.1724904794</v>
      </c>
      <c r="C109" s="514"/>
      <c r="D109" s="217">
        <v>2014907.0</v>
      </c>
      <c r="E109" s="217">
        <v>1666963.0</v>
      </c>
      <c r="F109" s="518">
        <f t="shared" si="59"/>
        <v>0.3457117376</v>
      </c>
      <c r="G109" s="612">
        <v>696577.0</v>
      </c>
      <c r="H109" s="614"/>
      <c r="I109" s="614"/>
      <c r="J109" s="614"/>
      <c r="K109" s="614"/>
      <c r="L109" s="528"/>
      <c r="M109" s="528"/>
      <c r="N109" s="528"/>
      <c r="O109" s="528"/>
      <c r="P109" s="528"/>
      <c r="Q109" s="528"/>
      <c r="R109" s="610"/>
      <c r="S109" s="610"/>
      <c r="T109" s="610"/>
      <c r="U109" s="610"/>
      <c r="V109" s="610"/>
      <c r="W109" s="610"/>
      <c r="X109" s="610"/>
      <c r="Y109" s="610"/>
      <c r="Z109" s="610"/>
    </row>
    <row r="110">
      <c r="A110" s="344" t="s">
        <v>461</v>
      </c>
      <c r="B110" s="512">
        <f>E110/E111</f>
        <v>0.05531748628</v>
      </c>
      <c r="C110" s="514"/>
      <c r="D110" s="217">
        <v>518205.0</v>
      </c>
      <c r="E110" s="217">
        <f>D110+V105+V62+V55+V76+V43+V34+V26+V18+J107+I107+H107-(Z18+Z26+Z34+Z43+Z55+Z62+Z76+Z105)</f>
        <v>534593</v>
      </c>
      <c r="F110" s="588" t="s">
        <v>128</v>
      </c>
      <c r="G110" s="612">
        <v>355468.0</v>
      </c>
      <c r="H110" s="224"/>
      <c r="I110" s="224"/>
      <c r="J110" s="224"/>
      <c r="K110" s="224"/>
      <c r="L110" s="528"/>
      <c r="M110" s="528"/>
      <c r="N110" s="528"/>
      <c r="O110" s="528"/>
      <c r="P110" s="528"/>
      <c r="Q110" s="528"/>
      <c r="R110" s="610"/>
      <c r="S110" s="610"/>
      <c r="T110" s="610"/>
      <c r="U110" s="610"/>
      <c r="V110" s="610"/>
      <c r="W110" s="610"/>
      <c r="X110" s="610"/>
      <c r="Y110" s="610"/>
      <c r="Z110" s="610"/>
    </row>
    <row r="111">
      <c r="A111" s="13" t="s">
        <v>246</v>
      </c>
      <c r="B111" s="615">
        <v>1.0</v>
      </c>
      <c r="C111" s="616"/>
      <c r="D111" s="193">
        <f>SUM(D107:D110)</f>
        <v>8528825</v>
      </c>
      <c r="E111" s="193">
        <f>D111+G111</f>
        <v>9664087</v>
      </c>
      <c r="F111" s="518">
        <f>G111/D111</f>
        <v>0.1331088397</v>
      </c>
      <c r="G111" s="193">
        <f>SUM(G107:G110)</f>
        <v>1135262</v>
      </c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610"/>
      <c r="S111" s="610"/>
      <c r="T111" s="610"/>
      <c r="U111" s="610"/>
      <c r="V111" s="610"/>
      <c r="W111" s="610"/>
      <c r="X111" s="610"/>
      <c r="Y111" s="610"/>
      <c r="Z111" s="610"/>
    </row>
    <row r="113">
      <c r="A113" s="201" t="s">
        <v>248</v>
      </c>
      <c r="B113" s="617"/>
      <c r="C113" s="618" t="s">
        <v>717</v>
      </c>
      <c r="D113" s="618" t="s">
        <v>718</v>
      </c>
      <c r="E113" s="619" t="s">
        <v>15</v>
      </c>
      <c r="F113" s="620" t="s">
        <v>578</v>
      </c>
    </row>
    <row r="114">
      <c r="A114" s="89" t="s">
        <v>265</v>
      </c>
      <c r="B114" s="16" t="s">
        <v>266</v>
      </c>
      <c r="C114" s="645">
        <v>33968.0</v>
      </c>
      <c r="D114" s="621">
        <v>36338.0</v>
      </c>
      <c r="E114" s="206">
        <f t="shared" ref="E114:E118" si="60">D114-C114</f>
        <v>2370</v>
      </c>
      <c r="F114" s="622">
        <f t="shared" ref="F114:F118" si="61">D114/C114-1</f>
        <v>0.06977154969</v>
      </c>
    </row>
    <row r="115">
      <c r="A115" s="89" t="s">
        <v>267</v>
      </c>
      <c r="B115" s="16" t="s">
        <v>268</v>
      </c>
      <c r="C115" s="645">
        <v>4310.0</v>
      </c>
      <c r="D115" s="621">
        <v>4766.0</v>
      </c>
      <c r="E115" s="206">
        <f t="shared" si="60"/>
        <v>456</v>
      </c>
      <c r="F115" s="622">
        <f t="shared" si="61"/>
        <v>0.105800464</v>
      </c>
    </row>
    <row r="116">
      <c r="A116" s="89" t="s">
        <v>269</v>
      </c>
      <c r="B116" s="16" t="s">
        <v>270</v>
      </c>
      <c r="C116" s="645">
        <v>14416.0</v>
      </c>
      <c r="D116" s="621">
        <v>15645.0</v>
      </c>
      <c r="E116" s="206">
        <f t="shared" si="60"/>
        <v>1229</v>
      </c>
      <c r="F116" s="622">
        <f t="shared" si="61"/>
        <v>0.08525249723</v>
      </c>
    </row>
    <row r="117">
      <c r="A117" s="89" t="s">
        <v>271</v>
      </c>
      <c r="B117" s="16" t="s">
        <v>272</v>
      </c>
      <c r="C117" s="645">
        <v>2208.0</v>
      </c>
      <c r="D117" s="621">
        <v>2245.0</v>
      </c>
      <c r="E117" s="206">
        <f t="shared" si="60"/>
        <v>37</v>
      </c>
      <c r="F117" s="622">
        <f t="shared" si="61"/>
        <v>0.01675724638</v>
      </c>
    </row>
    <row r="118">
      <c r="A118" s="89" t="s">
        <v>273</v>
      </c>
      <c r="B118" s="16" t="s">
        <v>274</v>
      </c>
      <c r="C118" s="645">
        <v>16178.0</v>
      </c>
      <c r="D118" s="621">
        <v>17164.0</v>
      </c>
      <c r="E118" s="206">
        <f t="shared" si="60"/>
        <v>986</v>
      </c>
      <c r="F118" s="622">
        <f t="shared" si="61"/>
        <v>0.06094696501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13"/>
    <col customWidth="1" min="3" max="3" width="20.0"/>
    <col customWidth="1" min="4" max="4" width="20.13"/>
    <col customWidth="1" min="5" max="5" width="24.13"/>
    <col customWidth="1" min="6" max="6" width="10.38"/>
    <col customWidth="1" min="7" max="7" width="11.13"/>
    <col customWidth="1" min="8" max="8" width="22.63"/>
    <col customWidth="1" min="9" max="9" width="23.75"/>
    <col customWidth="1" min="10" max="10" width="17.38"/>
    <col customWidth="1" min="11" max="11" width="18.13"/>
    <col customWidth="1" min="12" max="12" width="11.25"/>
    <col customWidth="1" min="13" max="13" width="9.13"/>
    <col customWidth="1" min="14" max="14" width="11.13"/>
    <col customWidth="1" min="15" max="15" width="10.63"/>
    <col customWidth="1" min="16" max="16" width="8.88"/>
    <col customWidth="1" min="17" max="17" width="7.75"/>
    <col customWidth="1" min="18" max="18" width="9.63"/>
    <col customWidth="1" min="19" max="19" width="13.25"/>
    <col customWidth="1" min="20" max="20" width="7.63"/>
    <col customWidth="1" min="21" max="21" width="9.13"/>
    <col customWidth="1" min="22" max="22" width="11.38"/>
    <col customWidth="1" min="23" max="23" width="13.0"/>
    <col customWidth="1" min="24" max="24" width="9.75"/>
    <col customWidth="1" min="25" max="25" width="10.25"/>
    <col customWidth="1" min="26" max="26" width="10.88"/>
  </cols>
  <sheetData>
    <row r="1">
      <c r="A1" s="502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9"/>
      <c r="T1" s="229"/>
      <c r="U1" s="229"/>
      <c r="V1" s="229"/>
      <c r="W1" s="229"/>
      <c r="X1" s="229"/>
      <c r="Y1" s="229"/>
      <c r="Z1" s="229"/>
    </row>
    <row r="2">
      <c r="A2" s="13" t="s">
        <v>374</v>
      </c>
      <c r="B2" s="504" t="s">
        <v>719</v>
      </c>
      <c r="C2" s="504" t="s">
        <v>2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7</v>
      </c>
      <c r="I2" s="505" t="s">
        <v>8</v>
      </c>
      <c r="J2" s="505" t="s">
        <v>9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14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02" t="s">
        <v>29</v>
      </c>
      <c r="B3" s="502" t="s">
        <v>29</v>
      </c>
      <c r="C3" s="512">
        <f>I3/E102</f>
        <v>0.001355567736</v>
      </c>
      <c r="D3" s="344" t="s">
        <v>30</v>
      </c>
      <c r="E3" s="344" t="s">
        <v>31</v>
      </c>
      <c r="F3" s="195">
        <v>8.5</v>
      </c>
      <c r="G3" s="513">
        <v>60.0</v>
      </c>
      <c r="H3" s="217">
        <f t="shared" ref="H3:H16" si="1">G3*J3</f>
        <v>150379.2</v>
      </c>
      <c r="I3" s="514">
        <f t="shared" ref="I3:I6" si="2">H3+P3</f>
        <v>11561.4</v>
      </c>
      <c r="J3" s="216">
        <v>2506.32</v>
      </c>
      <c r="K3" s="515">
        <f>IFERROR(__xludf.DUMMYFUNCTION("GOOGLEFINANCE(E3,""changepct"")"),-0.7)</f>
        <v>-0.7</v>
      </c>
      <c r="L3" s="516">
        <f>IFERROR(__xludf.DUMMYFUNCTION("googlefinance(E3,""price"")"),192.69)</f>
        <v>192.69</v>
      </c>
      <c r="M3" s="517"/>
      <c r="N3" s="517">
        <f t="shared" ref="N3:N16" si="3">L3-J3</f>
        <v>-2313.63</v>
      </c>
      <c r="O3" s="518">
        <f t="shared" ref="O3:O6" si="4">L3/J3-1</f>
        <v>-0.9231183568</v>
      </c>
      <c r="P3" s="514">
        <f t="shared" ref="P3:P16" si="5">H3*O3</f>
        <v>-138817.8</v>
      </c>
      <c r="Q3" s="512"/>
      <c r="R3" s="514"/>
      <c r="S3" s="523"/>
      <c r="T3" s="524"/>
      <c r="U3" s="525"/>
      <c r="V3" s="526"/>
      <c r="W3" s="523"/>
      <c r="X3" s="524"/>
      <c r="Y3" s="525"/>
      <c r="Z3" s="526"/>
    </row>
    <row r="4">
      <c r="A4" s="527">
        <f>B98</f>
        <v>0.4669103892</v>
      </c>
      <c r="B4" s="527" t="str">
        <f>I17/E102</f>
        <v>#N/A</v>
      </c>
      <c r="C4" s="512">
        <f>I4/E102</f>
        <v>0.01086081611</v>
      </c>
      <c r="D4" s="344" t="s">
        <v>632</v>
      </c>
      <c r="E4" s="344" t="s">
        <v>674</v>
      </c>
      <c r="F4" s="195">
        <v>8.2</v>
      </c>
      <c r="G4" s="513">
        <v>500.0</v>
      </c>
      <c r="H4" s="217">
        <f t="shared" si="1"/>
        <v>173855</v>
      </c>
      <c r="I4" s="514">
        <f t="shared" si="2"/>
        <v>92630</v>
      </c>
      <c r="J4" s="216">
        <v>347.71</v>
      </c>
      <c r="K4" s="515">
        <f>IFERROR(__xludf.DUMMYFUNCTION("GOOGLEFINANCE(E4,""changepct"")"),0.0)</f>
        <v>0</v>
      </c>
      <c r="L4" s="516">
        <f>IFERROR(__xludf.DUMMYFUNCTION("googlefinance(E4,""price"")"),185.26)</f>
        <v>185.26</v>
      </c>
      <c r="M4" s="517"/>
      <c r="N4" s="517">
        <f t="shared" si="3"/>
        <v>-162.45</v>
      </c>
      <c r="O4" s="518">
        <f t="shared" si="4"/>
        <v>-0.4671996779</v>
      </c>
      <c r="P4" s="514">
        <f t="shared" si="5"/>
        <v>-81225</v>
      </c>
      <c r="Q4" s="512"/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528"/>
      <c r="B5" s="528"/>
      <c r="C5" s="512">
        <f>I5/E102</f>
        <v>0.008564690916</v>
      </c>
      <c r="D5" s="529" t="s">
        <v>648</v>
      </c>
      <c r="E5" s="529" t="s">
        <v>36</v>
      </c>
      <c r="F5" s="530">
        <v>7.8</v>
      </c>
      <c r="G5" s="513">
        <v>175.0</v>
      </c>
      <c r="H5" s="217">
        <f t="shared" si="1"/>
        <v>118947.5</v>
      </c>
      <c r="I5" s="514">
        <f t="shared" si="2"/>
        <v>73046.75</v>
      </c>
      <c r="J5" s="216">
        <v>679.7</v>
      </c>
      <c r="K5" s="515">
        <f>IFERROR(__xludf.DUMMYFUNCTION("GOOGLEFINANCE(E5,""changepct"")"),-3.3)</f>
        <v>-3.3</v>
      </c>
      <c r="L5" s="516">
        <f>IFERROR(__xludf.DUMMYFUNCTION("googlefinance(E5,""price"")"),417.41)</f>
        <v>417.41</v>
      </c>
      <c r="M5" s="216"/>
      <c r="N5" s="517">
        <f t="shared" si="3"/>
        <v>-262.29</v>
      </c>
      <c r="O5" s="518">
        <f t="shared" si="4"/>
        <v>-0.3858908342</v>
      </c>
      <c r="P5" s="514">
        <f t="shared" si="5"/>
        <v>-45900.75</v>
      </c>
      <c r="Q5" s="512"/>
      <c r="R5" s="514"/>
      <c r="S5" s="519"/>
      <c r="T5" s="520"/>
      <c r="U5" s="521"/>
      <c r="V5" s="522"/>
      <c r="W5" s="519"/>
      <c r="X5" s="520"/>
      <c r="Y5" s="521"/>
      <c r="Z5" s="522"/>
    </row>
    <row r="6">
      <c r="A6" s="528"/>
      <c r="B6" s="528"/>
      <c r="C6" s="512">
        <f>I6/E102</f>
        <v>0.01435602208</v>
      </c>
      <c r="D6" s="534" t="s">
        <v>558</v>
      </c>
      <c r="E6" s="535" t="s">
        <v>40</v>
      </c>
      <c r="F6" s="533">
        <v>8.1</v>
      </c>
      <c r="G6" s="513">
        <v>1000.0</v>
      </c>
      <c r="H6" s="217">
        <f t="shared" si="1"/>
        <v>102570</v>
      </c>
      <c r="I6" s="514">
        <f t="shared" si="2"/>
        <v>122440</v>
      </c>
      <c r="J6" s="216">
        <v>102.57</v>
      </c>
      <c r="K6" s="515">
        <f>IFERROR(__xludf.DUMMYFUNCTION("GOOGLEFINANCE(E6,""changepct"")"),-2.2)</f>
        <v>-2.2</v>
      </c>
      <c r="L6" s="516">
        <f>IFERROR(__xludf.DUMMYFUNCTION("googlefinance(E6,""price"")"),122.44)</f>
        <v>122.44</v>
      </c>
      <c r="M6" s="216"/>
      <c r="N6" s="517">
        <f t="shared" si="3"/>
        <v>19.87</v>
      </c>
      <c r="O6" s="518">
        <f t="shared" si="4"/>
        <v>0.193721361</v>
      </c>
      <c r="P6" s="514">
        <f t="shared" si="5"/>
        <v>19870</v>
      </c>
      <c r="Q6" s="512"/>
      <c r="R6" s="514"/>
      <c r="S6" s="519"/>
      <c r="T6" s="520"/>
      <c r="U6" s="521"/>
      <c r="V6" s="522"/>
      <c r="W6" s="519" t="s">
        <v>40</v>
      </c>
      <c r="X6" s="520">
        <v>44461.0</v>
      </c>
      <c r="Y6" s="521">
        <v>102.57</v>
      </c>
      <c r="Z6" s="522">
        <v>102570.0</v>
      </c>
    </row>
    <row r="7">
      <c r="A7" s="528"/>
      <c r="B7" s="528"/>
      <c r="C7" s="512">
        <f>I7/E102</f>
        <v>0</v>
      </c>
      <c r="D7" s="534" t="s">
        <v>558</v>
      </c>
      <c r="E7" s="535" t="s">
        <v>40</v>
      </c>
      <c r="F7" s="533">
        <v>8.1</v>
      </c>
      <c r="G7" s="513">
        <v>1000.0</v>
      </c>
      <c r="H7" s="217">
        <f t="shared" si="1"/>
        <v>106240</v>
      </c>
      <c r="I7" s="217">
        <v>0.0</v>
      </c>
      <c r="J7" s="216">
        <v>106.24</v>
      </c>
      <c r="K7" s="515">
        <f>IFERROR(__xludf.DUMMYFUNCTION("GOOGLEFINANCE(E7,""changepct"")"),-2.2)</f>
        <v>-2.2</v>
      </c>
      <c r="L7" s="516">
        <f>IFERROR(__xludf.DUMMYFUNCTION("googlefinance(E7,""price"")"),122.44)</f>
        <v>122.44</v>
      </c>
      <c r="M7" s="216">
        <v>106.37</v>
      </c>
      <c r="N7" s="517">
        <f t="shared" si="3"/>
        <v>16.2</v>
      </c>
      <c r="O7" s="518">
        <f t="shared" ref="O7:O10" si="6">M7/J7-1</f>
        <v>0.001223644578</v>
      </c>
      <c r="P7" s="514">
        <f t="shared" si="5"/>
        <v>130</v>
      </c>
      <c r="Q7" s="512"/>
      <c r="R7" s="514"/>
      <c r="S7" s="519" t="s">
        <v>40</v>
      </c>
      <c r="T7" s="520">
        <v>44449.0</v>
      </c>
      <c r="U7" s="521">
        <v>106.37</v>
      </c>
      <c r="V7" s="522">
        <v>106370.0</v>
      </c>
      <c r="W7" s="519" t="s">
        <v>40</v>
      </c>
      <c r="X7" s="520">
        <v>44419.0</v>
      </c>
      <c r="Y7" s="521">
        <v>106.24</v>
      </c>
      <c r="Z7" s="522">
        <v>106240.0</v>
      </c>
    </row>
    <row r="8">
      <c r="A8" s="528"/>
      <c r="B8" s="528"/>
      <c r="C8" s="512">
        <f>I8/E102</f>
        <v>0</v>
      </c>
      <c r="D8" s="104" t="s">
        <v>558</v>
      </c>
      <c r="E8" s="104" t="s">
        <v>40</v>
      </c>
      <c r="F8" s="569">
        <v>8.1</v>
      </c>
      <c r="G8" s="513">
        <v>1250.0</v>
      </c>
      <c r="H8" s="217">
        <f t="shared" si="1"/>
        <v>117412.5</v>
      </c>
      <c r="I8" s="217">
        <v>0.0</v>
      </c>
      <c r="J8" s="216">
        <v>93.93</v>
      </c>
      <c r="K8" s="515">
        <f>IFERROR(__xludf.DUMMYFUNCTION("GOOGLEFINANCE(E8,""changepct"")"),-2.2)</f>
        <v>-2.2</v>
      </c>
      <c r="L8" s="516">
        <f>IFERROR(__xludf.DUMMYFUNCTION("googlefinance(E8,""price"")"),122.44)</f>
        <v>122.44</v>
      </c>
      <c r="M8" s="216">
        <v>115.82</v>
      </c>
      <c r="N8" s="517">
        <f t="shared" si="3"/>
        <v>28.51</v>
      </c>
      <c r="O8" s="518">
        <f t="shared" si="6"/>
        <v>0.2330458852</v>
      </c>
      <c r="P8" s="514">
        <f t="shared" si="5"/>
        <v>27362.5</v>
      </c>
      <c r="Q8" s="512"/>
      <c r="R8" s="514"/>
      <c r="S8" s="519" t="s">
        <v>40</v>
      </c>
      <c r="T8" s="520">
        <v>44412.0</v>
      </c>
      <c r="U8" s="521">
        <v>115.82</v>
      </c>
      <c r="V8" s="522">
        <v>144775.0</v>
      </c>
      <c r="W8" s="519"/>
      <c r="X8" s="520"/>
      <c r="Y8" s="521"/>
      <c r="Z8" s="522"/>
    </row>
    <row r="9">
      <c r="A9" s="528"/>
      <c r="B9" s="528"/>
      <c r="C9" s="512">
        <f>I9/E102</f>
        <v>0</v>
      </c>
      <c r="D9" s="104" t="s">
        <v>720</v>
      </c>
      <c r="E9" s="104" t="s">
        <v>68</v>
      </c>
      <c r="F9" s="569">
        <v>7.1</v>
      </c>
      <c r="G9" s="513">
        <v>1250.0</v>
      </c>
      <c r="H9" s="217">
        <f t="shared" si="1"/>
        <v>103937.5</v>
      </c>
      <c r="I9" s="217">
        <v>0.0</v>
      </c>
      <c r="J9" s="216">
        <v>83.15</v>
      </c>
      <c r="K9" s="515">
        <f>IFERROR(__xludf.DUMMYFUNCTION("GOOGLEFINANCE(E9,""changepct"")"),-3.62)</f>
        <v>-3.62</v>
      </c>
      <c r="L9" s="516">
        <f>IFERROR(__xludf.DUMMYFUNCTION("googlefinance(E9,""price"")"),85.31)</f>
        <v>85.31</v>
      </c>
      <c r="M9" s="216">
        <v>75.06</v>
      </c>
      <c r="N9" s="517">
        <f t="shared" si="3"/>
        <v>2.16</v>
      </c>
      <c r="O9" s="518">
        <f t="shared" si="6"/>
        <v>-0.0972940469</v>
      </c>
      <c r="P9" s="514">
        <f t="shared" si="5"/>
        <v>-10112.5</v>
      </c>
      <c r="Q9" s="512"/>
      <c r="R9" s="514"/>
      <c r="S9" s="519" t="s">
        <v>68</v>
      </c>
      <c r="T9" s="520">
        <v>44449.0</v>
      </c>
      <c r="U9" s="521">
        <v>75.06</v>
      </c>
      <c r="V9" s="522">
        <v>93825.0</v>
      </c>
      <c r="W9" s="519"/>
      <c r="X9" s="520"/>
      <c r="Y9" s="521"/>
      <c r="Z9" s="522"/>
    </row>
    <row r="10">
      <c r="A10" s="528"/>
      <c r="B10" s="528"/>
      <c r="C10" s="512">
        <f>I10/E102</f>
        <v>0</v>
      </c>
      <c r="D10" s="104" t="s">
        <v>44</v>
      </c>
      <c r="E10" s="104" t="s">
        <v>43</v>
      </c>
      <c r="F10" s="569">
        <v>7.2</v>
      </c>
      <c r="G10" s="513">
        <v>40.0</v>
      </c>
      <c r="H10" s="217">
        <f t="shared" si="1"/>
        <v>137525.6</v>
      </c>
      <c r="I10" s="217">
        <v>0.0</v>
      </c>
      <c r="J10" s="216">
        <v>3438.14</v>
      </c>
      <c r="K10" s="515">
        <f>IFERROR(__xludf.DUMMYFUNCTION("GOOGLEFINANCE(E10,""changepct"")"),-1.09)</f>
        <v>-1.09</v>
      </c>
      <c r="L10" s="516">
        <f>IFERROR(__xludf.DUMMYFUNCTION("googlefinance(E10,""price"")"),221.3)</f>
        <v>221.3</v>
      </c>
      <c r="M10" s="216">
        <v>3496.21</v>
      </c>
      <c r="N10" s="517">
        <f t="shared" si="3"/>
        <v>-3216.84</v>
      </c>
      <c r="O10" s="518">
        <f t="shared" si="6"/>
        <v>0.01688994631</v>
      </c>
      <c r="P10" s="514">
        <f t="shared" si="5"/>
        <v>2322.8</v>
      </c>
      <c r="Q10" s="512"/>
      <c r="R10" s="514"/>
      <c r="S10" s="519" t="s">
        <v>43</v>
      </c>
      <c r="T10" s="520">
        <v>44449.0</v>
      </c>
      <c r="U10" s="521">
        <v>3496.21</v>
      </c>
      <c r="V10" s="522">
        <v>139848.0</v>
      </c>
      <c r="W10" s="519"/>
      <c r="X10" s="520"/>
      <c r="Y10" s="521"/>
      <c r="Z10" s="522"/>
    </row>
    <row r="11">
      <c r="A11" s="528"/>
      <c r="B11" s="528"/>
      <c r="C11" s="512">
        <f>I12/E102</f>
        <v>0.002910013982</v>
      </c>
      <c r="D11" s="529" t="s">
        <v>721</v>
      </c>
      <c r="E11" s="529" t="s">
        <v>722</v>
      </c>
      <c r="F11" s="530">
        <v>7.3</v>
      </c>
      <c r="G11" s="513">
        <v>1200.0</v>
      </c>
      <c r="H11" s="217">
        <f t="shared" si="1"/>
        <v>97440</v>
      </c>
      <c r="I11" s="514" t="str">
        <f t="shared" ref="I11:I15" si="7">H11+P11</f>
        <v>#N/A</v>
      </c>
      <c r="J11" s="216">
        <v>81.2</v>
      </c>
      <c r="K11" s="515" t="str">
        <f>IFERROR(__xludf.DUMMYFUNCTION("GOOGLEFINANCE(E11,""changepct"")"),"#N/A")</f>
        <v>#N/A</v>
      </c>
      <c r="L11" s="516" t="str">
        <f>IFERROR(__xludf.DUMMYFUNCTION("googlefinance(E11,""price"")"),"#N/A")</f>
        <v>#N/A</v>
      </c>
      <c r="M11" s="216"/>
      <c r="N11" s="528" t="str">
        <f t="shared" si="3"/>
        <v>#N/A</v>
      </c>
      <c r="O11" s="518" t="str">
        <f t="shared" ref="O11:O15" si="8">L11/J11-1</f>
        <v>#N/A</v>
      </c>
      <c r="P11" s="528" t="str">
        <f t="shared" si="5"/>
        <v>#N/A</v>
      </c>
      <c r="Q11" s="512"/>
      <c r="R11" s="514"/>
      <c r="S11" s="519"/>
      <c r="T11" s="520"/>
      <c r="U11" s="521"/>
      <c r="V11" s="522"/>
      <c r="W11" s="529" t="s">
        <v>722</v>
      </c>
      <c r="X11" s="520">
        <v>44434.0</v>
      </c>
      <c r="Y11" s="521">
        <v>81.2</v>
      </c>
      <c r="Z11" s="522">
        <v>97440.0</v>
      </c>
    </row>
    <row r="12">
      <c r="A12" s="528"/>
      <c r="B12" s="528"/>
      <c r="C12" s="512">
        <f>I12/E102</f>
        <v>0.002910013982</v>
      </c>
      <c r="D12" s="529" t="s">
        <v>723</v>
      </c>
      <c r="E12" s="529" t="s">
        <v>340</v>
      </c>
      <c r="F12" s="530">
        <v>7.4</v>
      </c>
      <c r="G12" s="513">
        <v>300.0</v>
      </c>
      <c r="H12" s="217">
        <f t="shared" si="1"/>
        <v>104274</v>
      </c>
      <c r="I12" s="514">
        <f t="shared" si="7"/>
        <v>24819</v>
      </c>
      <c r="J12" s="216">
        <v>347.58</v>
      </c>
      <c r="K12" s="515">
        <f>IFERROR(__xludf.DUMMYFUNCTION("GOOGLEFINANCE(E12,""changepct"")"),-1.3)</f>
        <v>-1.3</v>
      </c>
      <c r="L12" s="516">
        <f>IFERROR(__xludf.DUMMYFUNCTION("googlefinance(E12,""price"")"),82.73)</f>
        <v>82.73</v>
      </c>
      <c r="M12" s="216"/>
      <c r="N12" s="517">
        <f t="shared" si="3"/>
        <v>-264.85</v>
      </c>
      <c r="O12" s="518">
        <f t="shared" si="8"/>
        <v>-0.7619828529</v>
      </c>
      <c r="P12" s="514">
        <f t="shared" si="5"/>
        <v>-79455</v>
      </c>
      <c r="Q12" s="512"/>
      <c r="R12" s="514"/>
      <c r="S12" s="519"/>
      <c r="T12" s="520"/>
      <c r="U12" s="521"/>
      <c r="V12" s="522"/>
      <c r="W12" s="529" t="s">
        <v>340</v>
      </c>
      <c r="X12" s="520">
        <v>44434.0</v>
      </c>
      <c r="Y12" s="521">
        <v>347.58</v>
      </c>
      <c r="Z12" s="522">
        <v>104274.0</v>
      </c>
    </row>
    <row r="13">
      <c r="A13" s="528"/>
      <c r="B13" s="528"/>
      <c r="C13" s="512">
        <f>I13/E102</f>
        <v>0.04524656093</v>
      </c>
      <c r="D13" s="529" t="s">
        <v>559</v>
      </c>
      <c r="E13" s="529" t="s">
        <v>46</v>
      </c>
      <c r="F13" s="530">
        <v>7.5</v>
      </c>
      <c r="G13" s="513">
        <v>5000.0</v>
      </c>
      <c r="H13" s="217">
        <f t="shared" si="1"/>
        <v>121350</v>
      </c>
      <c r="I13" s="514">
        <f t="shared" si="7"/>
        <v>385900</v>
      </c>
      <c r="J13" s="216">
        <v>24.27</v>
      </c>
      <c r="K13" s="515">
        <f>IFERROR(__xludf.DUMMYFUNCTION("GOOGLEFINANCE(E13,""changepct"")"),-2.4)</f>
        <v>-2.4</v>
      </c>
      <c r="L13" s="516">
        <f>IFERROR(__xludf.DUMMYFUNCTION("googlefinance(E13,""price"")"),77.18)</f>
        <v>77.18</v>
      </c>
      <c r="M13" s="216"/>
      <c r="N13" s="517">
        <f t="shared" si="3"/>
        <v>52.91</v>
      </c>
      <c r="O13" s="518">
        <f t="shared" si="8"/>
        <v>2.180057684</v>
      </c>
      <c r="P13" s="514">
        <f t="shared" si="5"/>
        <v>264550</v>
      </c>
      <c r="Q13" s="512"/>
      <c r="R13" s="514"/>
      <c r="S13" s="519"/>
      <c r="T13" s="520"/>
      <c r="U13" s="521"/>
      <c r="V13" s="522"/>
      <c r="W13" s="529" t="s">
        <v>46</v>
      </c>
      <c r="X13" s="520">
        <v>44434.0</v>
      </c>
      <c r="Y13" s="521">
        <v>24.27</v>
      </c>
      <c r="Z13" s="522">
        <v>121350.0</v>
      </c>
    </row>
    <row r="14">
      <c r="A14" s="528"/>
      <c r="B14" s="528"/>
      <c r="C14" s="512">
        <f>I14/E102</f>
        <v>0.002454030889</v>
      </c>
      <c r="D14" s="529" t="s">
        <v>697</v>
      </c>
      <c r="E14" s="529" t="s">
        <v>698</v>
      </c>
      <c r="F14" s="530">
        <v>7.2</v>
      </c>
      <c r="G14" s="513">
        <v>3500.0</v>
      </c>
      <c r="H14" s="217">
        <f t="shared" si="1"/>
        <v>91245</v>
      </c>
      <c r="I14" s="514">
        <f t="shared" si="7"/>
        <v>20930</v>
      </c>
      <c r="J14" s="216">
        <v>26.07</v>
      </c>
      <c r="K14" s="515">
        <f>IFERROR(__xludf.DUMMYFUNCTION("GOOGLEFINANCE(E14,""changepct"")"),-6.27)</f>
        <v>-6.27</v>
      </c>
      <c r="L14" s="516">
        <f>IFERROR(__xludf.DUMMYFUNCTION("googlefinance(E14,""price"")"),5.98)</f>
        <v>5.98</v>
      </c>
      <c r="M14" s="216"/>
      <c r="N14" s="517">
        <f t="shared" si="3"/>
        <v>-20.09</v>
      </c>
      <c r="O14" s="518">
        <f t="shared" si="8"/>
        <v>-0.7706175681</v>
      </c>
      <c r="P14" s="514">
        <f t="shared" si="5"/>
        <v>-70315</v>
      </c>
      <c r="Q14" s="512"/>
      <c r="R14" s="514"/>
      <c r="S14" s="519"/>
      <c r="T14" s="520"/>
      <c r="U14" s="521"/>
      <c r="V14" s="522"/>
      <c r="W14" s="529" t="s">
        <v>698</v>
      </c>
      <c r="X14" s="520">
        <v>44434.0</v>
      </c>
      <c r="Y14" s="521">
        <v>26.07</v>
      </c>
      <c r="Z14" s="522">
        <v>91245.0</v>
      </c>
    </row>
    <row r="15">
      <c r="A15" s="528"/>
      <c r="B15" s="528"/>
      <c r="C15" s="512">
        <f>I15/E102</f>
        <v>0.001108007258</v>
      </c>
      <c r="D15" s="529" t="s">
        <v>699</v>
      </c>
      <c r="E15" s="529" t="s">
        <v>480</v>
      </c>
      <c r="F15" s="530">
        <v>7.1</v>
      </c>
      <c r="G15" s="513">
        <v>3000.0</v>
      </c>
      <c r="H15" s="217">
        <f t="shared" si="1"/>
        <v>86460</v>
      </c>
      <c r="I15" s="514">
        <f t="shared" si="7"/>
        <v>9450</v>
      </c>
      <c r="J15" s="216">
        <v>28.82</v>
      </c>
      <c r="K15" s="515">
        <f>IFERROR(__xludf.DUMMYFUNCTION("GOOGLEFINANCE(E15,""changepct"")"),-1.56)</f>
        <v>-1.56</v>
      </c>
      <c r="L15" s="516">
        <f>IFERROR(__xludf.DUMMYFUNCTION("googlefinance(E15,""price"")"),3.15)</f>
        <v>3.15</v>
      </c>
      <c r="M15" s="216"/>
      <c r="N15" s="517">
        <f t="shared" si="3"/>
        <v>-25.67</v>
      </c>
      <c r="O15" s="518">
        <f t="shared" si="8"/>
        <v>-0.8907009022</v>
      </c>
      <c r="P15" s="514">
        <f t="shared" si="5"/>
        <v>-77010</v>
      </c>
      <c r="Q15" s="512"/>
      <c r="R15" s="514"/>
      <c r="S15" s="519"/>
      <c r="T15" s="520"/>
      <c r="U15" s="521"/>
      <c r="V15" s="522"/>
      <c r="W15" s="519"/>
      <c r="X15" s="520"/>
      <c r="Y15" s="521"/>
      <c r="Z15" s="522"/>
    </row>
    <row r="16">
      <c r="A16" s="528"/>
      <c r="B16" s="528"/>
      <c r="C16" s="512">
        <f>I16/E102</f>
        <v>0</v>
      </c>
      <c r="D16" s="104" t="s">
        <v>378</v>
      </c>
      <c r="E16" s="344" t="s">
        <v>379</v>
      </c>
      <c r="F16" s="569">
        <v>7.5</v>
      </c>
      <c r="G16" s="513">
        <v>1000.0</v>
      </c>
      <c r="H16" s="217">
        <f t="shared" si="1"/>
        <v>130780</v>
      </c>
      <c r="I16" s="217">
        <v>0.0</v>
      </c>
      <c r="J16" s="216">
        <v>130.78</v>
      </c>
      <c r="K16" s="515">
        <f>IFERROR(__xludf.DUMMYFUNCTION("GOOGLEFINANCE(E16,""changepct"")"),-2.8)</f>
        <v>-2.8</v>
      </c>
      <c r="L16" s="516">
        <f>IFERROR(__xludf.DUMMYFUNCTION("googlefinance(E16,""price"")"),57.61)</f>
        <v>57.61</v>
      </c>
      <c r="M16" s="216">
        <v>122.37</v>
      </c>
      <c r="N16" s="517">
        <f t="shared" si="3"/>
        <v>-73.17</v>
      </c>
      <c r="O16" s="518">
        <f>M16/J16-1</f>
        <v>-0.06430646888</v>
      </c>
      <c r="P16" s="514">
        <f t="shared" si="5"/>
        <v>-8410</v>
      </c>
      <c r="Q16" s="538"/>
      <c r="R16" s="217"/>
      <c r="S16" s="519" t="s">
        <v>379</v>
      </c>
      <c r="T16" s="520">
        <v>44449.0</v>
      </c>
      <c r="U16" s="521">
        <v>122.37</v>
      </c>
      <c r="V16" s="522">
        <v>122370.0</v>
      </c>
      <c r="W16" s="523"/>
      <c r="X16" s="524"/>
      <c r="Y16" s="525"/>
      <c r="Z16" s="526"/>
    </row>
    <row r="17">
      <c r="A17" s="13"/>
      <c r="B17" s="13"/>
      <c r="C17" s="13"/>
      <c r="D17" s="13"/>
      <c r="E17" s="13"/>
      <c r="F17" s="13"/>
      <c r="G17" s="509"/>
      <c r="H17" s="509">
        <f t="shared" ref="H17:I17" si="9">SUM(H3:H16)</f>
        <v>1642416.3</v>
      </c>
      <c r="I17" s="539" t="str">
        <f t="shared" si="9"/>
        <v>#N/A</v>
      </c>
      <c r="J17" s="506"/>
      <c r="K17" s="506"/>
      <c r="L17" s="506"/>
      <c r="M17" s="507"/>
      <c r="N17" s="507"/>
      <c r="O17" s="540" t="str">
        <f>P17/H17</f>
        <v>#N/A</v>
      </c>
      <c r="P17" s="507" t="str">
        <f>SUM(P3:P16)</f>
        <v>#N/A</v>
      </c>
      <c r="Q17" s="541"/>
      <c r="R17" s="509"/>
      <c r="S17" s="510" t="s">
        <v>89</v>
      </c>
      <c r="T17" s="542"/>
      <c r="U17" s="543"/>
      <c r="V17" s="570">
        <f>SUM(V3:V16)</f>
        <v>607188</v>
      </c>
      <c r="W17" s="510" t="s">
        <v>89</v>
      </c>
      <c r="X17" s="542"/>
      <c r="Y17" s="543"/>
      <c r="Z17" s="570">
        <f>SUM(Z3:Z16)</f>
        <v>623119</v>
      </c>
    </row>
    <row r="18">
      <c r="A18" s="173"/>
      <c r="B18" s="504" t="s">
        <v>342</v>
      </c>
      <c r="C18" s="504" t="s">
        <v>2</v>
      </c>
      <c r="D18" s="545" t="s">
        <v>3</v>
      </c>
      <c r="E18" s="545" t="s">
        <v>4</v>
      </c>
      <c r="F18" s="546" t="s">
        <v>5</v>
      </c>
      <c r="G18" s="547" t="s">
        <v>6</v>
      </c>
      <c r="H18" s="504" t="s">
        <v>7</v>
      </c>
      <c r="I18" s="505" t="s">
        <v>8</v>
      </c>
      <c r="J18" s="505" t="s">
        <v>9</v>
      </c>
      <c r="K18" s="548" t="s">
        <v>10</v>
      </c>
      <c r="L18" s="548" t="s">
        <v>11</v>
      </c>
      <c r="M18" s="548" t="s">
        <v>476</v>
      </c>
      <c r="N18" s="549" t="s">
        <v>13</v>
      </c>
      <c r="O18" s="504" t="s">
        <v>14</v>
      </c>
      <c r="P18" s="508" t="s">
        <v>15</v>
      </c>
      <c r="Q18" s="550" t="s">
        <v>16</v>
      </c>
      <c r="R18" s="551" t="s">
        <v>17</v>
      </c>
      <c r="S18" s="546" t="s">
        <v>21</v>
      </c>
      <c r="T18" s="552" t="s">
        <v>22</v>
      </c>
      <c r="U18" s="553" t="s">
        <v>23</v>
      </c>
      <c r="V18" s="553" t="s">
        <v>24</v>
      </c>
      <c r="W18" s="545" t="s">
        <v>25</v>
      </c>
      <c r="X18" s="545" t="s">
        <v>26</v>
      </c>
      <c r="Y18" s="553" t="s">
        <v>27</v>
      </c>
      <c r="Z18" s="551" t="s">
        <v>28</v>
      </c>
    </row>
    <row r="19">
      <c r="A19" s="502" t="s">
        <v>29</v>
      </c>
      <c r="B19" s="321">
        <f>I25/E102</f>
        <v>0.05594762467</v>
      </c>
      <c r="C19" s="512">
        <f>I19/E102</f>
        <v>0.007398146873</v>
      </c>
      <c r="D19" s="344" t="s">
        <v>346</v>
      </c>
      <c r="E19" s="344" t="s">
        <v>347</v>
      </c>
      <c r="F19" s="195">
        <v>7.9</v>
      </c>
      <c r="G19" s="513">
        <v>750.0</v>
      </c>
      <c r="H19" s="217">
        <f t="shared" ref="H19:H24" si="10">G19*J19</f>
        <v>170085</v>
      </c>
      <c r="I19" s="514">
        <f t="shared" ref="I19:I24" si="11">H19+P19</f>
        <v>63097.5</v>
      </c>
      <c r="J19" s="216">
        <v>226.78</v>
      </c>
      <c r="K19" s="515">
        <f>IFERROR(__xludf.DUMMYFUNCTION("GOOGLEFINANCE(E19,""changepct"")"),-1.09)</f>
        <v>-1.09</v>
      </c>
      <c r="L19" s="516">
        <f>IFERROR(__xludf.DUMMYFUNCTION("googlefinance(E19,""price"")"),84.13)</f>
        <v>84.13</v>
      </c>
      <c r="M19" s="216"/>
      <c r="N19" s="517">
        <f t="shared" ref="N19:N24" si="12">L19-J19</f>
        <v>-142.65</v>
      </c>
      <c r="O19" s="518">
        <f t="shared" ref="O19:O24" si="13">L19/J19-1</f>
        <v>-0.6290237234</v>
      </c>
      <c r="P19" s="514">
        <f t="shared" ref="P19:P24" si="14">H19*O19</f>
        <v>-106987.5</v>
      </c>
      <c r="Q19" s="14"/>
      <c r="R19" s="19"/>
      <c r="S19" s="626"/>
      <c r="T19" s="627"/>
      <c r="U19" s="628"/>
      <c r="V19" s="629"/>
      <c r="W19" s="630"/>
      <c r="X19" s="630"/>
      <c r="Y19" s="628"/>
      <c r="Z19" s="629"/>
    </row>
    <row r="20">
      <c r="A20" s="528"/>
      <c r="B20" s="38"/>
      <c r="C20" s="512">
        <f>I20/E102</f>
        <v>0.0078838527</v>
      </c>
      <c r="D20" s="344" t="s">
        <v>530</v>
      </c>
      <c r="E20" s="344" t="s">
        <v>34</v>
      </c>
      <c r="F20" s="195">
        <v>8.0</v>
      </c>
      <c r="G20" s="513">
        <v>800.0</v>
      </c>
      <c r="H20" s="217">
        <f t="shared" si="10"/>
        <v>163120</v>
      </c>
      <c r="I20" s="514">
        <f t="shared" si="11"/>
        <v>67240</v>
      </c>
      <c r="J20" s="216">
        <v>203.9</v>
      </c>
      <c r="K20" s="515">
        <f>IFERROR(__xludf.DUMMYFUNCTION("GOOGLEFINANCE(E20,""changepct"")"),-2.94)</f>
        <v>-2.94</v>
      </c>
      <c r="L20" s="516">
        <f>IFERROR(__xludf.DUMMYFUNCTION("googlefinance(E20,""price"")"),84.05)</f>
        <v>84.05</v>
      </c>
      <c r="M20" s="517"/>
      <c r="N20" s="517">
        <f t="shared" si="12"/>
        <v>-119.85</v>
      </c>
      <c r="O20" s="518">
        <f t="shared" si="13"/>
        <v>-0.5877881314</v>
      </c>
      <c r="P20" s="514">
        <f t="shared" si="14"/>
        <v>-95880</v>
      </c>
      <c r="Q20" s="34"/>
      <c r="R20" s="29"/>
      <c r="S20" s="555"/>
      <c r="T20" s="556"/>
      <c r="U20" s="557"/>
      <c r="V20" s="558"/>
      <c r="W20" s="559"/>
      <c r="X20" s="560"/>
      <c r="Y20" s="561"/>
      <c r="Z20" s="562"/>
    </row>
    <row r="21">
      <c r="A21" s="528"/>
      <c r="B21" s="38"/>
      <c r="C21" s="512">
        <f>I21/E102</f>
        <v>0.00997206532</v>
      </c>
      <c r="D21" s="104" t="s">
        <v>700</v>
      </c>
      <c r="E21" s="104" t="s">
        <v>701</v>
      </c>
      <c r="F21" s="195">
        <v>7.6</v>
      </c>
      <c r="G21" s="513">
        <v>7500.0</v>
      </c>
      <c r="H21" s="217">
        <f t="shared" si="10"/>
        <v>116100</v>
      </c>
      <c r="I21" s="514">
        <f t="shared" si="11"/>
        <v>85050</v>
      </c>
      <c r="J21" s="216">
        <v>15.48</v>
      </c>
      <c r="K21" s="515">
        <f>IFERROR(__xludf.DUMMYFUNCTION("GOOGLEFINANCE(E21,""changepct"")"),-3.24)</f>
        <v>-3.24</v>
      </c>
      <c r="L21" s="516">
        <f>IFERROR(__xludf.DUMMYFUNCTION("googlefinance(E21,""price"")"),11.34)</f>
        <v>11.34</v>
      </c>
      <c r="M21" s="517"/>
      <c r="N21" s="517">
        <f t="shared" si="12"/>
        <v>-4.14</v>
      </c>
      <c r="O21" s="518">
        <f t="shared" si="13"/>
        <v>-0.2674418605</v>
      </c>
      <c r="P21" s="514">
        <f t="shared" si="14"/>
        <v>-31050</v>
      </c>
      <c r="Q21" s="34"/>
      <c r="R21" s="29"/>
      <c r="S21" s="555"/>
      <c r="T21" s="556"/>
      <c r="U21" s="557"/>
      <c r="V21" s="558"/>
      <c r="W21" s="559"/>
      <c r="X21" s="560"/>
      <c r="Y21" s="561"/>
      <c r="Z21" s="562"/>
    </row>
    <row r="22">
      <c r="A22" s="528"/>
      <c r="B22" s="38"/>
      <c r="C22" s="512">
        <f>I22/E102</f>
        <v>0.006826262703</v>
      </c>
      <c r="D22" s="529" t="s">
        <v>702</v>
      </c>
      <c r="E22" s="529" t="s">
        <v>703</v>
      </c>
      <c r="F22" s="530">
        <v>7.9</v>
      </c>
      <c r="G22" s="513">
        <v>2000.0</v>
      </c>
      <c r="H22" s="217">
        <f t="shared" si="10"/>
        <v>139560</v>
      </c>
      <c r="I22" s="514">
        <f t="shared" si="11"/>
        <v>58220</v>
      </c>
      <c r="J22" s="216">
        <v>69.78</v>
      </c>
      <c r="K22" s="515">
        <f>IFERROR(__xludf.DUMMYFUNCTION("GOOGLEFINANCE(E22,""changepct"")"),-2.02)</f>
        <v>-2.02</v>
      </c>
      <c r="L22" s="516">
        <f>IFERROR(__xludf.DUMMYFUNCTION("googlefinance(E22,""price"")"),29.11)</f>
        <v>29.11</v>
      </c>
      <c r="M22" s="216"/>
      <c r="N22" s="517">
        <f t="shared" si="12"/>
        <v>-40.67</v>
      </c>
      <c r="O22" s="518">
        <f t="shared" si="13"/>
        <v>-0.582831757</v>
      </c>
      <c r="P22" s="514">
        <f t="shared" si="14"/>
        <v>-81340</v>
      </c>
      <c r="Q22" s="514"/>
      <c r="R22" s="29"/>
      <c r="S22" s="555"/>
      <c r="T22" s="556"/>
      <c r="U22" s="557"/>
      <c r="V22" s="558"/>
      <c r="W22" s="559"/>
      <c r="X22" s="560"/>
      <c r="Y22" s="561"/>
      <c r="Z22" s="562"/>
    </row>
    <row r="23">
      <c r="A23" s="528"/>
      <c r="B23" s="38"/>
      <c r="C23" s="512">
        <f>I23/E102</f>
        <v>0.02284019194</v>
      </c>
      <c r="D23" s="529" t="s">
        <v>651</v>
      </c>
      <c r="E23" s="529" t="s">
        <v>652</v>
      </c>
      <c r="F23" s="530">
        <v>7.5</v>
      </c>
      <c r="G23" s="513">
        <v>20000.0</v>
      </c>
      <c r="H23" s="217">
        <f t="shared" si="10"/>
        <v>101800</v>
      </c>
      <c r="I23" s="514">
        <f t="shared" si="11"/>
        <v>194800</v>
      </c>
      <c r="J23" s="216">
        <v>5.09</v>
      </c>
      <c r="K23" s="515">
        <f>IFERROR(__xludf.DUMMYFUNCTION("GOOGLEFINANCE(E23,""changepct"")"),13.39)</f>
        <v>13.39</v>
      </c>
      <c r="L23" s="516">
        <f>IFERROR(__xludf.DUMMYFUNCTION("googlefinance(E23,""price"")"),9.74)</f>
        <v>9.74</v>
      </c>
      <c r="M23" s="216"/>
      <c r="N23" s="517">
        <f t="shared" si="12"/>
        <v>4.65</v>
      </c>
      <c r="O23" s="518">
        <f t="shared" si="13"/>
        <v>0.9135559921</v>
      </c>
      <c r="P23" s="514">
        <f t="shared" si="14"/>
        <v>93000</v>
      </c>
      <c r="Q23" s="512"/>
      <c r="R23" s="29"/>
      <c r="S23" s="555"/>
      <c r="T23" s="556"/>
      <c r="U23" s="557"/>
      <c r="V23" s="558"/>
      <c r="W23" s="555" t="s">
        <v>652</v>
      </c>
      <c r="X23" s="556">
        <v>44461.0</v>
      </c>
      <c r="Y23" s="557">
        <v>5.09</v>
      </c>
      <c r="Z23" s="558">
        <v>101800.0</v>
      </c>
    </row>
    <row r="24">
      <c r="A24" s="528"/>
      <c r="B24" s="38"/>
      <c r="C24" s="512">
        <f>I24/E102</f>
        <v>0.001027105141</v>
      </c>
      <c r="D24" s="563" t="s">
        <v>490</v>
      </c>
      <c r="E24" s="563" t="s">
        <v>349</v>
      </c>
      <c r="F24" s="530">
        <v>7.7</v>
      </c>
      <c r="G24" s="513">
        <v>2000.0</v>
      </c>
      <c r="H24" s="217">
        <f t="shared" si="10"/>
        <v>106400</v>
      </c>
      <c r="I24" s="514">
        <f t="shared" si="11"/>
        <v>8760</v>
      </c>
      <c r="J24" s="216">
        <v>53.2</v>
      </c>
      <c r="K24" s="515">
        <f>IFERROR(__xludf.DUMMYFUNCTION("GOOGLEFINANCE(E24,""changepct"")"),-2.23)</f>
        <v>-2.23</v>
      </c>
      <c r="L24" s="516">
        <f>IFERROR(__xludf.DUMMYFUNCTION("googlefinance(E24,""price"")"),4.38)</f>
        <v>4.38</v>
      </c>
      <c r="M24" s="216"/>
      <c r="N24" s="517">
        <f t="shared" si="12"/>
        <v>-48.82</v>
      </c>
      <c r="O24" s="518">
        <f t="shared" si="13"/>
        <v>-0.9176691729</v>
      </c>
      <c r="P24" s="514">
        <f t="shared" si="14"/>
        <v>-97640</v>
      </c>
      <c r="Q24" s="512"/>
      <c r="R24" s="514"/>
      <c r="S24" s="555"/>
      <c r="T24" s="556"/>
      <c r="U24" s="557"/>
      <c r="V24" s="558"/>
      <c r="W24" s="559"/>
      <c r="X24" s="560"/>
      <c r="Y24" s="561"/>
      <c r="Z24" s="562"/>
    </row>
    <row r="25">
      <c r="A25" s="13"/>
      <c r="B25" s="13"/>
      <c r="C25" s="13"/>
      <c r="D25" s="13"/>
      <c r="E25" s="13"/>
      <c r="F25" s="13"/>
      <c r="G25" s="564"/>
      <c r="H25" s="509">
        <f t="shared" ref="H25:I25" si="15">SUM(H19:H24)</f>
        <v>797065</v>
      </c>
      <c r="I25" s="539">
        <f t="shared" si="15"/>
        <v>477167.5</v>
      </c>
      <c r="J25" s="506"/>
      <c r="K25" s="506"/>
      <c r="L25" s="506"/>
      <c r="M25" s="507"/>
      <c r="N25" s="507"/>
      <c r="O25" s="540">
        <f>P25/H25</f>
        <v>-0.4013443069</v>
      </c>
      <c r="P25" s="539">
        <f>SUM(P19:P24)</f>
        <v>-319897.5</v>
      </c>
      <c r="Q25" s="13"/>
      <c r="R25" s="509"/>
      <c r="S25" s="510"/>
      <c r="T25" s="542"/>
      <c r="U25" s="542"/>
      <c r="V25" s="544">
        <v>0.0</v>
      </c>
      <c r="W25" s="510"/>
      <c r="X25" s="542"/>
      <c r="Y25" s="543"/>
      <c r="Z25" s="544">
        <f>SUM(Z19:Z24)</f>
        <v>101800</v>
      </c>
    </row>
    <row r="26">
      <c r="A26" s="173"/>
      <c r="B26" s="504" t="s">
        <v>588</v>
      </c>
      <c r="C26" s="504" t="s">
        <v>2</v>
      </c>
      <c r="D26" s="13" t="s">
        <v>3</v>
      </c>
      <c r="E26" s="13" t="s">
        <v>4</v>
      </c>
      <c r="F26" s="13" t="s">
        <v>5</v>
      </c>
      <c r="G26" s="504" t="s">
        <v>6</v>
      </c>
      <c r="H26" s="504" t="s">
        <v>7</v>
      </c>
      <c r="I26" s="505" t="s">
        <v>8</v>
      </c>
      <c r="J26" s="505" t="s">
        <v>9</v>
      </c>
      <c r="K26" s="506" t="s">
        <v>10</v>
      </c>
      <c r="L26" s="506" t="s">
        <v>11</v>
      </c>
      <c r="M26" s="507" t="s">
        <v>476</v>
      </c>
      <c r="N26" s="507" t="s">
        <v>13</v>
      </c>
      <c r="O26" s="504" t="s">
        <v>14</v>
      </c>
      <c r="P26" s="508" t="s">
        <v>15</v>
      </c>
      <c r="Q26" s="13" t="s">
        <v>16</v>
      </c>
      <c r="R26" s="13" t="s">
        <v>17</v>
      </c>
      <c r="S26" s="510" t="s">
        <v>21</v>
      </c>
      <c r="T26" s="510" t="s">
        <v>22</v>
      </c>
      <c r="U26" s="511" t="s">
        <v>23</v>
      </c>
      <c r="V26" s="511" t="s">
        <v>24</v>
      </c>
      <c r="W26" s="510" t="s">
        <v>25</v>
      </c>
      <c r="X26" s="510" t="s">
        <v>26</v>
      </c>
      <c r="Y26" s="510" t="s">
        <v>27</v>
      </c>
      <c r="Z26" s="510" t="s">
        <v>28</v>
      </c>
    </row>
    <row r="27">
      <c r="A27" s="502" t="s">
        <v>29</v>
      </c>
      <c r="B27" s="527" t="str">
        <f>I33/E102</f>
        <v>#N/A</v>
      </c>
      <c r="C27" s="512">
        <f>I27/E102</f>
        <v>0.02157624292</v>
      </c>
      <c r="D27" s="344" t="s">
        <v>677</v>
      </c>
      <c r="E27" s="344" t="s">
        <v>315</v>
      </c>
      <c r="F27" s="569">
        <v>8.0</v>
      </c>
      <c r="G27" s="513">
        <v>2000.0</v>
      </c>
      <c r="H27" s="217">
        <f t="shared" ref="H27:H32" si="16">J27*G27</f>
        <v>137720</v>
      </c>
      <c r="I27" s="514">
        <f t="shared" ref="I27:I30" si="17">H27+P27</f>
        <v>184020</v>
      </c>
      <c r="J27" s="216">
        <v>68.86</v>
      </c>
      <c r="K27" s="568">
        <f>IFERROR(__xludf.DUMMYFUNCTION("GOOGLEFINANCE(E27,""changepct"")"),-2.23)</f>
        <v>-2.23</v>
      </c>
      <c r="L27" s="516">
        <f>IFERROR(__xludf.DUMMYFUNCTION("googlefinance(E27,""price"")"),92.01)</f>
        <v>92.01</v>
      </c>
      <c r="M27" s="517"/>
      <c r="N27" s="517">
        <f t="shared" ref="N27:N32" si="18">L27-J27</f>
        <v>23.15</v>
      </c>
      <c r="O27" s="518">
        <f t="shared" ref="O27:O30" si="19">L27/J27-1</f>
        <v>0.3361893697</v>
      </c>
      <c r="P27" s="495">
        <f t="shared" ref="P27:P32" si="20">H27*O27</f>
        <v>46300</v>
      </c>
      <c r="Q27" s="538"/>
      <c r="R27" s="217"/>
      <c r="S27" s="523"/>
      <c r="T27" s="524"/>
      <c r="U27" s="525"/>
      <c r="V27" s="526"/>
      <c r="W27" s="523"/>
      <c r="X27" s="524"/>
      <c r="Y27" s="525"/>
      <c r="Z27" s="526"/>
    </row>
    <row r="28">
      <c r="A28" s="528"/>
      <c r="B28" s="528"/>
      <c r="C28" s="512" t="str">
        <f>I28/E102</f>
        <v>#N/A</v>
      </c>
      <c r="D28" s="104" t="s">
        <v>704</v>
      </c>
      <c r="E28" s="344" t="s">
        <v>705</v>
      </c>
      <c r="F28" s="569">
        <v>7.7</v>
      </c>
      <c r="G28" s="513">
        <v>2500.0</v>
      </c>
      <c r="H28" s="217">
        <f t="shared" si="16"/>
        <v>100025</v>
      </c>
      <c r="I28" s="514" t="str">
        <f t="shared" si="17"/>
        <v>#N/A</v>
      </c>
      <c r="J28" s="216">
        <v>40.01</v>
      </c>
      <c r="K28" s="568" t="str">
        <f>IFERROR(__xludf.DUMMYFUNCTION("GOOGLEFINANCE(E28,""changepct"")"),"#N/A")</f>
        <v>#N/A</v>
      </c>
      <c r="L28" s="516" t="str">
        <f>IFERROR(__xludf.DUMMYFUNCTION("googlefinance(E28,""price"")"),"#N/A")</f>
        <v>#N/A</v>
      </c>
      <c r="M28" s="517"/>
      <c r="N28" s="528" t="str">
        <f t="shared" si="18"/>
        <v>#N/A</v>
      </c>
      <c r="O28" s="518" t="str">
        <f t="shared" si="19"/>
        <v>#N/A</v>
      </c>
      <c r="P28" s="528" t="str">
        <f t="shared" si="20"/>
        <v>#N/A</v>
      </c>
      <c r="Q28" s="512"/>
      <c r="R28" s="514"/>
      <c r="S28" s="523"/>
      <c r="T28" s="524"/>
      <c r="U28" s="525"/>
      <c r="V28" s="526"/>
      <c r="W28" s="523"/>
      <c r="X28" s="524"/>
      <c r="Y28" s="525"/>
      <c r="Z28" s="526"/>
    </row>
    <row r="29">
      <c r="A29" s="528"/>
      <c r="B29" s="528"/>
      <c r="C29" s="512">
        <f>I29/E102</f>
        <v>0.0003719152404</v>
      </c>
      <c r="D29" s="567" t="s">
        <v>653</v>
      </c>
      <c r="E29" s="104" t="s">
        <v>561</v>
      </c>
      <c r="F29" s="195">
        <v>7.9</v>
      </c>
      <c r="G29" s="513">
        <v>400.0</v>
      </c>
      <c r="H29" s="217">
        <f t="shared" si="16"/>
        <v>93440</v>
      </c>
      <c r="I29" s="514">
        <f t="shared" si="17"/>
        <v>3172</v>
      </c>
      <c r="J29" s="216">
        <v>233.6</v>
      </c>
      <c r="K29" s="568">
        <f>IFERROR(__xludf.DUMMYFUNCTION("GOOGLEFINANCE(E29,""changepct"")"),-4.23)</f>
        <v>-4.23</v>
      </c>
      <c r="L29" s="516">
        <f>IFERROR(__xludf.DUMMYFUNCTION("googlefinance(E29,""price"")"),7.93)</f>
        <v>7.93</v>
      </c>
      <c r="M29" s="216"/>
      <c r="N29" s="517">
        <f t="shared" si="18"/>
        <v>-225.67</v>
      </c>
      <c r="O29" s="518">
        <f t="shared" si="19"/>
        <v>-0.9660530822</v>
      </c>
      <c r="P29" s="514">
        <f t="shared" si="20"/>
        <v>-90268</v>
      </c>
      <c r="Q29" s="512"/>
      <c r="R29" s="514"/>
      <c r="S29" s="519"/>
      <c r="T29" s="520"/>
      <c r="U29" s="521"/>
      <c r="V29" s="522"/>
      <c r="W29" s="519" t="s">
        <v>561</v>
      </c>
      <c r="X29" s="520">
        <v>44419.0</v>
      </c>
      <c r="Y29" s="521">
        <v>233.6</v>
      </c>
      <c r="Z29" s="522">
        <v>93440.0</v>
      </c>
    </row>
    <row r="30">
      <c r="A30" s="528"/>
      <c r="B30" s="528"/>
      <c r="C30" s="512">
        <f>I30/E102</f>
        <v>0.001385184946</v>
      </c>
      <c r="D30" s="631" t="s">
        <v>654</v>
      </c>
      <c r="E30" s="344" t="s">
        <v>655</v>
      </c>
      <c r="F30" s="195">
        <v>8.1</v>
      </c>
      <c r="G30" s="513">
        <v>300.0</v>
      </c>
      <c r="H30" s="217">
        <f t="shared" si="16"/>
        <v>129198</v>
      </c>
      <c r="I30" s="514">
        <f t="shared" si="17"/>
        <v>11814</v>
      </c>
      <c r="J30" s="216">
        <v>430.66</v>
      </c>
      <c r="K30" s="568">
        <f>IFERROR(__xludf.DUMMYFUNCTION("GOOGLEFINANCE(E30,""changepct"")"),-1.87)</f>
        <v>-1.87</v>
      </c>
      <c r="L30" s="516">
        <f>IFERROR(__xludf.DUMMYFUNCTION("googlefinance(E30,""price"")"),39.38)</f>
        <v>39.38</v>
      </c>
      <c r="M30" s="216"/>
      <c r="N30" s="517">
        <f t="shared" si="18"/>
        <v>-391.28</v>
      </c>
      <c r="O30" s="518">
        <f t="shared" si="19"/>
        <v>-0.908558956</v>
      </c>
      <c r="P30" s="514">
        <f t="shared" si="20"/>
        <v>-117384</v>
      </c>
      <c r="Q30" s="512"/>
      <c r="R30" s="514"/>
      <c r="S30" s="519"/>
      <c r="T30" s="520"/>
      <c r="U30" s="521"/>
      <c r="V30" s="522"/>
      <c r="W30" s="519" t="s">
        <v>655</v>
      </c>
      <c r="X30" s="520">
        <v>44461.0</v>
      </c>
      <c r="Y30" s="521">
        <v>430.66</v>
      </c>
      <c r="Z30" s="522">
        <v>129198.0</v>
      </c>
    </row>
    <row r="31">
      <c r="A31" s="528"/>
      <c r="B31" s="528"/>
      <c r="C31" s="512">
        <f>I31/E102</f>
        <v>0</v>
      </c>
      <c r="D31" s="631" t="s">
        <v>654</v>
      </c>
      <c r="E31" s="344" t="s">
        <v>655</v>
      </c>
      <c r="F31" s="195">
        <v>8.1</v>
      </c>
      <c r="G31" s="513">
        <v>400.0</v>
      </c>
      <c r="H31" s="217">
        <f t="shared" si="16"/>
        <v>93992</v>
      </c>
      <c r="I31" s="217">
        <v>0.0</v>
      </c>
      <c r="J31" s="216">
        <v>234.98</v>
      </c>
      <c r="K31" s="568">
        <f>IFERROR(__xludf.DUMMYFUNCTION("GOOGLEFINANCE(E31,""changepct"")"),-1.87)</f>
        <v>-1.87</v>
      </c>
      <c r="L31" s="516">
        <f>IFERROR(__xludf.DUMMYFUNCTION("googlefinance(E31,""price"")"),39.38)</f>
        <v>39.38</v>
      </c>
      <c r="M31" s="216">
        <v>418.0</v>
      </c>
      <c r="N31" s="517">
        <f t="shared" si="18"/>
        <v>-195.6</v>
      </c>
      <c r="O31" s="518">
        <f>M31/J31-1</f>
        <v>0.7788747979</v>
      </c>
      <c r="P31" s="514">
        <f t="shared" si="20"/>
        <v>73208</v>
      </c>
      <c r="Q31" s="512"/>
      <c r="R31" s="514"/>
      <c r="S31" s="519" t="s">
        <v>655</v>
      </c>
      <c r="T31" s="520">
        <v>44412.0</v>
      </c>
      <c r="U31" s="521">
        <v>418.0</v>
      </c>
      <c r="V31" s="522">
        <v>167200.0</v>
      </c>
      <c r="W31" s="523"/>
      <c r="X31" s="524"/>
      <c r="Y31" s="525"/>
      <c r="Z31" s="526"/>
    </row>
    <row r="32">
      <c r="A32" s="528"/>
      <c r="B32" s="528"/>
      <c r="C32" s="512">
        <f>I32/E102</f>
        <v>0.01537609225</v>
      </c>
      <c r="D32" s="104" t="s">
        <v>591</v>
      </c>
      <c r="E32" s="104" t="s">
        <v>592</v>
      </c>
      <c r="F32" s="569">
        <v>7.9</v>
      </c>
      <c r="G32" s="513">
        <v>2000.0</v>
      </c>
      <c r="H32" s="217">
        <f t="shared" si="16"/>
        <v>119800</v>
      </c>
      <c r="I32" s="514">
        <f>H32+P32</f>
        <v>131140</v>
      </c>
      <c r="J32" s="216">
        <v>59.9</v>
      </c>
      <c r="K32" s="568">
        <f>IFERROR(__xludf.DUMMYFUNCTION("GOOGLEFINANCE(E32,""changepct"")"),-1.04)</f>
        <v>-1.04</v>
      </c>
      <c r="L32" s="516">
        <f>IFERROR(__xludf.DUMMYFUNCTION("googlefinance(E32,""price"")"),65.57)</f>
        <v>65.57</v>
      </c>
      <c r="M32" s="517"/>
      <c r="N32" s="517">
        <f t="shared" si="18"/>
        <v>5.67</v>
      </c>
      <c r="O32" s="518">
        <f>L32/J32-1</f>
        <v>0.09465776294</v>
      </c>
      <c r="P32" s="514">
        <f t="shared" si="20"/>
        <v>11340</v>
      </c>
      <c r="Q32" s="538"/>
      <c r="R32" s="217"/>
      <c r="S32" s="523"/>
      <c r="T32" s="524"/>
      <c r="U32" s="525"/>
      <c r="V32" s="526"/>
      <c r="W32" s="519"/>
      <c r="X32" s="520"/>
      <c r="Y32" s="521"/>
      <c r="Z32" s="522"/>
    </row>
    <row r="33">
      <c r="A33" s="13"/>
      <c r="B33" s="13"/>
      <c r="C33" s="504" t="s">
        <v>89</v>
      </c>
      <c r="D33" s="13"/>
      <c r="E33" s="13"/>
      <c r="F33" s="13"/>
      <c r="G33" s="564"/>
      <c r="H33" s="509">
        <f t="shared" ref="H33:I33" si="21">SUM(H27:H32)</f>
        <v>674175</v>
      </c>
      <c r="I33" s="539" t="str">
        <f t="shared" si="21"/>
        <v>#N/A</v>
      </c>
      <c r="J33" s="506"/>
      <c r="K33" s="506"/>
      <c r="L33" s="506"/>
      <c r="M33" s="507"/>
      <c r="N33" s="507"/>
      <c r="O33" s="540" t="str">
        <f>P33/H33</f>
        <v>#N/A</v>
      </c>
      <c r="P33" s="507" t="str">
        <f>SUM(P27:P32)</f>
        <v>#N/A</v>
      </c>
      <c r="Q33" s="13"/>
      <c r="R33" s="509"/>
      <c r="S33" s="510" t="s">
        <v>89</v>
      </c>
      <c r="T33" s="542"/>
      <c r="U33" s="542"/>
      <c r="V33" s="544">
        <f>SUM(V27:V32)</f>
        <v>167200</v>
      </c>
      <c r="W33" s="510" t="s">
        <v>89</v>
      </c>
      <c r="X33" s="542"/>
      <c r="Y33" s="543"/>
      <c r="Z33" s="570">
        <f>SUM(Z27:Z32)</f>
        <v>222638</v>
      </c>
    </row>
    <row r="34">
      <c r="A34" s="173"/>
      <c r="B34" s="504" t="s">
        <v>656</v>
      </c>
      <c r="C34" s="504" t="s">
        <v>2</v>
      </c>
      <c r="D34" s="13" t="s">
        <v>3</v>
      </c>
      <c r="E34" s="13" t="s">
        <v>4</v>
      </c>
      <c r="F34" s="13" t="s">
        <v>5</v>
      </c>
      <c r="G34" s="504" t="s">
        <v>6</v>
      </c>
      <c r="H34" s="504" t="s">
        <v>7</v>
      </c>
      <c r="I34" s="505" t="s">
        <v>8</v>
      </c>
      <c r="J34" s="505" t="s">
        <v>9</v>
      </c>
      <c r="K34" s="506" t="s">
        <v>10</v>
      </c>
      <c r="L34" s="506" t="s">
        <v>11</v>
      </c>
      <c r="M34" s="507" t="s">
        <v>476</v>
      </c>
      <c r="N34" s="507" t="s">
        <v>13</v>
      </c>
      <c r="O34" s="504" t="s">
        <v>14</v>
      </c>
      <c r="P34" s="508" t="s">
        <v>15</v>
      </c>
      <c r="Q34" s="13" t="s">
        <v>16</v>
      </c>
      <c r="R34" s="13" t="s">
        <v>17</v>
      </c>
      <c r="S34" s="510" t="s">
        <v>21</v>
      </c>
      <c r="T34" s="510" t="s">
        <v>22</v>
      </c>
      <c r="U34" s="511" t="s">
        <v>23</v>
      </c>
      <c r="V34" s="511" t="s">
        <v>24</v>
      </c>
      <c r="W34" s="510" t="s">
        <v>25</v>
      </c>
      <c r="X34" s="510" t="s">
        <v>26</v>
      </c>
      <c r="Y34" s="510" t="s">
        <v>27</v>
      </c>
      <c r="Z34" s="510" t="s">
        <v>28</v>
      </c>
    </row>
    <row r="35">
      <c r="A35" s="502" t="s">
        <v>29</v>
      </c>
      <c r="B35" s="527">
        <f>I40/E102</f>
        <v>0.06139907901</v>
      </c>
      <c r="C35" s="512">
        <f>I35/E102</f>
        <v>0.004618455649</v>
      </c>
      <c r="D35" s="344" t="s">
        <v>678</v>
      </c>
      <c r="E35" s="344" t="s">
        <v>679</v>
      </c>
      <c r="F35" s="195">
        <v>7.5</v>
      </c>
      <c r="G35" s="513">
        <v>1500.0</v>
      </c>
      <c r="H35" s="217">
        <f t="shared" ref="H35:H39" si="22">J35*G35</f>
        <v>113730</v>
      </c>
      <c r="I35" s="217">
        <f t="shared" ref="I35:I39" si="23">H35+P35</f>
        <v>39390</v>
      </c>
      <c r="J35" s="216">
        <v>75.82</v>
      </c>
      <c r="K35" s="515">
        <f>IFERROR(__xludf.DUMMYFUNCTION("GOOGLEFINANCE(E35,""changepct"")"),-1.57)</f>
        <v>-1.57</v>
      </c>
      <c r="L35" s="517">
        <f>IFERROR(__xludf.DUMMYFUNCTION("googlefinance(E35,""price"")"),26.26)</f>
        <v>26.26</v>
      </c>
      <c r="M35" s="216"/>
      <c r="N35" s="517">
        <f t="shared" ref="N35:N39" si="24">L35-J35</f>
        <v>-49.56</v>
      </c>
      <c r="O35" s="518">
        <f t="shared" ref="O35:O39" si="25">L35/J35-1</f>
        <v>-0.6536533896</v>
      </c>
      <c r="P35" s="514">
        <f t="shared" ref="P35:P39" si="26">H35*O35</f>
        <v>-74340</v>
      </c>
      <c r="Q35" s="538"/>
      <c r="R35" s="514"/>
      <c r="S35" s="519"/>
      <c r="T35" s="520"/>
      <c r="U35" s="521"/>
      <c r="V35" s="522"/>
      <c r="W35" s="523"/>
      <c r="X35" s="524"/>
      <c r="Y35" s="525"/>
      <c r="Z35" s="526"/>
    </row>
    <row r="36">
      <c r="A36" s="528"/>
      <c r="B36" s="528"/>
      <c r="C36" s="512">
        <f>I36/E102</f>
        <v>0.01275967088</v>
      </c>
      <c r="D36" s="567" t="s">
        <v>657</v>
      </c>
      <c r="E36" s="567" t="s">
        <v>309</v>
      </c>
      <c r="F36" s="195">
        <v>7.8</v>
      </c>
      <c r="G36" s="513">
        <v>7500.0</v>
      </c>
      <c r="H36" s="217">
        <f t="shared" si="22"/>
        <v>114900</v>
      </c>
      <c r="I36" s="217">
        <f t="shared" si="23"/>
        <v>108825</v>
      </c>
      <c r="J36" s="216">
        <v>15.32</v>
      </c>
      <c r="K36" s="515">
        <f>IFERROR(__xludf.DUMMYFUNCTION("GOOGLEFINANCE(E36,""changepct"")"),0.28)</f>
        <v>0.28</v>
      </c>
      <c r="L36" s="517">
        <f>IFERROR(__xludf.DUMMYFUNCTION("googlefinance(E36,""price"")"),14.51)</f>
        <v>14.51</v>
      </c>
      <c r="M36" s="216"/>
      <c r="N36" s="517">
        <f t="shared" si="24"/>
        <v>-0.81</v>
      </c>
      <c r="O36" s="518">
        <f t="shared" si="25"/>
        <v>-0.05287206266</v>
      </c>
      <c r="P36" s="514">
        <f t="shared" si="26"/>
        <v>-6075</v>
      </c>
      <c r="Q36" s="538"/>
      <c r="R36" s="217"/>
      <c r="S36" s="519"/>
      <c r="T36" s="520"/>
      <c r="U36" s="521"/>
      <c r="V36" s="522"/>
      <c r="W36" s="519"/>
      <c r="X36" s="520"/>
      <c r="Y36" s="521"/>
      <c r="Z36" s="522"/>
    </row>
    <row r="37">
      <c r="A37" s="528"/>
      <c r="B37" s="528"/>
      <c r="C37" s="512">
        <f>I37/E102</f>
        <v>0.02728066293</v>
      </c>
      <c r="D37" s="567" t="s">
        <v>491</v>
      </c>
      <c r="E37" s="567" t="s">
        <v>492</v>
      </c>
      <c r="F37" s="195">
        <v>8.1</v>
      </c>
      <c r="G37" s="513">
        <v>2200.0</v>
      </c>
      <c r="H37" s="217">
        <f t="shared" si="22"/>
        <v>138776</v>
      </c>
      <c r="I37" s="217">
        <f t="shared" si="23"/>
        <v>232672</v>
      </c>
      <c r="J37" s="216">
        <v>63.08</v>
      </c>
      <c r="K37" s="515">
        <f>IFERROR(__xludf.DUMMYFUNCTION("GOOGLEFINANCE(E37,""changepct"")"),-0.68)</f>
        <v>-0.68</v>
      </c>
      <c r="L37" s="517">
        <f>IFERROR(__xludf.DUMMYFUNCTION("googlefinance(E37,""price"")"),105.76)</f>
        <v>105.76</v>
      </c>
      <c r="M37" s="216"/>
      <c r="N37" s="517">
        <f t="shared" si="24"/>
        <v>42.68</v>
      </c>
      <c r="O37" s="518">
        <f t="shared" si="25"/>
        <v>0.6766011414</v>
      </c>
      <c r="P37" s="514">
        <f t="shared" si="26"/>
        <v>93896</v>
      </c>
      <c r="Q37" s="538"/>
      <c r="R37" s="217"/>
      <c r="S37" s="519"/>
      <c r="T37" s="520"/>
      <c r="U37" s="521"/>
      <c r="V37" s="522"/>
      <c r="W37" s="519"/>
      <c r="X37" s="520"/>
      <c r="Y37" s="521"/>
      <c r="Z37" s="522"/>
    </row>
    <row r="38">
      <c r="A38" s="528"/>
      <c r="B38" s="528"/>
      <c r="C38" s="512">
        <f>I38/E102</f>
        <v>0.01551620534</v>
      </c>
      <c r="D38" s="567" t="s">
        <v>94</v>
      </c>
      <c r="E38" s="567" t="s">
        <v>95</v>
      </c>
      <c r="F38" s="195">
        <v>7.9</v>
      </c>
      <c r="G38" s="513">
        <v>3500.0</v>
      </c>
      <c r="H38" s="217">
        <f t="shared" si="22"/>
        <v>112035</v>
      </c>
      <c r="I38" s="217">
        <f t="shared" si="23"/>
        <v>132335</v>
      </c>
      <c r="J38" s="216">
        <v>32.01</v>
      </c>
      <c r="K38" s="515">
        <f>IFERROR(__xludf.DUMMYFUNCTION("GOOGLEFINANCE(E38,""changepct"")"),0.03)</f>
        <v>0.03</v>
      </c>
      <c r="L38" s="517">
        <f>IFERROR(__xludf.DUMMYFUNCTION("googlefinance(E38,""price"")"),37.81)</f>
        <v>37.81</v>
      </c>
      <c r="M38" s="216"/>
      <c r="N38" s="517">
        <f t="shared" si="24"/>
        <v>5.8</v>
      </c>
      <c r="O38" s="518">
        <f t="shared" si="25"/>
        <v>0.1811933771</v>
      </c>
      <c r="P38" s="514">
        <f t="shared" si="26"/>
        <v>20300</v>
      </c>
      <c r="Q38" s="538"/>
      <c r="R38" s="217"/>
      <c r="S38" s="519"/>
      <c r="T38" s="520"/>
      <c r="U38" s="521"/>
      <c r="V38" s="522"/>
      <c r="W38" s="519"/>
      <c r="X38" s="520"/>
      <c r="Y38" s="521"/>
      <c r="Z38" s="522"/>
    </row>
    <row r="39">
      <c r="A39" s="528"/>
      <c r="B39" s="528"/>
      <c r="C39" s="512">
        <f>I39/E102</f>
        <v>0.001224084209</v>
      </c>
      <c r="D39" s="344" t="s">
        <v>680</v>
      </c>
      <c r="E39" s="344" t="s">
        <v>681</v>
      </c>
      <c r="F39" s="195">
        <v>8.2</v>
      </c>
      <c r="G39" s="513">
        <v>1500.0</v>
      </c>
      <c r="H39" s="217">
        <f t="shared" si="22"/>
        <v>138000</v>
      </c>
      <c r="I39" s="217">
        <f t="shared" si="23"/>
        <v>10440</v>
      </c>
      <c r="J39" s="216">
        <v>92.0</v>
      </c>
      <c r="K39" s="515">
        <f>IFERROR(__xludf.DUMMYFUNCTION("GOOGLEFINANCE(E39,""changepct"")"),0.0)</f>
        <v>0</v>
      </c>
      <c r="L39" s="517">
        <f>IFERROR(__xludf.DUMMYFUNCTION("googlefinance(E39,""price"")"),6.96)</f>
        <v>6.96</v>
      </c>
      <c r="M39" s="216"/>
      <c r="N39" s="517">
        <f t="shared" si="24"/>
        <v>-85.04</v>
      </c>
      <c r="O39" s="518">
        <f t="shared" si="25"/>
        <v>-0.9243478261</v>
      </c>
      <c r="P39" s="514">
        <f t="shared" si="26"/>
        <v>-127560</v>
      </c>
      <c r="Q39" s="538"/>
      <c r="R39" s="217"/>
      <c r="S39" s="519"/>
      <c r="T39" s="520"/>
      <c r="U39" s="521"/>
      <c r="V39" s="522"/>
      <c r="W39" s="523"/>
      <c r="X39" s="524"/>
      <c r="Y39" s="525"/>
      <c r="Z39" s="526"/>
    </row>
    <row r="40">
      <c r="A40" s="13"/>
      <c r="B40" s="13"/>
      <c r="C40" s="504" t="s">
        <v>89</v>
      </c>
      <c r="D40" s="13"/>
      <c r="E40" s="13"/>
      <c r="F40" s="13"/>
      <c r="G40" s="564"/>
      <c r="H40" s="509">
        <f t="shared" ref="H40:I40" si="27">SUM(H35:H39)</f>
        <v>617441</v>
      </c>
      <c r="I40" s="539">
        <f t="shared" si="27"/>
        <v>523662</v>
      </c>
      <c r="J40" s="506"/>
      <c r="K40" s="506"/>
      <c r="L40" s="506"/>
      <c r="M40" s="507"/>
      <c r="N40" s="507"/>
      <c r="O40" s="540">
        <f>P40/H40</f>
        <v>-0.1518833378</v>
      </c>
      <c r="P40" s="539">
        <f>SUM(P35:P39)</f>
        <v>-93779</v>
      </c>
      <c r="Q40" s="13"/>
      <c r="R40" s="509"/>
      <c r="S40" s="510" t="s">
        <v>89</v>
      </c>
      <c r="T40" s="542"/>
      <c r="U40" s="543"/>
      <c r="V40" s="570">
        <f>SUM(V35:V39)</f>
        <v>0</v>
      </c>
      <c r="W40" s="510" t="s">
        <v>89</v>
      </c>
      <c r="X40" s="542"/>
      <c r="Y40" s="543"/>
      <c r="Z40" s="570">
        <f>SUM(Z35:Z39)</f>
        <v>0</v>
      </c>
    </row>
    <row r="41">
      <c r="A41" s="173"/>
      <c r="B41" s="504" t="s">
        <v>682</v>
      </c>
      <c r="C41" s="504" t="s">
        <v>2</v>
      </c>
      <c r="D41" s="13" t="s">
        <v>3</v>
      </c>
      <c r="E41" s="13" t="s">
        <v>4</v>
      </c>
      <c r="F41" s="13" t="s">
        <v>5</v>
      </c>
      <c r="G41" s="504" t="s">
        <v>6</v>
      </c>
      <c r="H41" s="504" t="s">
        <v>7</v>
      </c>
      <c r="I41" s="505" t="s">
        <v>8</v>
      </c>
      <c r="J41" s="505" t="s">
        <v>9</v>
      </c>
      <c r="K41" s="506" t="s">
        <v>10</v>
      </c>
      <c r="L41" s="506" t="s">
        <v>11</v>
      </c>
      <c r="M41" s="507" t="s">
        <v>476</v>
      </c>
      <c r="N41" s="507" t="s">
        <v>13</v>
      </c>
      <c r="O41" s="504" t="s">
        <v>14</v>
      </c>
      <c r="P41" s="508" t="s">
        <v>15</v>
      </c>
      <c r="Q41" s="13" t="s">
        <v>16</v>
      </c>
      <c r="R41" s="13" t="s">
        <v>17</v>
      </c>
      <c r="S41" s="510" t="s">
        <v>21</v>
      </c>
      <c r="T41" s="510" t="s">
        <v>22</v>
      </c>
      <c r="U41" s="511" t="s">
        <v>23</v>
      </c>
      <c r="V41" s="511" t="s">
        <v>24</v>
      </c>
      <c r="W41" s="510" t="s">
        <v>25</v>
      </c>
      <c r="X41" s="510" t="s">
        <v>26</v>
      </c>
      <c r="Y41" s="510" t="s">
        <v>27</v>
      </c>
      <c r="Z41" s="510" t="s">
        <v>28</v>
      </c>
    </row>
    <row r="42">
      <c r="A42" s="502" t="s">
        <v>29</v>
      </c>
      <c r="B42" s="527" t="str">
        <f>I53/E102</f>
        <v>#N/A</v>
      </c>
      <c r="C42" s="512">
        <f>I42/E102</f>
        <v>0.0103044675</v>
      </c>
      <c r="D42" s="571" t="s">
        <v>595</v>
      </c>
      <c r="E42" s="104" t="s">
        <v>130</v>
      </c>
      <c r="F42" s="195">
        <v>7.9</v>
      </c>
      <c r="G42" s="513">
        <v>1500.0</v>
      </c>
      <c r="H42" s="217">
        <f t="shared" ref="H42:H52" si="28">G42*J42</f>
        <v>125970</v>
      </c>
      <c r="I42" s="514">
        <f t="shared" ref="I42:I43" si="29">H42+P42</f>
        <v>87885</v>
      </c>
      <c r="J42" s="216">
        <v>83.98</v>
      </c>
      <c r="K42" s="515">
        <f>IFERROR(__xludf.DUMMYFUNCTION("GOOGLEFINANCE(E42,""changepct"")"),-0.71)</f>
        <v>-0.71</v>
      </c>
      <c r="L42" s="517">
        <f>IFERROR(__xludf.DUMMYFUNCTION("googlefinance(E42,""price"")"),58.59)</f>
        <v>58.59</v>
      </c>
      <c r="M42" s="517"/>
      <c r="N42" s="517">
        <f t="shared" ref="N42:N52" si="30">L42-J42</f>
        <v>-25.39</v>
      </c>
      <c r="O42" s="518">
        <f t="shared" ref="O42:O43" si="31">L42/J42-1</f>
        <v>-0.302333889</v>
      </c>
      <c r="P42" s="495">
        <f t="shared" ref="P42:P52" si="32">H42*O42</f>
        <v>-38085</v>
      </c>
      <c r="Q42" s="538"/>
      <c r="R42" s="217"/>
      <c r="S42" s="523"/>
      <c r="T42" s="524"/>
      <c r="U42" s="525"/>
      <c r="V42" s="525"/>
      <c r="W42" s="519"/>
      <c r="X42" s="520"/>
      <c r="Y42" s="521"/>
      <c r="Z42" s="522"/>
    </row>
    <row r="43">
      <c r="A43" s="528"/>
      <c r="B43" s="528"/>
      <c r="C43" s="512">
        <f>I43/E102</f>
        <v>0.005452099205</v>
      </c>
      <c r="D43" s="571" t="s">
        <v>598</v>
      </c>
      <c r="E43" s="104" t="s">
        <v>599</v>
      </c>
      <c r="F43" s="195">
        <v>7.7</v>
      </c>
      <c r="G43" s="513">
        <v>5000.0</v>
      </c>
      <c r="H43" s="217">
        <f t="shared" si="28"/>
        <v>100950</v>
      </c>
      <c r="I43" s="514">
        <f t="shared" si="29"/>
        <v>46500</v>
      </c>
      <c r="J43" s="216">
        <v>20.19</v>
      </c>
      <c r="K43" s="515">
        <f>IFERROR(__xludf.DUMMYFUNCTION("GOOGLEFINANCE(E43,""changepct"")"),0.65)</f>
        <v>0.65</v>
      </c>
      <c r="L43" s="517">
        <f>IFERROR(__xludf.DUMMYFUNCTION("googlefinance(E43,""price"")"),9.3)</f>
        <v>9.3</v>
      </c>
      <c r="M43" s="216"/>
      <c r="N43" s="517">
        <f t="shared" si="30"/>
        <v>-10.89</v>
      </c>
      <c r="O43" s="518">
        <f t="shared" si="31"/>
        <v>-0.5393759287</v>
      </c>
      <c r="P43" s="495">
        <f t="shared" si="32"/>
        <v>-54450</v>
      </c>
      <c r="Q43" s="538"/>
      <c r="R43" s="514"/>
      <c r="S43" s="519"/>
      <c r="T43" s="520"/>
      <c r="U43" s="521"/>
      <c r="V43" s="522"/>
      <c r="W43" s="519" t="s">
        <v>599</v>
      </c>
      <c r="X43" s="520">
        <v>44461.0</v>
      </c>
      <c r="Y43" s="521">
        <v>20.19</v>
      </c>
      <c r="Z43" s="522">
        <v>100950.0</v>
      </c>
    </row>
    <row r="44">
      <c r="A44" s="528"/>
      <c r="B44" s="528"/>
      <c r="C44" s="512">
        <f>I44/E102</f>
        <v>0</v>
      </c>
      <c r="D44" s="571" t="s">
        <v>598</v>
      </c>
      <c r="E44" s="104" t="s">
        <v>599</v>
      </c>
      <c r="F44" s="195">
        <v>7.7</v>
      </c>
      <c r="G44" s="513">
        <v>5500.0</v>
      </c>
      <c r="H44" s="217">
        <f t="shared" si="28"/>
        <v>118580</v>
      </c>
      <c r="I44" s="217">
        <v>0.0</v>
      </c>
      <c r="J44" s="216">
        <v>21.56</v>
      </c>
      <c r="K44" s="515">
        <f>IFERROR(__xludf.DUMMYFUNCTION("GOOGLEFINANCE(E44,""changepct"")"),0.65)</f>
        <v>0.65</v>
      </c>
      <c r="L44" s="517">
        <f>IFERROR(__xludf.DUMMYFUNCTION("googlefinance(E44,""price"")"),9.3)</f>
        <v>9.3</v>
      </c>
      <c r="M44" s="216">
        <v>23.99</v>
      </c>
      <c r="N44" s="517">
        <f t="shared" si="30"/>
        <v>-12.26</v>
      </c>
      <c r="O44" s="518">
        <f>M44/J44-1</f>
        <v>0.1127087199</v>
      </c>
      <c r="P44" s="495">
        <f t="shared" si="32"/>
        <v>13365</v>
      </c>
      <c r="Q44" s="538"/>
      <c r="R44" s="514"/>
      <c r="S44" s="519" t="s">
        <v>599</v>
      </c>
      <c r="T44" s="520">
        <v>44449.0</v>
      </c>
      <c r="U44" s="521">
        <v>23.99</v>
      </c>
      <c r="V44" s="522">
        <v>131945.0</v>
      </c>
      <c r="W44" s="519"/>
      <c r="X44" s="520"/>
      <c r="Y44" s="521"/>
      <c r="Z44" s="522"/>
    </row>
    <row r="45">
      <c r="A45" s="528"/>
      <c r="B45" s="528"/>
      <c r="C45" s="512" t="str">
        <f>I45/E102</f>
        <v>#N/A</v>
      </c>
      <c r="D45" s="600" t="s">
        <v>683</v>
      </c>
      <c r="E45" s="344" t="s">
        <v>684</v>
      </c>
      <c r="F45" s="195">
        <v>8.1</v>
      </c>
      <c r="G45" s="513">
        <v>4000.0</v>
      </c>
      <c r="H45" s="217">
        <f t="shared" si="28"/>
        <v>135680</v>
      </c>
      <c r="I45" s="514" t="str">
        <f t="shared" ref="I45:I47" si="33">H45+P45</f>
        <v>#N/A</v>
      </c>
      <c r="J45" s="216">
        <v>33.92</v>
      </c>
      <c r="K45" s="515" t="str">
        <f>IFERROR(__xludf.DUMMYFUNCTION("GOOGLEFINANCE(E45,""changepct"")"),"#N/A")</f>
        <v>#N/A</v>
      </c>
      <c r="L45" s="517" t="str">
        <f>IFERROR(__xludf.DUMMYFUNCTION("googlefinance(E45,""price"")"),"#N/A")</f>
        <v>#N/A</v>
      </c>
      <c r="M45" s="517"/>
      <c r="N45" s="528" t="str">
        <f t="shared" si="30"/>
        <v>#N/A</v>
      </c>
      <c r="O45" s="518" t="str">
        <f t="shared" ref="O45:O47" si="34">L45/J45-1</f>
        <v>#N/A</v>
      </c>
      <c r="P45" s="637" t="str">
        <f t="shared" si="32"/>
        <v>#N/A</v>
      </c>
      <c r="Q45" s="538"/>
      <c r="R45" s="217"/>
      <c r="S45" s="523"/>
      <c r="T45" s="524"/>
      <c r="U45" s="525"/>
      <c r="V45" s="525"/>
      <c r="W45" s="523"/>
      <c r="X45" s="524"/>
      <c r="Y45" s="525"/>
      <c r="Z45" s="526"/>
    </row>
    <row r="46">
      <c r="A46" s="528"/>
      <c r="B46" s="528"/>
      <c r="C46" s="512">
        <f>I46/E102</f>
        <v>0.008552174538</v>
      </c>
      <c r="D46" s="571" t="s">
        <v>145</v>
      </c>
      <c r="E46" s="104" t="s">
        <v>146</v>
      </c>
      <c r="F46" s="195">
        <v>7.7</v>
      </c>
      <c r="G46" s="513">
        <v>2000.0</v>
      </c>
      <c r="H46" s="217">
        <f t="shared" si="28"/>
        <v>108280</v>
      </c>
      <c r="I46" s="514">
        <f t="shared" si="33"/>
        <v>72940</v>
      </c>
      <c r="J46" s="216">
        <v>54.14</v>
      </c>
      <c r="K46" s="515">
        <f>IFERROR(__xludf.DUMMYFUNCTION("GOOGLEFINANCE(E46,""changepct"")"),-2.33)</f>
        <v>-2.33</v>
      </c>
      <c r="L46" s="517">
        <f>IFERROR(__xludf.DUMMYFUNCTION("googlefinance(E46,""price"")"),36.47)</f>
        <v>36.47</v>
      </c>
      <c r="M46" s="216"/>
      <c r="N46" s="517">
        <f t="shared" si="30"/>
        <v>-17.67</v>
      </c>
      <c r="O46" s="518">
        <f t="shared" si="34"/>
        <v>-0.3263760621</v>
      </c>
      <c r="P46" s="495">
        <f t="shared" si="32"/>
        <v>-35340</v>
      </c>
      <c r="Q46" s="538"/>
      <c r="R46" s="514"/>
      <c r="S46" s="519"/>
      <c r="T46" s="520"/>
      <c r="U46" s="521"/>
      <c r="V46" s="522"/>
      <c r="W46" s="519" t="s">
        <v>146</v>
      </c>
      <c r="X46" s="520">
        <v>44421.0</v>
      </c>
      <c r="Y46" s="521">
        <v>54.14</v>
      </c>
      <c r="Z46" s="522">
        <v>108280.0</v>
      </c>
    </row>
    <row r="47">
      <c r="A47" s="528"/>
      <c r="B47" s="528"/>
      <c r="C47" s="512">
        <f>I47/E102</f>
        <v>0.001758741679</v>
      </c>
      <c r="D47" s="600" t="s">
        <v>661</v>
      </c>
      <c r="E47" s="344" t="s">
        <v>144</v>
      </c>
      <c r="F47" s="195">
        <v>7.8</v>
      </c>
      <c r="G47" s="513">
        <v>5000.0</v>
      </c>
      <c r="H47" s="217">
        <f t="shared" si="28"/>
        <v>108400</v>
      </c>
      <c r="I47" s="514">
        <f t="shared" si="33"/>
        <v>15000</v>
      </c>
      <c r="J47" s="216">
        <v>21.68</v>
      </c>
      <c r="K47" s="515">
        <f>IFERROR(__xludf.DUMMYFUNCTION("GOOGLEFINANCE(E47,""changepct"")"),-2.91)</f>
        <v>-2.91</v>
      </c>
      <c r="L47" s="517">
        <f>IFERROR(__xludf.DUMMYFUNCTION("googlefinance(E47,""price"")"),3.0)</f>
        <v>3</v>
      </c>
      <c r="M47" s="216"/>
      <c r="N47" s="517">
        <f t="shared" si="30"/>
        <v>-18.68</v>
      </c>
      <c r="O47" s="518">
        <f t="shared" si="34"/>
        <v>-0.8616236162</v>
      </c>
      <c r="P47" s="495">
        <f t="shared" si="32"/>
        <v>-93400</v>
      </c>
      <c r="Q47" s="538"/>
      <c r="R47" s="514"/>
      <c r="S47" s="519"/>
      <c r="T47" s="520"/>
      <c r="U47" s="521"/>
      <c r="V47" s="522"/>
      <c r="W47" s="519" t="s">
        <v>144</v>
      </c>
      <c r="X47" s="520">
        <v>44461.0</v>
      </c>
      <c r="Y47" s="521">
        <v>21.68</v>
      </c>
      <c r="Z47" s="522">
        <v>108400.0</v>
      </c>
    </row>
    <row r="48">
      <c r="A48" s="528"/>
      <c r="B48" s="528"/>
      <c r="C48" s="512">
        <f>I48/E102</f>
        <v>0</v>
      </c>
      <c r="D48" s="600" t="s">
        <v>661</v>
      </c>
      <c r="E48" s="344" t="s">
        <v>144</v>
      </c>
      <c r="F48" s="195">
        <v>7.8</v>
      </c>
      <c r="G48" s="513">
        <v>7500.0</v>
      </c>
      <c r="H48" s="217">
        <f t="shared" si="28"/>
        <v>111300</v>
      </c>
      <c r="I48" s="217">
        <v>0.0</v>
      </c>
      <c r="J48" s="216">
        <v>14.84</v>
      </c>
      <c r="K48" s="515">
        <f>IFERROR(__xludf.DUMMYFUNCTION("GOOGLEFINANCE(E48,""changepct"")"),-2.91)</f>
        <v>-2.91</v>
      </c>
      <c r="L48" s="517">
        <f>IFERROR(__xludf.DUMMYFUNCTION("googlefinance(E48,""price"")"),3.0)</f>
        <v>3</v>
      </c>
      <c r="M48" s="216">
        <v>21.62</v>
      </c>
      <c r="N48" s="517">
        <f t="shared" si="30"/>
        <v>-11.84</v>
      </c>
      <c r="O48" s="518">
        <f>M48/J48-1</f>
        <v>0.4568733154</v>
      </c>
      <c r="P48" s="495">
        <f t="shared" si="32"/>
        <v>50850</v>
      </c>
      <c r="Q48" s="538"/>
      <c r="R48" s="514"/>
      <c r="S48" s="519" t="s">
        <v>144</v>
      </c>
      <c r="T48" s="520">
        <v>44448.0</v>
      </c>
      <c r="U48" s="521">
        <v>21.62</v>
      </c>
      <c r="V48" s="522">
        <v>162150.0</v>
      </c>
      <c r="W48" s="523"/>
      <c r="X48" s="524"/>
      <c r="Y48" s="525"/>
      <c r="Z48" s="526"/>
    </row>
    <row r="49">
      <c r="A49" s="528"/>
      <c r="B49" s="528"/>
      <c r="C49" s="512">
        <f>I49/E102</f>
        <v>0.009848953402</v>
      </c>
      <c r="D49" s="104" t="s">
        <v>454</v>
      </c>
      <c r="E49" s="104" t="s">
        <v>132</v>
      </c>
      <c r="F49" s="195">
        <v>8.2</v>
      </c>
      <c r="G49" s="513">
        <v>3500.0</v>
      </c>
      <c r="H49" s="217">
        <f t="shared" si="28"/>
        <v>111685</v>
      </c>
      <c r="I49" s="514">
        <f t="shared" ref="I49:I51" si="35">H49+P49</f>
        <v>84000</v>
      </c>
      <c r="J49" s="216">
        <v>31.91</v>
      </c>
      <c r="K49" s="515">
        <f>IFERROR(__xludf.DUMMYFUNCTION("GOOGLEFINANCE(E49,""changepct"")"),0.54)</f>
        <v>0.54</v>
      </c>
      <c r="L49" s="517">
        <f>IFERROR(__xludf.DUMMYFUNCTION("googlefinance(E49,""price"")"),24.0)</f>
        <v>24</v>
      </c>
      <c r="M49" s="517"/>
      <c r="N49" s="517">
        <f t="shared" si="30"/>
        <v>-7.91</v>
      </c>
      <c r="O49" s="518">
        <f t="shared" ref="O49:O51" si="36">L49/J49-1</f>
        <v>-0.2478846757</v>
      </c>
      <c r="P49" s="495">
        <f t="shared" si="32"/>
        <v>-27685</v>
      </c>
      <c r="Q49" s="538"/>
      <c r="R49" s="217"/>
      <c r="S49" s="523"/>
      <c r="T49" s="524"/>
      <c r="U49" s="525"/>
      <c r="V49" s="525"/>
      <c r="W49" s="519"/>
      <c r="X49" s="520"/>
      <c r="Y49" s="521"/>
      <c r="Z49" s="522"/>
    </row>
    <row r="50">
      <c r="A50" s="528"/>
      <c r="B50" s="528"/>
      <c r="C50" s="512">
        <f>I50/E102</f>
        <v>0.007570210433</v>
      </c>
      <c r="D50" s="104" t="s">
        <v>452</v>
      </c>
      <c r="E50" s="104" t="s">
        <v>453</v>
      </c>
      <c r="F50" s="569">
        <v>8.1</v>
      </c>
      <c r="G50" s="513">
        <v>500.0</v>
      </c>
      <c r="H50" s="217">
        <f t="shared" si="28"/>
        <v>100115</v>
      </c>
      <c r="I50" s="514">
        <f t="shared" si="35"/>
        <v>64565</v>
      </c>
      <c r="J50" s="216">
        <v>200.23</v>
      </c>
      <c r="K50" s="515">
        <f>IFERROR(__xludf.DUMMYFUNCTION("GOOGLEFINANCE(E50,""changepct"")"),-0.81)</f>
        <v>-0.81</v>
      </c>
      <c r="L50" s="517">
        <f>IFERROR(__xludf.DUMMYFUNCTION("googlefinance(E50,""price"")"),129.13)</f>
        <v>129.13</v>
      </c>
      <c r="M50" s="216"/>
      <c r="N50" s="517">
        <f t="shared" si="30"/>
        <v>-71.1</v>
      </c>
      <c r="O50" s="518">
        <f t="shared" si="36"/>
        <v>-0.3550916446</v>
      </c>
      <c r="P50" s="495">
        <f t="shared" si="32"/>
        <v>-35550</v>
      </c>
      <c r="Q50" s="538"/>
      <c r="R50" s="514"/>
      <c r="S50" s="519"/>
      <c r="T50" s="520"/>
      <c r="U50" s="521"/>
      <c r="V50" s="522"/>
      <c r="W50" s="519" t="s">
        <v>453</v>
      </c>
      <c r="X50" s="520">
        <v>44419.0</v>
      </c>
      <c r="Y50" s="521">
        <v>200.23</v>
      </c>
      <c r="Z50" s="522">
        <v>100115.0</v>
      </c>
    </row>
    <row r="51">
      <c r="A51" s="528"/>
      <c r="B51" s="528"/>
      <c r="C51" s="512">
        <f>I51/E102</f>
        <v>0.007305812934</v>
      </c>
      <c r="D51" s="344" t="s">
        <v>662</v>
      </c>
      <c r="E51" s="344" t="s">
        <v>663</v>
      </c>
      <c r="F51" s="569">
        <v>8.0</v>
      </c>
      <c r="G51" s="513">
        <v>1500.0</v>
      </c>
      <c r="H51" s="217">
        <f t="shared" si="28"/>
        <v>122385</v>
      </c>
      <c r="I51" s="514">
        <f t="shared" si="35"/>
        <v>62310</v>
      </c>
      <c r="J51" s="216">
        <v>81.59</v>
      </c>
      <c r="K51" s="515">
        <f>IFERROR(__xludf.DUMMYFUNCTION("GOOGLEFINANCE(E51,""changepct"")"),-0.72)</f>
        <v>-0.72</v>
      </c>
      <c r="L51" s="517">
        <f>IFERROR(__xludf.DUMMYFUNCTION("googlefinance(E51,""price"")"),41.54)</f>
        <v>41.54</v>
      </c>
      <c r="M51" s="216"/>
      <c r="N51" s="517">
        <f t="shared" si="30"/>
        <v>-40.05</v>
      </c>
      <c r="O51" s="518">
        <f t="shared" si="36"/>
        <v>-0.490868979</v>
      </c>
      <c r="P51" s="495">
        <f t="shared" si="32"/>
        <v>-60075</v>
      </c>
      <c r="Q51" s="538"/>
      <c r="R51" s="514"/>
      <c r="S51" s="519"/>
      <c r="T51" s="520"/>
      <c r="U51" s="521"/>
      <c r="V51" s="522"/>
      <c r="W51" s="519" t="s">
        <v>663</v>
      </c>
      <c r="X51" s="520">
        <v>44461.0</v>
      </c>
      <c r="Y51" s="521">
        <v>81.59</v>
      </c>
      <c r="Z51" s="522">
        <v>122385.0</v>
      </c>
    </row>
    <row r="52">
      <c r="A52" s="528"/>
      <c r="B52" s="528"/>
      <c r="C52" s="512">
        <f>I52/E102</f>
        <v>0</v>
      </c>
      <c r="D52" s="344" t="s">
        <v>662</v>
      </c>
      <c r="E52" s="344" t="s">
        <v>663</v>
      </c>
      <c r="F52" s="569">
        <v>8.0</v>
      </c>
      <c r="G52" s="513">
        <v>1700.0</v>
      </c>
      <c r="H52" s="217">
        <f t="shared" si="28"/>
        <v>123182</v>
      </c>
      <c r="I52" s="217">
        <v>0.0</v>
      </c>
      <c r="J52" s="216">
        <v>72.46</v>
      </c>
      <c r="K52" s="515">
        <f>IFERROR(__xludf.DUMMYFUNCTION("GOOGLEFINANCE(E52,""changepct"")"),-0.72)</f>
        <v>-0.72</v>
      </c>
      <c r="L52" s="517">
        <f>IFERROR(__xludf.DUMMYFUNCTION("googlefinance(E52,""price"")"),41.54)</f>
        <v>41.54</v>
      </c>
      <c r="M52" s="216">
        <v>86.25</v>
      </c>
      <c r="N52" s="517">
        <f t="shared" si="30"/>
        <v>-30.92</v>
      </c>
      <c r="O52" s="518">
        <f>M52/J52-1</f>
        <v>0.1903118962</v>
      </c>
      <c r="P52" s="495">
        <f t="shared" si="32"/>
        <v>23443</v>
      </c>
      <c r="Q52" s="538"/>
      <c r="R52" s="514"/>
      <c r="S52" s="519" t="s">
        <v>663</v>
      </c>
      <c r="T52" s="520">
        <v>44449.0</v>
      </c>
      <c r="U52" s="521">
        <v>86.25</v>
      </c>
      <c r="V52" s="522">
        <v>146625.0</v>
      </c>
      <c r="W52" s="523"/>
      <c r="X52" s="524"/>
      <c r="Y52" s="525"/>
      <c r="Z52" s="526"/>
    </row>
    <row r="53">
      <c r="A53" s="13"/>
      <c r="B53" s="13"/>
      <c r="C53" s="13"/>
      <c r="D53" s="13"/>
      <c r="E53" s="13"/>
      <c r="F53" s="13"/>
      <c r="G53" s="564"/>
      <c r="H53" s="509">
        <f t="shared" ref="H53:I53" si="37">SUM(H42:H52)</f>
        <v>1266527</v>
      </c>
      <c r="I53" s="539" t="str">
        <f t="shared" si="37"/>
        <v>#N/A</v>
      </c>
      <c r="J53" s="506"/>
      <c r="K53" s="506"/>
      <c r="L53" s="506"/>
      <c r="M53" s="507"/>
      <c r="N53" s="507"/>
      <c r="O53" s="540" t="str">
        <f>P53/H53</f>
        <v>#N/A</v>
      </c>
      <c r="P53" s="507" t="str">
        <f>SUM(P42:P52)</f>
        <v>#N/A</v>
      </c>
      <c r="Q53" s="13"/>
      <c r="R53" s="509"/>
      <c r="S53" s="510" t="s">
        <v>89</v>
      </c>
      <c r="T53" s="542"/>
      <c r="U53" s="543"/>
      <c r="V53" s="570">
        <f>SUM(V42:V52)</f>
        <v>440720</v>
      </c>
      <c r="W53" s="510" t="s">
        <v>89</v>
      </c>
      <c r="X53" s="542"/>
      <c r="Y53" s="543"/>
      <c r="Z53" s="570">
        <f>SUM(Z42:Z52)</f>
        <v>540130</v>
      </c>
    </row>
    <row r="54">
      <c r="A54" s="173"/>
      <c r="B54" s="504" t="s">
        <v>614</v>
      </c>
      <c r="C54" s="504" t="s">
        <v>2</v>
      </c>
      <c r="D54" s="13" t="s">
        <v>3</v>
      </c>
      <c r="E54" s="13" t="s">
        <v>4</v>
      </c>
      <c r="F54" s="13" t="s">
        <v>5</v>
      </c>
      <c r="G54" s="504" t="s">
        <v>6</v>
      </c>
      <c r="H54" s="504" t="s">
        <v>7</v>
      </c>
      <c r="I54" s="505" t="s">
        <v>8</v>
      </c>
      <c r="J54" s="505" t="s">
        <v>9</v>
      </c>
      <c r="K54" s="506" t="s">
        <v>10</v>
      </c>
      <c r="L54" s="506" t="s">
        <v>11</v>
      </c>
      <c r="M54" s="507" t="s">
        <v>476</v>
      </c>
      <c r="N54" s="507" t="s">
        <v>13</v>
      </c>
      <c r="O54" s="504" t="s">
        <v>14</v>
      </c>
      <c r="P54" s="508" t="s">
        <v>15</v>
      </c>
      <c r="Q54" s="13" t="s">
        <v>16</v>
      </c>
      <c r="R54" s="13" t="s">
        <v>17</v>
      </c>
      <c r="S54" s="510" t="s">
        <v>21</v>
      </c>
      <c r="T54" s="510" t="s">
        <v>22</v>
      </c>
      <c r="U54" s="511" t="s">
        <v>23</v>
      </c>
      <c r="V54" s="511" t="s">
        <v>24</v>
      </c>
      <c r="W54" s="510" t="s">
        <v>25</v>
      </c>
      <c r="X54" s="510" t="s">
        <v>26</v>
      </c>
      <c r="Y54" s="510" t="s">
        <v>27</v>
      </c>
      <c r="Z54" s="510" t="s">
        <v>28</v>
      </c>
    </row>
    <row r="55">
      <c r="A55" s="502" t="s">
        <v>29</v>
      </c>
      <c r="B55" s="527">
        <f>I60/E102</f>
        <v>0.06631851398</v>
      </c>
      <c r="C55" s="512">
        <f>I55/E102</f>
        <v>0.02353694677</v>
      </c>
      <c r="D55" s="344" t="s">
        <v>539</v>
      </c>
      <c r="E55" s="344" t="s">
        <v>540</v>
      </c>
      <c r="F55" s="195">
        <v>8.1</v>
      </c>
      <c r="G55" s="513">
        <v>350.0</v>
      </c>
      <c r="H55" s="217">
        <f t="shared" ref="H55:H59" si="38">G55*J55</f>
        <v>132835.5</v>
      </c>
      <c r="I55" s="217">
        <f t="shared" ref="I55:I56" si="39">H55+P55</f>
        <v>200742.5</v>
      </c>
      <c r="J55" s="216">
        <v>379.53</v>
      </c>
      <c r="K55" s="568">
        <f>IFERROR(__xludf.DUMMYFUNCTION("GOOGLEFINANCE(E55,""changepct"")"),-0.46)</f>
        <v>-0.46</v>
      </c>
      <c r="L55" s="516">
        <f>IFERROR(__xludf.DUMMYFUNCTION("googlefinance(E55,""price"")"),573.55)</f>
        <v>573.55</v>
      </c>
      <c r="M55" s="216"/>
      <c r="N55" s="517">
        <f t="shared" ref="N55:N59" si="40">L55-J55</f>
        <v>194.02</v>
      </c>
      <c r="O55" s="518">
        <f t="shared" ref="O55:O56" si="41">L55/J55-1</f>
        <v>0.5112112349</v>
      </c>
      <c r="P55" s="495">
        <f t="shared" ref="P55:P59" si="42">H55*O55</f>
        <v>67907</v>
      </c>
      <c r="Q55" s="538"/>
      <c r="R55" s="217"/>
      <c r="S55" s="519"/>
      <c r="T55" s="520"/>
      <c r="U55" s="521"/>
      <c r="V55" s="522"/>
      <c r="W55" s="523"/>
      <c r="X55" s="524"/>
      <c r="Y55" s="525"/>
      <c r="Z55" s="526"/>
    </row>
    <row r="56">
      <c r="A56" s="528"/>
      <c r="B56" s="528"/>
      <c r="C56" s="512">
        <f>I56/E102</f>
        <v>0.02244810979</v>
      </c>
      <c r="D56" s="344" t="s">
        <v>615</v>
      </c>
      <c r="E56" s="344" t="s">
        <v>616</v>
      </c>
      <c r="F56" s="195">
        <v>8.0</v>
      </c>
      <c r="G56" s="513">
        <v>800.0</v>
      </c>
      <c r="H56" s="217">
        <f t="shared" si="38"/>
        <v>124656</v>
      </c>
      <c r="I56" s="217">
        <f t="shared" si="39"/>
        <v>191456</v>
      </c>
      <c r="J56" s="216">
        <v>155.82</v>
      </c>
      <c r="K56" s="568">
        <f>IFERROR(__xludf.DUMMYFUNCTION("GOOGLEFINANCE(E56,""changepct"")"),-0.77)</f>
        <v>-0.77</v>
      </c>
      <c r="L56" s="516">
        <f>IFERROR(__xludf.DUMMYFUNCTION("googlefinance(E56,""price"")"),239.32)</f>
        <v>239.32</v>
      </c>
      <c r="M56" s="216"/>
      <c r="N56" s="517">
        <f t="shared" si="40"/>
        <v>83.5</v>
      </c>
      <c r="O56" s="518">
        <f t="shared" si="41"/>
        <v>0.5358747272</v>
      </c>
      <c r="P56" s="495">
        <f t="shared" si="42"/>
        <v>66800</v>
      </c>
      <c r="Q56" s="538"/>
      <c r="R56" s="217"/>
      <c r="S56" s="519"/>
      <c r="T56" s="520"/>
      <c r="U56" s="521"/>
      <c r="V56" s="522"/>
      <c r="W56" s="519" t="s">
        <v>616</v>
      </c>
      <c r="X56" s="520">
        <v>44461.0</v>
      </c>
      <c r="Y56" s="521">
        <v>155.82</v>
      </c>
      <c r="Z56" s="522">
        <v>124656.0</v>
      </c>
    </row>
    <row r="57">
      <c r="A57" s="528"/>
      <c r="B57" s="528"/>
      <c r="C57" s="512">
        <f>I57/E102</f>
        <v>0</v>
      </c>
      <c r="D57" s="344" t="s">
        <v>615</v>
      </c>
      <c r="E57" s="344" t="s">
        <v>616</v>
      </c>
      <c r="F57" s="195">
        <v>8.0</v>
      </c>
      <c r="G57" s="513">
        <v>800.0</v>
      </c>
      <c r="H57" s="217">
        <f t="shared" si="38"/>
        <v>124432</v>
      </c>
      <c r="I57" s="217">
        <v>0.0</v>
      </c>
      <c r="J57" s="216">
        <v>155.54</v>
      </c>
      <c r="K57" s="515">
        <f>IFERROR(__xludf.DUMMYFUNCTION("GOOGLEFINANCE(E57,""changepct"")"),-0.77)</f>
        <v>-0.77</v>
      </c>
      <c r="L57" s="517">
        <f>IFERROR(__xludf.DUMMYFUNCTION("googlefinance(E57,""price"")"),239.32)</f>
        <v>239.32</v>
      </c>
      <c r="M57" s="216">
        <v>159.35</v>
      </c>
      <c r="N57" s="517">
        <f t="shared" si="40"/>
        <v>83.78</v>
      </c>
      <c r="O57" s="518">
        <f t="shared" ref="O57:O58" si="43">M57/J57-1</f>
        <v>0.02449530667</v>
      </c>
      <c r="P57" s="495">
        <f t="shared" si="42"/>
        <v>3048</v>
      </c>
      <c r="Q57" s="538"/>
      <c r="R57" s="217"/>
      <c r="S57" s="519" t="s">
        <v>616</v>
      </c>
      <c r="T57" s="520">
        <v>44449.0</v>
      </c>
      <c r="U57" s="521">
        <v>159.35</v>
      </c>
      <c r="V57" s="522">
        <v>127480.0</v>
      </c>
      <c r="W57" s="523"/>
      <c r="X57" s="524"/>
      <c r="Y57" s="525"/>
      <c r="Z57" s="526"/>
    </row>
    <row r="58">
      <c r="A58" s="528"/>
      <c r="B58" s="528"/>
      <c r="C58" s="512">
        <f>I58/E102</f>
        <v>0</v>
      </c>
      <c r="D58" s="104" t="s">
        <v>541</v>
      </c>
      <c r="E58" s="104" t="s">
        <v>382</v>
      </c>
      <c r="F58" s="195">
        <v>7.8</v>
      </c>
      <c r="G58" s="513">
        <v>400.0</v>
      </c>
      <c r="H58" s="217">
        <f t="shared" si="38"/>
        <v>109648</v>
      </c>
      <c r="I58" s="217">
        <v>0.0</v>
      </c>
      <c r="J58" s="216">
        <v>274.12</v>
      </c>
      <c r="K58" s="515">
        <f>IFERROR(__xludf.DUMMYFUNCTION("GOOGLEFINANCE(E58,""changepct"")"),-1.65)</f>
        <v>-1.65</v>
      </c>
      <c r="L58" s="517">
        <f>IFERROR(__xludf.DUMMYFUNCTION("googlefinance(E58,""price"")"),85.43)</f>
        <v>85.43</v>
      </c>
      <c r="M58" s="216">
        <v>287.32</v>
      </c>
      <c r="N58" s="517">
        <f t="shared" si="40"/>
        <v>-188.69</v>
      </c>
      <c r="O58" s="518">
        <f t="shared" si="43"/>
        <v>0.0481540931</v>
      </c>
      <c r="P58" s="495">
        <f t="shared" si="42"/>
        <v>5280</v>
      </c>
      <c r="Q58" s="538"/>
      <c r="R58" s="217"/>
      <c r="S58" s="519" t="s">
        <v>382</v>
      </c>
      <c r="T58" s="520">
        <v>44449.0</v>
      </c>
      <c r="U58" s="521">
        <v>287.32</v>
      </c>
      <c r="V58" s="522">
        <v>114928.0</v>
      </c>
      <c r="W58" s="519" t="s">
        <v>382</v>
      </c>
      <c r="X58" s="520">
        <v>44419.0</v>
      </c>
      <c r="Y58" s="521">
        <v>274.12</v>
      </c>
      <c r="Z58" s="522">
        <v>109648.0</v>
      </c>
    </row>
    <row r="59">
      <c r="A59" s="528"/>
      <c r="B59" s="528"/>
      <c r="C59" s="512">
        <f>I59/E102</f>
        <v>0.02033345742</v>
      </c>
      <c r="D59" s="344" t="s">
        <v>664</v>
      </c>
      <c r="E59" s="344" t="s">
        <v>665</v>
      </c>
      <c r="F59" s="195">
        <v>7.9</v>
      </c>
      <c r="G59" s="513">
        <v>550.0</v>
      </c>
      <c r="H59" s="217">
        <f t="shared" si="38"/>
        <v>128601</v>
      </c>
      <c r="I59" s="217">
        <f>H59+P59</f>
        <v>173420.5</v>
      </c>
      <c r="J59" s="216">
        <v>233.82</v>
      </c>
      <c r="K59" s="515">
        <f>IFERROR(__xludf.DUMMYFUNCTION("GOOGLEFINANCE(E59,""changepct"")"),-1.05)</f>
        <v>-1.05</v>
      </c>
      <c r="L59" s="517">
        <f>IFERROR(__xludf.DUMMYFUNCTION("googlefinance(E59,""price"")"),315.31)</f>
        <v>315.31</v>
      </c>
      <c r="M59" s="216"/>
      <c r="N59" s="517">
        <f t="shared" si="40"/>
        <v>81.49</v>
      </c>
      <c r="O59" s="518">
        <f>L59/J59-1</f>
        <v>0.3485159524</v>
      </c>
      <c r="P59" s="495">
        <f t="shared" si="42"/>
        <v>44819.5</v>
      </c>
      <c r="Q59" s="538"/>
      <c r="R59" s="217"/>
      <c r="S59" s="519"/>
      <c r="T59" s="520"/>
      <c r="U59" s="521"/>
      <c r="V59" s="522"/>
      <c r="W59" s="523"/>
      <c r="X59" s="524"/>
      <c r="Y59" s="525"/>
      <c r="Z59" s="526"/>
    </row>
    <row r="60">
      <c r="A60" s="13"/>
      <c r="B60" s="13"/>
      <c r="C60" s="13"/>
      <c r="D60" s="13"/>
      <c r="E60" s="13"/>
      <c r="F60" s="13"/>
      <c r="G60" s="509"/>
      <c r="H60" s="509">
        <f t="shared" ref="H60:I60" si="44">SUM(H55:H59)</f>
        <v>620172.5</v>
      </c>
      <c r="I60" s="539">
        <f t="shared" si="44"/>
        <v>565619</v>
      </c>
      <c r="J60" s="506"/>
      <c r="K60" s="506"/>
      <c r="L60" s="506"/>
      <c r="M60" s="507"/>
      <c r="N60" s="507"/>
      <c r="O60" s="540">
        <f>P60/H60</f>
        <v>0.3029068525</v>
      </c>
      <c r="P60" s="539">
        <f>SUM(P55:P59)</f>
        <v>187854.5</v>
      </c>
      <c r="Q60" s="13"/>
      <c r="R60" s="509"/>
      <c r="S60" s="510" t="s">
        <v>89</v>
      </c>
      <c r="T60" s="542"/>
      <c r="U60" s="543"/>
      <c r="V60" s="570">
        <f>SUM(V55:V59)</f>
        <v>242408</v>
      </c>
      <c r="W60" s="510" t="s">
        <v>89</v>
      </c>
      <c r="X60" s="542"/>
      <c r="Y60" s="543"/>
      <c r="Z60" s="570">
        <f>SUM(Z55:Z59)</f>
        <v>234304</v>
      </c>
    </row>
    <row r="61">
      <c r="A61" s="173"/>
      <c r="B61" s="504" t="s">
        <v>409</v>
      </c>
      <c r="C61" s="504" t="s">
        <v>2</v>
      </c>
      <c r="D61" s="13" t="s">
        <v>150</v>
      </c>
      <c r="E61" s="13" t="s">
        <v>4</v>
      </c>
      <c r="F61" s="13" t="s">
        <v>5</v>
      </c>
      <c r="G61" s="504" t="s">
        <v>6</v>
      </c>
      <c r="H61" s="504" t="s">
        <v>7</v>
      </c>
      <c r="I61" s="505" t="s">
        <v>8</v>
      </c>
      <c r="J61" s="505" t="s">
        <v>9</v>
      </c>
      <c r="K61" s="506" t="s">
        <v>10</v>
      </c>
      <c r="L61" s="506" t="s">
        <v>11</v>
      </c>
      <c r="M61" s="507" t="s">
        <v>476</v>
      </c>
      <c r="N61" s="507" t="s">
        <v>13</v>
      </c>
      <c r="O61" s="504" t="s">
        <v>14</v>
      </c>
      <c r="P61" s="508" t="s">
        <v>15</v>
      </c>
      <c r="Q61" s="13" t="s">
        <v>16</v>
      </c>
      <c r="R61" s="13" t="s">
        <v>17</v>
      </c>
      <c r="S61" s="510" t="s">
        <v>21</v>
      </c>
      <c r="T61" s="510" t="s">
        <v>22</v>
      </c>
      <c r="U61" s="511" t="s">
        <v>23</v>
      </c>
      <c r="V61" s="511" t="s">
        <v>24</v>
      </c>
      <c r="W61" s="510" t="s">
        <v>25</v>
      </c>
      <c r="X61" s="510" t="s">
        <v>26</v>
      </c>
      <c r="Y61" s="510" t="s">
        <v>27</v>
      </c>
      <c r="Z61" s="510" t="s">
        <v>28</v>
      </c>
    </row>
    <row r="62">
      <c r="A62" s="502" t="s">
        <v>29</v>
      </c>
      <c r="B62" s="527" t="str">
        <f>I74/E102</f>
        <v>#N/A</v>
      </c>
      <c r="C62" s="512">
        <f>I62/E102</f>
        <v>0.03077797938</v>
      </c>
      <c r="D62" s="344" t="s">
        <v>151</v>
      </c>
      <c r="E62" s="344" t="s">
        <v>152</v>
      </c>
      <c r="F62" s="195">
        <v>8.4</v>
      </c>
      <c r="G62" s="513">
        <v>150.0</v>
      </c>
      <c r="H62" s="217">
        <f t="shared" ref="H62:H73" si="45">G62*J62</f>
        <v>266280</v>
      </c>
      <c r="I62" s="514">
        <f t="shared" ref="I62:I73" si="46">H62+P62</f>
        <v>262500</v>
      </c>
      <c r="J62" s="216">
        <v>1775.2</v>
      </c>
      <c r="K62" s="594"/>
      <c r="L62" s="597">
        <v>1750.0</v>
      </c>
      <c r="M62" s="517"/>
      <c r="N62" s="517">
        <f t="shared" ref="N62:N73" si="47">L62-J62</f>
        <v>-25.2</v>
      </c>
      <c r="O62" s="518">
        <f t="shared" ref="O62:O73" si="48">L62/J62-1</f>
        <v>-0.0141955836</v>
      </c>
      <c r="P62" s="495">
        <f t="shared" ref="P62:P73" si="49">H62*O62</f>
        <v>-3780</v>
      </c>
      <c r="Q62" s="512"/>
      <c r="R62" s="514"/>
      <c r="S62" s="524"/>
      <c r="T62" s="524"/>
      <c r="U62" s="525"/>
      <c r="V62" s="526"/>
      <c r="W62" s="523"/>
      <c r="X62" s="524"/>
      <c r="Y62" s="525"/>
      <c r="Z62" s="526"/>
    </row>
    <row r="63">
      <c r="A63" s="344" t="s">
        <v>153</v>
      </c>
      <c r="B63" s="596">
        <f>I62+I63</f>
        <v>482500</v>
      </c>
      <c r="C63" s="512">
        <f>I63/E102</f>
        <v>0.02579487796</v>
      </c>
      <c r="D63" s="344" t="s">
        <v>154</v>
      </c>
      <c r="E63" s="344" t="s">
        <v>155</v>
      </c>
      <c r="F63" s="195">
        <v>8.3</v>
      </c>
      <c r="G63" s="513">
        <v>10000.0</v>
      </c>
      <c r="H63" s="217">
        <f t="shared" si="45"/>
        <v>263400</v>
      </c>
      <c r="I63" s="514">
        <f t="shared" si="46"/>
        <v>220000</v>
      </c>
      <c r="J63" s="216">
        <v>26.34</v>
      </c>
      <c r="K63" s="594"/>
      <c r="L63" s="597">
        <v>22.0</v>
      </c>
      <c r="M63" s="517"/>
      <c r="N63" s="517">
        <f t="shared" si="47"/>
        <v>-4.34</v>
      </c>
      <c r="O63" s="518">
        <f t="shared" si="48"/>
        <v>-0.1647684131</v>
      </c>
      <c r="P63" s="514">
        <f t="shared" si="49"/>
        <v>-43400</v>
      </c>
      <c r="Q63" s="512"/>
      <c r="R63" s="514"/>
      <c r="S63" s="524"/>
      <c r="T63" s="524"/>
      <c r="U63" s="525"/>
      <c r="V63" s="526"/>
      <c r="W63" s="523"/>
      <c r="X63" s="524"/>
      <c r="Y63" s="525"/>
      <c r="Z63" s="526"/>
    </row>
    <row r="64">
      <c r="A64" s="344" t="s">
        <v>156</v>
      </c>
      <c r="B64" s="598">
        <f>B63/E102</f>
        <v>0.05657285734</v>
      </c>
      <c r="C64" s="512">
        <f>I64/E102</f>
        <v>0.01385829818</v>
      </c>
      <c r="D64" s="344" t="s">
        <v>570</v>
      </c>
      <c r="E64" s="344" t="s">
        <v>158</v>
      </c>
      <c r="F64" s="195">
        <v>8.2</v>
      </c>
      <c r="G64" s="513">
        <v>3500.0</v>
      </c>
      <c r="H64" s="217">
        <f t="shared" si="45"/>
        <v>118930</v>
      </c>
      <c r="I64" s="514">
        <f t="shared" si="46"/>
        <v>118195</v>
      </c>
      <c r="J64" s="216">
        <v>33.98</v>
      </c>
      <c r="K64" s="568">
        <f>IFERROR(__xludf.DUMMYFUNCTION("GOOGLEFINANCE(E64,""changepct"")"),-1.43)</f>
        <v>-1.43</v>
      </c>
      <c r="L64" s="516">
        <f>IFERROR(__xludf.DUMMYFUNCTION("googlefinance(E64,""price"")"),33.77)</f>
        <v>33.77</v>
      </c>
      <c r="M64" s="517"/>
      <c r="N64" s="517">
        <f t="shared" si="47"/>
        <v>-0.21</v>
      </c>
      <c r="O64" s="518">
        <f t="shared" si="48"/>
        <v>-0.006180105945</v>
      </c>
      <c r="P64" s="514">
        <f t="shared" si="49"/>
        <v>-735</v>
      </c>
      <c r="Q64" s="538"/>
      <c r="R64" s="217"/>
      <c r="S64" s="524"/>
      <c r="T64" s="524"/>
      <c r="U64" s="525"/>
      <c r="V64" s="526"/>
      <c r="W64" s="523"/>
      <c r="X64" s="524"/>
      <c r="Y64" s="525"/>
      <c r="Z64" s="526"/>
    </row>
    <row r="65">
      <c r="A65" s="344" t="s">
        <v>159</v>
      </c>
      <c r="B65" s="596" t="str">
        <f>I64+I65+I66+I67+I68+I69+I70+I71+I72+I73</f>
        <v>#N/A</v>
      </c>
      <c r="C65" s="512">
        <f>I65/E102</f>
        <v>0.01240499131</v>
      </c>
      <c r="D65" s="344" t="s">
        <v>160</v>
      </c>
      <c r="E65" s="344" t="s">
        <v>161</v>
      </c>
      <c r="F65" s="195">
        <v>8.1</v>
      </c>
      <c r="G65" s="513">
        <v>2500.0</v>
      </c>
      <c r="H65" s="217">
        <f t="shared" si="45"/>
        <v>116875</v>
      </c>
      <c r="I65" s="514">
        <f t="shared" si="46"/>
        <v>105800</v>
      </c>
      <c r="J65" s="216">
        <v>46.75</v>
      </c>
      <c r="K65" s="568">
        <f>IFERROR(__xludf.DUMMYFUNCTION("GOOGLEFINANCE(E65,""changepct"")"),-1.7)</f>
        <v>-1.7</v>
      </c>
      <c r="L65" s="516">
        <f>IFERROR(__xludf.DUMMYFUNCTION("googlefinance(E65,""price"")"),42.32)</f>
        <v>42.32</v>
      </c>
      <c r="M65" s="216"/>
      <c r="N65" s="517">
        <f t="shared" si="47"/>
        <v>-4.43</v>
      </c>
      <c r="O65" s="518">
        <f t="shared" si="48"/>
        <v>-0.09475935829</v>
      </c>
      <c r="P65" s="514">
        <f t="shared" si="49"/>
        <v>-11075</v>
      </c>
      <c r="Q65" s="538"/>
      <c r="R65" s="217"/>
      <c r="S65" s="524"/>
      <c r="T65" s="520"/>
      <c r="U65" s="521"/>
      <c r="V65" s="522"/>
      <c r="W65" s="523"/>
      <c r="X65" s="524"/>
      <c r="Y65" s="525"/>
      <c r="Z65" s="526"/>
    </row>
    <row r="66">
      <c r="A66" s="344" t="s">
        <v>708</v>
      </c>
      <c r="B66" s="598" t="str">
        <f>B65/E102</f>
        <v>#N/A</v>
      </c>
      <c r="C66" s="512" t="str">
        <f>I66/E102</f>
        <v>#N/A</v>
      </c>
      <c r="D66" s="344" t="s">
        <v>709</v>
      </c>
      <c r="E66" s="344" t="s">
        <v>710</v>
      </c>
      <c r="F66" s="195">
        <v>8.0</v>
      </c>
      <c r="G66" s="513">
        <v>3000.0</v>
      </c>
      <c r="H66" s="217">
        <f t="shared" si="45"/>
        <v>115590</v>
      </c>
      <c r="I66" s="514" t="str">
        <f t="shared" si="46"/>
        <v>#N/A</v>
      </c>
      <c r="J66" s="216">
        <v>38.53</v>
      </c>
      <c r="K66" s="568" t="str">
        <f>IFERROR(__xludf.DUMMYFUNCTION("GOOGLEFINANCE(E66,""changepct"")"),"#N/A")</f>
        <v>#N/A</v>
      </c>
      <c r="L66" s="516" t="str">
        <f>IFERROR(__xludf.DUMMYFUNCTION("googlefinance(E66,""price"")"),"#N/A")</f>
        <v>#N/A</v>
      </c>
      <c r="M66" s="517"/>
      <c r="N66" s="528" t="str">
        <f t="shared" si="47"/>
        <v>#N/A</v>
      </c>
      <c r="O66" s="518" t="str">
        <f t="shared" si="48"/>
        <v>#N/A</v>
      </c>
      <c r="P66" s="528" t="str">
        <f t="shared" si="49"/>
        <v>#N/A</v>
      </c>
      <c r="Q66" s="538"/>
      <c r="R66" s="217"/>
      <c r="S66" s="524"/>
      <c r="T66" s="524"/>
      <c r="U66" s="525"/>
      <c r="V66" s="526"/>
      <c r="W66" s="523"/>
      <c r="X66" s="524"/>
      <c r="Y66" s="525"/>
      <c r="Z66" s="526"/>
    </row>
    <row r="67">
      <c r="A67" s="344"/>
      <c r="B67" s="528"/>
      <c r="C67" s="512">
        <f>I67/E102</f>
        <v>0.00867645895</v>
      </c>
      <c r="D67" s="344" t="s">
        <v>506</v>
      </c>
      <c r="E67" s="344" t="s">
        <v>169</v>
      </c>
      <c r="F67" s="195">
        <v>8.1</v>
      </c>
      <c r="G67" s="513">
        <v>2000.0</v>
      </c>
      <c r="H67" s="217">
        <f t="shared" si="45"/>
        <v>126760</v>
      </c>
      <c r="I67" s="514">
        <f t="shared" si="46"/>
        <v>74000</v>
      </c>
      <c r="J67" s="216">
        <v>63.38</v>
      </c>
      <c r="K67" s="568">
        <f>IFERROR(__xludf.DUMMYFUNCTION("GOOGLEFINANCE(E67,""changepct"")"),-2.22)</f>
        <v>-2.22</v>
      </c>
      <c r="L67" s="516">
        <f>IFERROR(__xludf.DUMMYFUNCTION("googlefinance(E67,""price"")"),37.0)</f>
        <v>37</v>
      </c>
      <c r="M67" s="517"/>
      <c r="N67" s="517">
        <f t="shared" si="47"/>
        <v>-26.38</v>
      </c>
      <c r="O67" s="518">
        <f t="shared" si="48"/>
        <v>-0.4162196276</v>
      </c>
      <c r="P67" s="514">
        <f t="shared" si="49"/>
        <v>-52760</v>
      </c>
      <c r="Q67" s="538"/>
      <c r="R67" s="217"/>
      <c r="S67" s="524"/>
      <c r="T67" s="524"/>
      <c r="U67" s="525"/>
      <c r="V67" s="526"/>
      <c r="W67" s="523"/>
      <c r="X67" s="524"/>
      <c r="Y67" s="525"/>
      <c r="Z67" s="526"/>
    </row>
    <row r="68">
      <c r="A68" s="344"/>
      <c r="B68" s="528"/>
      <c r="C68" s="512">
        <f>I68/E102</f>
        <v>0.009969720331</v>
      </c>
      <c r="D68" s="104" t="s">
        <v>571</v>
      </c>
      <c r="E68" s="104" t="s">
        <v>172</v>
      </c>
      <c r="F68" s="195">
        <v>7.9</v>
      </c>
      <c r="G68" s="513">
        <v>5500.0</v>
      </c>
      <c r="H68" s="217">
        <f t="shared" si="45"/>
        <v>113740</v>
      </c>
      <c r="I68" s="514">
        <f t="shared" si="46"/>
        <v>85030</v>
      </c>
      <c r="J68" s="216">
        <v>20.68</v>
      </c>
      <c r="K68" s="568">
        <f>IFERROR(__xludf.DUMMYFUNCTION("GOOGLEFINANCE(E68,""changepct"")"),-1.4)</f>
        <v>-1.4</v>
      </c>
      <c r="L68" s="516">
        <f>IFERROR(__xludf.DUMMYFUNCTION("googlefinance(E68,""price"")"),15.46)</f>
        <v>15.46</v>
      </c>
      <c r="M68" s="216"/>
      <c r="N68" s="517">
        <f t="shared" si="47"/>
        <v>-5.22</v>
      </c>
      <c r="O68" s="518">
        <f t="shared" si="48"/>
        <v>-0.252417795</v>
      </c>
      <c r="P68" s="514">
        <f t="shared" si="49"/>
        <v>-28710</v>
      </c>
      <c r="Q68" s="538"/>
      <c r="R68" s="217"/>
      <c r="S68" s="524"/>
      <c r="T68" s="520"/>
      <c r="U68" s="638"/>
      <c r="V68" s="522"/>
      <c r="W68" s="519"/>
      <c r="X68" s="520"/>
      <c r="Y68" s="521"/>
      <c r="Z68" s="522"/>
    </row>
    <row r="69">
      <c r="A69" s="528"/>
      <c r="B69" s="528"/>
      <c r="C69" s="512">
        <f>I69/E102</f>
        <v>0.02150354826</v>
      </c>
      <c r="D69" s="344" t="s">
        <v>166</v>
      </c>
      <c r="E69" s="344" t="s">
        <v>167</v>
      </c>
      <c r="F69" s="195">
        <v>8.2</v>
      </c>
      <c r="G69" s="513">
        <v>20000.0</v>
      </c>
      <c r="H69" s="217">
        <f t="shared" si="45"/>
        <v>127000</v>
      </c>
      <c r="I69" s="514">
        <f t="shared" si="46"/>
        <v>183400</v>
      </c>
      <c r="J69" s="216">
        <v>6.35</v>
      </c>
      <c r="K69" s="568">
        <f>IFERROR(__xludf.DUMMYFUNCTION("GOOGLEFINANCE(E69,""changepct"")"),-1.5)</f>
        <v>-1.5</v>
      </c>
      <c r="L69" s="516">
        <f>IFERROR(__xludf.DUMMYFUNCTION("googlefinance(E69,""price"")"),9.17)</f>
        <v>9.17</v>
      </c>
      <c r="M69" s="517"/>
      <c r="N69" s="517">
        <f t="shared" si="47"/>
        <v>2.82</v>
      </c>
      <c r="O69" s="518">
        <f t="shared" si="48"/>
        <v>0.4440944882</v>
      </c>
      <c r="P69" s="514">
        <f t="shared" si="49"/>
        <v>56400</v>
      </c>
      <c r="Q69" s="538"/>
      <c r="R69" s="217"/>
      <c r="S69" s="524"/>
      <c r="T69" s="524"/>
      <c r="U69" s="525"/>
      <c r="V69" s="526"/>
      <c r="W69" s="519"/>
      <c r="X69" s="520"/>
      <c r="Y69" s="521"/>
      <c r="Z69" s="522"/>
    </row>
    <row r="70">
      <c r="A70" s="528"/>
      <c r="B70" s="528"/>
      <c r="C70" s="512">
        <f>I70/E102</f>
        <v>0.009201736464</v>
      </c>
      <c r="D70" s="344" t="s">
        <v>507</v>
      </c>
      <c r="E70" s="344" t="s">
        <v>508</v>
      </c>
      <c r="F70" s="195">
        <v>7.7</v>
      </c>
      <c r="G70" s="513">
        <v>8000.0</v>
      </c>
      <c r="H70" s="217">
        <f t="shared" si="45"/>
        <v>121600</v>
      </c>
      <c r="I70" s="514">
        <f t="shared" si="46"/>
        <v>78480</v>
      </c>
      <c r="J70" s="216">
        <v>15.2</v>
      </c>
      <c r="K70" s="568">
        <f>IFERROR(__xludf.DUMMYFUNCTION("GOOGLEFINANCE(E70,""changepct"")"),-2.77)</f>
        <v>-2.77</v>
      </c>
      <c r="L70" s="516">
        <f>IFERROR(__xludf.DUMMYFUNCTION("googlefinance(E70,""price"")"),9.81)</f>
        <v>9.81</v>
      </c>
      <c r="M70" s="216"/>
      <c r="N70" s="517">
        <f t="shared" si="47"/>
        <v>-5.39</v>
      </c>
      <c r="O70" s="518">
        <f t="shared" si="48"/>
        <v>-0.3546052632</v>
      </c>
      <c r="P70" s="514">
        <f t="shared" si="49"/>
        <v>-43120</v>
      </c>
      <c r="Q70" s="538"/>
      <c r="R70" s="217"/>
      <c r="S70" s="524"/>
      <c r="T70" s="520"/>
      <c r="U70" s="521"/>
      <c r="V70" s="522"/>
      <c r="W70" s="519"/>
      <c r="X70" s="520"/>
      <c r="Y70" s="521"/>
      <c r="Z70" s="522"/>
    </row>
    <row r="71">
      <c r="A71" s="528"/>
      <c r="B71" s="528"/>
      <c r="C71" s="512">
        <f>I71/E102</f>
        <v>0.01073066923</v>
      </c>
      <c r="D71" s="600" t="s">
        <v>179</v>
      </c>
      <c r="E71" s="344" t="s">
        <v>180</v>
      </c>
      <c r="F71" s="195">
        <v>8.1</v>
      </c>
      <c r="G71" s="513">
        <v>8000.0</v>
      </c>
      <c r="H71" s="217">
        <f t="shared" si="45"/>
        <v>122880</v>
      </c>
      <c r="I71" s="514">
        <f t="shared" si="46"/>
        <v>91520</v>
      </c>
      <c r="J71" s="216">
        <v>15.36</v>
      </c>
      <c r="K71" s="568">
        <f>IFERROR(__xludf.DUMMYFUNCTION("GOOGLEFINANCE(E71,""changepct"")"),-2.8)</f>
        <v>-2.8</v>
      </c>
      <c r="L71" s="516">
        <f>IFERROR(__xludf.DUMMYFUNCTION("googlefinance(E71,""price"")"),11.44)</f>
        <v>11.44</v>
      </c>
      <c r="M71" s="517"/>
      <c r="N71" s="517">
        <f t="shared" si="47"/>
        <v>-3.92</v>
      </c>
      <c r="O71" s="518">
        <f t="shared" si="48"/>
        <v>-0.2552083333</v>
      </c>
      <c r="P71" s="514">
        <f t="shared" si="49"/>
        <v>-31360</v>
      </c>
      <c r="Q71" s="538"/>
      <c r="R71" s="217"/>
      <c r="S71" s="524"/>
      <c r="T71" s="524"/>
      <c r="U71" s="525"/>
      <c r="V71" s="526"/>
      <c r="W71" s="523"/>
      <c r="X71" s="524"/>
      <c r="Y71" s="525"/>
      <c r="Z71" s="526"/>
    </row>
    <row r="72">
      <c r="A72" s="528"/>
      <c r="B72" s="528"/>
      <c r="C72" s="512">
        <f>I72/E102</f>
        <v>0.004739808825</v>
      </c>
      <c r="D72" s="600" t="s">
        <v>711</v>
      </c>
      <c r="E72" s="344" t="s">
        <v>550</v>
      </c>
      <c r="F72" s="195">
        <v>7.7</v>
      </c>
      <c r="G72" s="513">
        <v>7500.0</v>
      </c>
      <c r="H72" s="217">
        <f t="shared" si="45"/>
        <v>118575</v>
      </c>
      <c r="I72" s="514">
        <f t="shared" si="46"/>
        <v>40425</v>
      </c>
      <c r="J72" s="216">
        <v>15.81</v>
      </c>
      <c r="K72" s="568">
        <f>IFERROR(__xludf.DUMMYFUNCTION("GOOGLEFINANCE(E72,""changepct"")"),-2.71)</f>
        <v>-2.71</v>
      </c>
      <c r="L72" s="516">
        <f>IFERROR(__xludf.DUMMYFUNCTION("googlefinance(E72,""price"")"),5.39)</f>
        <v>5.39</v>
      </c>
      <c r="M72" s="517"/>
      <c r="N72" s="517">
        <f t="shared" si="47"/>
        <v>-10.42</v>
      </c>
      <c r="O72" s="518">
        <f t="shared" si="48"/>
        <v>-0.6590765338</v>
      </c>
      <c r="P72" s="514">
        <f t="shared" si="49"/>
        <v>-78150</v>
      </c>
      <c r="Q72" s="512"/>
      <c r="R72" s="514"/>
      <c r="S72" s="524"/>
      <c r="T72" s="524"/>
      <c r="U72" s="525"/>
      <c r="V72" s="526"/>
      <c r="W72" s="523"/>
      <c r="X72" s="524"/>
      <c r="Y72" s="525"/>
      <c r="Z72" s="526"/>
    </row>
    <row r="73">
      <c r="A73" s="528"/>
      <c r="B73" s="528"/>
      <c r="C73" s="512">
        <f>I73/E102</f>
        <v>0.009351815754</v>
      </c>
      <c r="D73" s="344" t="s">
        <v>357</v>
      </c>
      <c r="E73" s="344" t="s">
        <v>174</v>
      </c>
      <c r="F73" s="195">
        <v>7.8</v>
      </c>
      <c r="G73" s="513">
        <v>4000.0</v>
      </c>
      <c r="H73" s="217">
        <f t="shared" si="45"/>
        <v>114280</v>
      </c>
      <c r="I73" s="514">
        <f t="shared" si="46"/>
        <v>79760</v>
      </c>
      <c r="J73" s="216">
        <v>28.57</v>
      </c>
      <c r="K73" s="568">
        <f>IFERROR(__xludf.DUMMYFUNCTION("GOOGLEFINANCE(E73,""changepct"")"),-3.11)</f>
        <v>-3.11</v>
      </c>
      <c r="L73" s="516">
        <f>IFERROR(__xludf.DUMMYFUNCTION("googlefinance(E73,""price"")"),19.94)</f>
        <v>19.94</v>
      </c>
      <c r="M73" s="517"/>
      <c r="N73" s="517">
        <f t="shared" si="47"/>
        <v>-8.63</v>
      </c>
      <c r="O73" s="518">
        <f t="shared" si="48"/>
        <v>-0.3020651033</v>
      </c>
      <c r="P73" s="514">
        <f t="shared" si="49"/>
        <v>-34520</v>
      </c>
      <c r="Q73" s="538"/>
      <c r="R73" s="217"/>
      <c r="S73" s="524"/>
      <c r="T73" s="524"/>
      <c r="U73" s="525"/>
      <c r="V73" s="526"/>
      <c r="W73" s="523"/>
      <c r="X73" s="524"/>
      <c r="Y73" s="525"/>
      <c r="Z73" s="526"/>
    </row>
    <row r="74">
      <c r="A74" s="173"/>
      <c r="B74" s="173"/>
      <c r="C74" s="13"/>
      <c r="D74" s="13"/>
      <c r="E74" s="13"/>
      <c r="F74" s="13"/>
      <c r="G74" s="509"/>
      <c r="H74" s="509">
        <f t="shared" ref="H74:I74" si="50">SUM(H62:H73)</f>
        <v>1725910</v>
      </c>
      <c r="I74" s="539" t="str">
        <f t="shared" si="50"/>
        <v>#N/A</v>
      </c>
      <c r="J74" s="506"/>
      <c r="K74" s="506"/>
      <c r="L74" s="507"/>
      <c r="M74" s="507"/>
      <c r="N74" s="507"/>
      <c r="O74" s="540" t="str">
        <f>P74/H74</f>
        <v>#N/A</v>
      </c>
      <c r="P74" s="507" t="str">
        <f>SUM(P62:P73)</f>
        <v>#N/A</v>
      </c>
      <c r="Q74" s="13"/>
      <c r="R74" s="509"/>
      <c r="S74" s="510" t="s">
        <v>89</v>
      </c>
      <c r="T74" s="542"/>
      <c r="U74" s="543"/>
      <c r="V74" s="544">
        <v>0.0</v>
      </c>
      <c r="W74" s="510" t="s">
        <v>89</v>
      </c>
      <c r="X74" s="542"/>
      <c r="Y74" s="542"/>
      <c r="Z74" s="570">
        <f>SUM(Z62:Z73)</f>
        <v>0</v>
      </c>
    </row>
    <row r="75">
      <c r="A75" s="173"/>
      <c r="B75" s="504" t="s">
        <v>181</v>
      </c>
      <c r="C75" s="504" t="s">
        <v>2</v>
      </c>
      <c r="D75" s="13" t="s">
        <v>182</v>
      </c>
      <c r="E75" s="13" t="s">
        <v>4</v>
      </c>
      <c r="F75" s="13" t="s">
        <v>5</v>
      </c>
      <c r="G75" s="504" t="s">
        <v>6</v>
      </c>
      <c r="H75" s="504" t="s">
        <v>7</v>
      </c>
      <c r="I75" s="505" t="s">
        <v>8</v>
      </c>
      <c r="J75" s="505" t="s">
        <v>9</v>
      </c>
      <c r="K75" s="506" t="s">
        <v>10</v>
      </c>
      <c r="L75" s="506" t="s">
        <v>11</v>
      </c>
      <c r="M75" s="507" t="s">
        <v>476</v>
      </c>
      <c r="N75" s="507" t="s">
        <v>13</v>
      </c>
      <c r="O75" s="504" t="s">
        <v>14</v>
      </c>
      <c r="P75" s="508" t="s">
        <v>15</v>
      </c>
      <c r="Q75" s="13" t="s">
        <v>16</v>
      </c>
      <c r="R75" s="13" t="s">
        <v>17</v>
      </c>
      <c r="S75" s="510" t="s">
        <v>21</v>
      </c>
      <c r="T75" s="510" t="s">
        <v>22</v>
      </c>
      <c r="U75" s="511" t="s">
        <v>23</v>
      </c>
      <c r="V75" s="511" t="s">
        <v>24</v>
      </c>
      <c r="W75" s="510" t="s">
        <v>25</v>
      </c>
      <c r="X75" s="510" t="s">
        <v>26</v>
      </c>
      <c r="Y75" s="510" t="s">
        <v>27</v>
      </c>
      <c r="Z75" s="510" t="s">
        <v>28</v>
      </c>
    </row>
    <row r="76">
      <c r="A76" s="502" t="s">
        <v>29</v>
      </c>
      <c r="B76" s="527">
        <f>I96/E102</f>
        <v>0</v>
      </c>
      <c r="C76" s="512">
        <f>I76/E102</f>
        <v>0</v>
      </c>
      <c r="D76" s="601" t="s">
        <v>413</v>
      </c>
      <c r="E76" s="344" t="s">
        <v>185</v>
      </c>
      <c r="F76" s="195">
        <v>7.6</v>
      </c>
      <c r="G76" s="217" t="s">
        <v>128</v>
      </c>
      <c r="H76" s="217">
        <v>385700.0</v>
      </c>
      <c r="I76" s="217">
        <v>0.0</v>
      </c>
      <c r="J76" s="216">
        <v>33323.61</v>
      </c>
      <c r="K76" s="568"/>
      <c r="L76" s="452"/>
      <c r="M76" s="215">
        <v>46078.01</v>
      </c>
      <c r="N76" s="595">
        <f t="shared" ref="N76:N95" si="51">L76-J76</f>
        <v>-33323.61</v>
      </c>
      <c r="O76" s="518">
        <f>M76/J76-1</f>
        <v>0.3827436463</v>
      </c>
      <c r="P76" s="514">
        <f t="shared" ref="P76:P95" si="52">H76*O76</f>
        <v>147624.2244</v>
      </c>
      <c r="Q76" s="528"/>
      <c r="R76" s="528"/>
      <c r="S76" s="519" t="s">
        <v>186</v>
      </c>
      <c r="T76" s="520">
        <v>44447.0</v>
      </c>
      <c r="U76" s="531">
        <v>46078.01</v>
      </c>
      <c r="V76" s="522">
        <v>533324.0</v>
      </c>
      <c r="W76" s="519"/>
      <c r="X76" s="520"/>
      <c r="Y76" s="522"/>
      <c r="Z76" s="522"/>
    </row>
    <row r="77">
      <c r="A77" s="528"/>
      <c r="B77" s="528"/>
      <c r="C77" s="512">
        <f>I77/E102</f>
        <v>0</v>
      </c>
      <c r="D77" s="601" t="s">
        <v>413</v>
      </c>
      <c r="E77" s="344" t="s">
        <v>185</v>
      </c>
      <c r="F77" s="195">
        <v>7.6</v>
      </c>
      <c r="G77" s="217" t="s">
        <v>128</v>
      </c>
      <c r="H77" s="217">
        <v>118833.0</v>
      </c>
      <c r="I77" s="217">
        <f t="shared" ref="I77:I79" si="53">H77+P77</f>
        <v>0</v>
      </c>
      <c r="J77" s="216">
        <v>43137.05</v>
      </c>
      <c r="K77" s="568"/>
      <c r="L77" s="452"/>
      <c r="M77" s="215"/>
      <c r="N77" s="595">
        <f t="shared" si="51"/>
        <v>-43137.05</v>
      </c>
      <c r="O77" s="518">
        <f t="shared" ref="O77:O79" si="54">L77/J77-1</f>
        <v>-1</v>
      </c>
      <c r="P77" s="514">
        <f t="shared" si="52"/>
        <v>-118833</v>
      </c>
      <c r="Q77" s="528"/>
      <c r="R77" s="528"/>
      <c r="S77" s="519"/>
      <c r="T77" s="646"/>
      <c r="U77" s="531"/>
      <c r="V77" s="522"/>
      <c r="W77" s="519" t="s">
        <v>186</v>
      </c>
      <c r="X77" s="520">
        <v>44461.0</v>
      </c>
      <c r="Y77" s="531">
        <v>43137.05</v>
      </c>
      <c r="Z77" s="522">
        <v>118833.0</v>
      </c>
    </row>
    <row r="78">
      <c r="A78" s="528"/>
      <c r="B78" s="528"/>
      <c r="C78" s="512">
        <f>I78/E102</f>
        <v>0</v>
      </c>
      <c r="D78" s="601" t="s">
        <v>413</v>
      </c>
      <c r="E78" s="344" t="s">
        <v>185</v>
      </c>
      <c r="F78" s="195">
        <v>7.6</v>
      </c>
      <c r="G78" s="217" t="s">
        <v>128</v>
      </c>
      <c r="H78" s="217">
        <v>319987.0</v>
      </c>
      <c r="I78" s="217">
        <f t="shared" si="53"/>
        <v>0</v>
      </c>
      <c r="J78" s="216">
        <v>46078.01</v>
      </c>
      <c r="K78" s="568"/>
      <c r="L78" s="452"/>
      <c r="M78" s="215"/>
      <c r="N78" s="595">
        <f t="shared" si="51"/>
        <v>-46078.01</v>
      </c>
      <c r="O78" s="518">
        <f t="shared" si="54"/>
        <v>-1</v>
      </c>
      <c r="P78" s="514">
        <f t="shared" si="52"/>
        <v>-319987</v>
      </c>
      <c r="Q78" s="528"/>
      <c r="R78" s="528"/>
      <c r="S78" s="519"/>
      <c r="T78" s="646"/>
      <c r="U78" s="531"/>
      <c r="V78" s="522"/>
      <c r="W78" s="519" t="s">
        <v>186</v>
      </c>
      <c r="X78" s="520">
        <v>44447.0</v>
      </c>
      <c r="Y78" s="531">
        <v>46078.01</v>
      </c>
      <c r="Z78" s="522">
        <v>319987.0</v>
      </c>
    </row>
    <row r="79">
      <c r="A79" s="528"/>
      <c r="B79" s="528"/>
      <c r="C79" s="512">
        <f>I79/E102</f>
        <v>0</v>
      </c>
      <c r="D79" s="344" t="s">
        <v>187</v>
      </c>
      <c r="E79" s="344" t="s">
        <v>188</v>
      </c>
      <c r="F79" s="195">
        <v>7.5</v>
      </c>
      <c r="G79" s="217" t="s">
        <v>128</v>
      </c>
      <c r="H79" s="217">
        <v>111450.0</v>
      </c>
      <c r="I79" s="217">
        <f t="shared" si="53"/>
        <v>0</v>
      </c>
      <c r="J79" s="216">
        <v>2829.3</v>
      </c>
      <c r="K79" s="568"/>
      <c r="L79" s="452"/>
      <c r="M79" s="215"/>
      <c r="N79" s="595">
        <f t="shared" si="51"/>
        <v>-2829.3</v>
      </c>
      <c r="O79" s="518">
        <f t="shared" si="54"/>
        <v>-1</v>
      </c>
      <c r="P79" s="514">
        <f t="shared" si="52"/>
        <v>-111450</v>
      </c>
      <c r="Q79" s="528"/>
      <c r="R79" s="528"/>
      <c r="S79" s="519"/>
      <c r="T79" s="520"/>
      <c r="U79" s="215"/>
      <c r="V79" s="522"/>
      <c r="W79" s="519" t="s">
        <v>189</v>
      </c>
      <c r="X79" s="520">
        <v>44461.0</v>
      </c>
      <c r="Y79" s="531">
        <v>2829.3</v>
      </c>
      <c r="Z79" s="522">
        <v>111450.0</v>
      </c>
    </row>
    <row r="80">
      <c r="A80" s="528"/>
      <c r="B80" s="528"/>
      <c r="C80" s="512">
        <f>I80/E102</f>
        <v>0</v>
      </c>
      <c r="D80" s="344" t="s">
        <v>187</v>
      </c>
      <c r="E80" s="344" t="s">
        <v>188</v>
      </c>
      <c r="F80" s="195">
        <v>7.5</v>
      </c>
      <c r="G80" s="217" t="s">
        <v>128</v>
      </c>
      <c r="H80" s="217">
        <v>127682.0</v>
      </c>
      <c r="I80" s="217">
        <v>0.0</v>
      </c>
      <c r="J80" s="216">
        <v>2115.54</v>
      </c>
      <c r="K80" s="568"/>
      <c r="L80" s="452"/>
      <c r="M80" s="215">
        <v>3298.77</v>
      </c>
      <c r="N80" s="595">
        <f t="shared" si="51"/>
        <v>-2115.54</v>
      </c>
      <c r="O80" s="518">
        <f t="shared" ref="O80:O81" si="55">M80/J80-1</f>
        <v>0.5593040075</v>
      </c>
      <c r="P80" s="514">
        <f t="shared" si="52"/>
        <v>71413.05428</v>
      </c>
      <c r="Q80" s="528"/>
      <c r="R80" s="528"/>
      <c r="S80" s="519" t="s">
        <v>189</v>
      </c>
      <c r="T80" s="520">
        <v>44459.0</v>
      </c>
      <c r="U80" s="215">
        <v>3298.77</v>
      </c>
      <c r="V80" s="522">
        <v>199095.0</v>
      </c>
      <c r="W80" s="519"/>
      <c r="X80" s="520"/>
      <c r="Y80" s="531"/>
      <c r="Z80" s="522"/>
    </row>
    <row r="81">
      <c r="A81" s="528"/>
      <c r="B81" s="528"/>
      <c r="C81" s="512">
        <f>I81/E102</f>
        <v>0</v>
      </c>
      <c r="D81" s="104" t="s">
        <v>218</v>
      </c>
      <c r="E81" s="104" t="s">
        <v>219</v>
      </c>
      <c r="F81" s="195">
        <v>7.2</v>
      </c>
      <c r="G81" s="217" t="s">
        <v>128</v>
      </c>
      <c r="H81" s="217">
        <v>120785.0</v>
      </c>
      <c r="I81" s="217">
        <v>0.0</v>
      </c>
      <c r="J81" s="216">
        <v>53.42</v>
      </c>
      <c r="K81" s="568"/>
      <c r="L81" s="452"/>
      <c r="M81" s="215">
        <v>63.85</v>
      </c>
      <c r="N81" s="595">
        <f t="shared" si="51"/>
        <v>-53.42</v>
      </c>
      <c r="O81" s="518">
        <f t="shared" si="55"/>
        <v>0.1952452265</v>
      </c>
      <c r="P81" s="514">
        <f t="shared" si="52"/>
        <v>23582.69468</v>
      </c>
      <c r="Q81" s="528"/>
      <c r="R81" s="528"/>
      <c r="S81" s="519" t="s">
        <v>220</v>
      </c>
      <c r="T81" s="520">
        <v>44432.0</v>
      </c>
      <c r="U81" s="531">
        <v>63.85</v>
      </c>
      <c r="V81" s="522">
        <v>144368.0</v>
      </c>
      <c r="W81" s="523"/>
      <c r="X81" s="524"/>
      <c r="Y81" s="526"/>
      <c r="Z81" s="526"/>
    </row>
    <row r="82">
      <c r="A82" s="528"/>
      <c r="B82" s="528"/>
      <c r="C82" s="512">
        <f>I82/E102</f>
        <v>0</v>
      </c>
      <c r="D82" s="104" t="s">
        <v>712</v>
      </c>
      <c r="E82" s="104" t="s">
        <v>713</v>
      </c>
      <c r="F82" s="569">
        <v>7.3</v>
      </c>
      <c r="G82" s="217" t="s">
        <v>128</v>
      </c>
      <c r="H82" s="217">
        <v>127885.0</v>
      </c>
      <c r="I82" s="217">
        <f>H82+P82</f>
        <v>0</v>
      </c>
      <c r="J82" s="641">
        <v>0.09709</v>
      </c>
      <c r="K82" s="568"/>
      <c r="L82" s="452"/>
      <c r="M82" s="639"/>
      <c r="N82" s="595">
        <f t="shared" si="51"/>
        <v>-0.09709</v>
      </c>
      <c r="O82" s="518">
        <f>L82/J82-1</f>
        <v>-1</v>
      </c>
      <c r="P82" s="514">
        <f t="shared" si="52"/>
        <v>-127885</v>
      </c>
      <c r="Q82" s="528"/>
      <c r="R82" s="528"/>
      <c r="S82" s="519"/>
      <c r="T82" s="520"/>
      <c r="U82" s="640"/>
      <c r="V82" s="522"/>
      <c r="W82" s="519" t="s">
        <v>724</v>
      </c>
      <c r="X82" s="520">
        <v>44461.0</v>
      </c>
      <c r="Y82" s="642">
        <v>0.09709</v>
      </c>
      <c r="Z82" s="522">
        <v>127885.0</v>
      </c>
    </row>
    <row r="83">
      <c r="A83" s="528"/>
      <c r="B83" s="528"/>
      <c r="C83" s="512">
        <f>I83/E102</f>
        <v>0</v>
      </c>
      <c r="D83" s="104" t="s">
        <v>712</v>
      </c>
      <c r="E83" s="104" t="s">
        <v>713</v>
      </c>
      <c r="F83" s="569">
        <v>7.3</v>
      </c>
      <c r="G83" s="217" t="s">
        <v>128</v>
      </c>
      <c r="H83" s="217">
        <v>135771.0</v>
      </c>
      <c r="I83" s="217">
        <v>0.0</v>
      </c>
      <c r="J83" s="641">
        <v>0.0835</v>
      </c>
      <c r="K83" s="568"/>
      <c r="L83" s="452"/>
      <c r="M83" s="639">
        <v>0.13455</v>
      </c>
      <c r="N83" s="595">
        <f t="shared" si="51"/>
        <v>-0.0835</v>
      </c>
      <c r="O83" s="518">
        <f t="shared" ref="O83:O84" si="56">M83/J83-1</f>
        <v>0.6113772455</v>
      </c>
      <c r="P83" s="514">
        <f t="shared" si="52"/>
        <v>83007.3</v>
      </c>
      <c r="Q83" s="528"/>
      <c r="R83" s="528"/>
      <c r="S83" s="519" t="s">
        <v>724</v>
      </c>
      <c r="T83" s="520">
        <v>44432.0</v>
      </c>
      <c r="U83" s="640">
        <v>0.13455</v>
      </c>
      <c r="V83" s="522">
        <v>218778.0</v>
      </c>
      <c r="W83" s="519"/>
      <c r="X83" s="520"/>
      <c r="Y83" s="642"/>
      <c r="Z83" s="522"/>
    </row>
    <row r="84">
      <c r="A84" s="528"/>
      <c r="B84" s="528"/>
      <c r="C84" s="512">
        <f>I84/E102</f>
        <v>0</v>
      </c>
      <c r="D84" s="104" t="s">
        <v>197</v>
      </c>
      <c r="E84" s="344" t="s">
        <v>198</v>
      </c>
      <c r="F84" s="569">
        <v>7.3</v>
      </c>
      <c r="G84" s="217" t="s">
        <v>128</v>
      </c>
      <c r="H84" s="217">
        <v>157778.0</v>
      </c>
      <c r="I84" s="217">
        <v>0.0</v>
      </c>
      <c r="J84" s="641">
        <v>0.0808</v>
      </c>
      <c r="K84" s="568"/>
      <c r="L84" s="452"/>
      <c r="M84" s="639">
        <v>0.12534</v>
      </c>
      <c r="N84" s="595">
        <f t="shared" si="51"/>
        <v>-0.0808</v>
      </c>
      <c r="O84" s="518">
        <f t="shared" si="56"/>
        <v>0.5512376238</v>
      </c>
      <c r="P84" s="514">
        <f t="shared" si="52"/>
        <v>86973.1698</v>
      </c>
      <c r="Q84" s="528"/>
      <c r="R84" s="528"/>
      <c r="S84" s="519" t="s">
        <v>199</v>
      </c>
      <c r="T84" s="520">
        <v>44446.0</v>
      </c>
      <c r="U84" s="640">
        <v>0.12534</v>
      </c>
      <c r="V84" s="522">
        <v>244751.0</v>
      </c>
      <c r="W84" s="519"/>
      <c r="X84" s="520"/>
      <c r="Y84" s="642"/>
      <c r="Z84" s="522"/>
    </row>
    <row r="85">
      <c r="A85" s="528"/>
      <c r="B85" s="528"/>
      <c r="C85" s="512">
        <f>I85/E102</f>
        <v>0</v>
      </c>
      <c r="D85" s="104" t="s">
        <v>574</v>
      </c>
      <c r="E85" s="529" t="s">
        <v>213</v>
      </c>
      <c r="F85" s="195">
        <v>7.5</v>
      </c>
      <c r="G85" s="217" t="s">
        <v>128</v>
      </c>
      <c r="H85" s="217">
        <v>155677.0</v>
      </c>
      <c r="I85" s="217">
        <f>H85+P85</f>
        <v>0</v>
      </c>
      <c r="J85" s="216">
        <v>2.026</v>
      </c>
      <c r="K85" s="568"/>
      <c r="L85" s="452"/>
      <c r="M85" s="216"/>
      <c r="N85" s="595">
        <f t="shared" si="51"/>
        <v>-2.026</v>
      </c>
      <c r="O85" s="518">
        <f>L85/J85-1</f>
        <v>-1</v>
      </c>
      <c r="P85" s="514">
        <f t="shared" si="52"/>
        <v>-155677</v>
      </c>
      <c r="Q85" s="528"/>
      <c r="R85" s="528"/>
      <c r="S85" s="519"/>
      <c r="T85" s="520"/>
      <c r="U85" s="521"/>
      <c r="V85" s="522"/>
      <c r="W85" s="519" t="s">
        <v>214</v>
      </c>
      <c r="X85" s="520">
        <v>44461.0</v>
      </c>
      <c r="Y85" s="531">
        <v>2.026</v>
      </c>
      <c r="Z85" s="522">
        <v>155677.0</v>
      </c>
    </row>
    <row r="86">
      <c r="A86" s="528"/>
      <c r="B86" s="528"/>
      <c r="C86" s="512">
        <f>I86/E102</f>
        <v>0</v>
      </c>
      <c r="D86" s="104" t="s">
        <v>574</v>
      </c>
      <c r="E86" s="529" t="s">
        <v>213</v>
      </c>
      <c r="F86" s="195">
        <v>7.5</v>
      </c>
      <c r="G86" s="217" t="s">
        <v>128</v>
      </c>
      <c r="H86" s="217">
        <v>168000.0</v>
      </c>
      <c r="I86" s="217">
        <v>0.0</v>
      </c>
      <c r="J86" s="216">
        <v>2.364</v>
      </c>
      <c r="K86" s="568"/>
      <c r="L86" s="452"/>
      <c r="M86" s="216">
        <v>2.2978</v>
      </c>
      <c r="N86" s="595">
        <f t="shared" si="51"/>
        <v>-2.364</v>
      </c>
      <c r="O86" s="518">
        <f t="shared" ref="O86:O89" si="57">M86/J86-1</f>
        <v>-0.02800338409</v>
      </c>
      <c r="P86" s="514">
        <f t="shared" si="52"/>
        <v>-4704.568528</v>
      </c>
      <c r="Q86" s="528"/>
      <c r="R86" s="528"/>
      <c r="S86" s="519" t="s">
        <v>214</v>
      </c>
      <c r="T86" s="520">
        <v>44459.0</v>
      </c>
      <c r="U86" s="521">
        <v>2.2978</v>
      </c>
      <c r="V86" s="522">
        <v>163295.0</v>
      </c>
      <c r="W86" s="519" t="s">
        <v>214</v>
      </c>
      <c r="X86" s="520">
        <v>44446.0</v>
      </c>
      <c r="Y86" s="531">
        <v>2.364</v>
      </c>
      <c r="Z86" s="522">
        <v>168000.0</v>
      </c>
    </row>
    <row r="87">
      <c r="A87" s="528"/>
      <c r="B87" s="528"/>
      <c r="C87" s="512">
        <f>I87/E102</f>
        <v>0</v>
      </c>
      <c r="D87" s="104" t="s">
        <v>574</v>
      </c>
      <c r="E87" s="529" t="s">
        <v>213</v>
      </c>
      <c r="F87" s="195">
        <v>7.5</v>
      </c>
      <c r="G87" s="217" t="s">
        <v>128</v>
      </c>
      <c r="H87" s="217">
        <v>155777.0</v>
      </c>
      <c r="I87" s="217">
        <v>0.0</v>
      </c>
      <c r="J87" s="216">
        <v>2.6737</v>
      </c>
      <c r="K87" s="568"/>
      <c r="L87" s="452"/>
      <c r="M87" s="216">
        <v>2.778</v>
      </c>
      <c r="N87" s="595">
        <f t="shared" si="51"/>
        <v>-2.6737</v>
      </c>
      <c r="O87" s="518">
        <f t="shared" si="57"/>
        <v>0.03900961215</v>
      </c>
      <c r="P87" s="514">
        <f t="shared" si="52"/>
        <v>6076.800352</v>
      </c>
      <c r="Q87" s="528"/>
      <c r="R87" s="528"/>
      <c r="S87" s="519" t="s">
        <v>214</v>
      </c>
      <c r="T87" s="520">
        <v>44446.0</v>
      </c>
      <c r="U87" s="521">
        <v>2.778</v>
      </c>
      <c r="V87" s="522">
        <v>161854.0</v>
      </c>
      <c r="W87" s="519" t="s">
        <v>214</v>
      </c>
      <c r="X87" s="520">
        <v>44435.0</v>
      </c>
      <c r="Y87" s="531">
        <v>2.6737</v>
      </c>
      <c r="Z87" s="522">
        <v>155777.0</v>
      </c>
    </row>
    <row r="88">
      <c r="A88" s="528"/>
      <c r="B88" s="528"/>
      <c r="C88" s="512">
        <f>I88/E102</f>
        <v>0</v>
      </c>
      <c r="D88" s="104" t="s">
        <v>574</v>
      </c>
      <c r="E88" s="529" t="s">
        <v>213</v>
      </c>
      <c r="F88" s="195">
        <v>7.5</v>
      </c>
      <c r="G88" s="217" t="s">
        <v>128</v>
      </c>
      <c r="H88" s="217">
        <v>175227.0</v>
      </c>
      <c r="I88" s="217">
        <v>0.0</v>
      </c>
      <c r="J88" s="216">
        <v>1.31</v>
      </c>
      <c r="K88" s="568"/>
      <c r="L88" s="452"/>
      <c r="M88" s="216">
        <v>2.8385</v>
      </c>
      <c r="N88" s="595">
        <f t="shared" si="51"/>
        <v>-1.31</v>
      </c>
      <c r="O88" s="518">
        <f t="shared" si="57"/>
        <v>1.166793893</v>
      </c>
      <c r="P88" s="514">
        <f t="shared" si="52"/>
        <v>204453.7935</v>
      </c>
      <c r="Q88" s="528"/>
      <c r="R88" s="528"/>
      <c r="S88" s="519" t="s">
        <v>214</v>
      </c>
      <c r="T88" s="520">
        <v>44432.0</v>
      </c>
      <c r="U88" s="521">
        <v>2.8385</v>
      </c>
      <c r="V88" s="522">
        <v>379681.0</v>
      </c>
      <c r="W88" s="519"/>
      <c r="X88" s="520"/>
      <c r="Y88" s="531"/>
      <c r="Z88" s="522"/>
    </row>
    <row r="89">
      <c r="A89" s="528"/>
      <c r="B89" s="528"/>
      <c r="C89" s="512">
        <f>I89/E102</f>
        <v>0</v>
      </c>
      <c r="D89" s="344" t="s">
        <v>692</v>
      </c>
      <c r="E89" s="563" t="s">
        <v>418</v>
      </c>
      <c r="F89" s="195">
        <v>7.2</v>
      </c>
      <c r="G89" s="217" t="s">
        <v>128</v>
      </c>
      <c r="H89" s="217">
        <v>118687.0</v>
      </c>
      <c r="I89" s="217">
        <v>0.0</v>
      </c>
      <c r="J89" s="216">
        <v>120.2</v>
      </c>
      <c r="K89" s="568"/>
      <c r="L89" s="452"/>
      <c r="M89" s="216">
        <v>154.8</v>
      </c>
      <c r="N89" s="595">
        <f t="shared" si="51"/>
        <v>-120.2</v>
      </c>
      <c r="O89" s="518">
        <f t="shared" si="57"/>
        <v>0.2878535774</v>
      </c>
      <c r="P89" s="514">
        <f t="shared" si="52"/>
        <v>34164.47754</v>
      </c>
      <c r="Q89" s="528"/>
      <c r="R89" s="528"/>
      <c r="S89" s="519" t="s">
        <v>419</v>
      </c>
      <c r="T89" s="520">
        <v>44446.0</v>
      </c>
      <c r="U89" s="521">
        <v>154.8</v>
      </c>
      <c r="V89" s="522">
        <v>152851.0</v>
      </c>
      <c r="W89" s="519"/>
      <c r="X89" s="520"/>
      <c r="Y89" s="531"/>
      <c r="Z89" s="522"/>
    </row>
    <row r="90">
      <c r="A90" s="528"/>
      <c r="B90" s="528"/>
      <c r="C90" s="512">
        <f>I90/E102</f>
        <v>0</v>
      </c>
      <c r="D90" s="344" t="s">
        <v>209</v>
      </c>
      <c r="E90" s="344" t="s">
        <v>210</v>
      </c>
      <c r="F90" s="195">
        <v>7.5</v>
      </c>
      <c r="G90" s="217" t="s">
        <v>128</v>
      </c>
      <c r="H90" s="217">
        <v>147880.0</v>
      </c>
      <c r="I90" s="217">
        <f>H90+P90</f>
        <v>0</v>
      </c>
      <c r="J90" s="216">
        <v>21.89</v>
      </c>
      <c r="K90" s="568"/>
      <c r="L90" s="452"/>
      <c r="M90" s="216"/>
      <c r="N90" s="595">
        <f t="shared" si="51"/>
        <v>-21.89</v>
      </c>
      <c r="O90" s="518">
        <f>L90/J90-1</f>
        <v>-1</v>
      </c>
      <c r="P90" s="514">
        <f t="shared" si="52"/>
        <v>-147880</v>
      </c>
      <c r="Q90" s="528"/>
      <c r="R90" s="528"/>
      <c r="S90" s="519"/>
      <c r="T90" s="520"/>
      <c r="U90" s="521"/>
      <c r="V90" s="522"/>
      <c r="W90" s="519" t="s">
        <v>211</v>
      </c>
      <c r="X90" s="520">
        <v>44461.0</v>
      </c>
      <c r="Y90" s="531">
        <v>21.89</v>
      </c>
      <c r="Z90" s="522">
        <v>147880.0</v>
      </c>
    </row>
    <row r="91">
      <c r="A91" s="528"/>
      <c r="B91" s="528"/>
      <c r="C91" s="512">
        <f>I91/E102</f>
        <v>0</v>
      </c>
      <c r="D91" s="344" t="s">
        <v>209</v>
      </c>
      <c r="E91" s="344" t="s">
        <v>210</v>
      </c>
      <c r="F91" s="195">
        <v>7.5</v>
      </c>
      <c r="G91" s="217" t="s">
        <v>128</v>
      </c>
      <c r="H91" s="217">
        <v>135285.0</v>
      </c>
      <c r="I91" s="217">
        <v>0.0</v>
      </c>
      <c r="J91" s="216">
        <v>17.89</v>
      </c>
      <c r="K91" s="568"/>
      <c r="L91" s="452"/>
      <c r="M91" s="216">
        <v>27.34</v>
      </c>
      <c r="N91" s="595">
        <f t="shared" si="51"/>
        <v>-17.89</v>
      </c>
      <c r="O91" s="518">
        <f>M91/J91-1</f>
        <v>0.5282280604</v>
      </c>
      <c r="P91" s="514">
        <f t="shared" si="52"/>
        <v>71461.33315</v>
      </c>
      <c r="Q91" s="528"/>
      <c r="R91" s="528"/>
      <c r="S91" s="519" t="s">
        <v>211</v>
      </c>
      <c r="T91" s="520">
        <v>44449.0</v>
      </c>
      <c r="U91" s="521">
        <v>27.34</v>
      </c>
      <c r="V91" s="522">
        <v>206746.0</v>
      </c>
      <c r="W91" s="523"/>
      <c r="X91" s="524"/>
      <c r="Y91" s="526"/>
      <c r="Z91" s="526"/>
    </row>
    <row r="92">
      <c r="A92" s="528"/>
      <c r="B92" s="528"/>
      <c r="C92" s="512">
        <f>I92/E102</f>
        <v>0</v>
      </c>
      <c r="D92" s="104" t="s">
        <v>622</v>
      </c>
      <c r="E92" s="104" t="s">
        <v>195</v>
      </c>
      <c r="F92" s="195">
        <v>7.6</v>
      </c>
      <c r="G92" s="217" t="s">
        <v>715</v>
      </c>
      <c r="H92" s="217">
        <v>180784.0</v>
      </c>
      <c r="I92" s="217">
        <f t="shared" ref="I92:I95" si="58">H92+P92</f>
        <v>0</v>
      </c>
      <c r="J92" s="216">
        <v>30.81</v>
      </c>
      <c r="K92" s="568"/>
      <c r="L92" s="452"/>
      <c r="M92" s="517"/>
      <c r="N92" s="595">
        <f t="shared" si="51"/>
        <v>-30.81</v>
      </c>
      <c r="O92" s="518">
        <f t="shared" ref="O92:O95" si="59">L92/J92-1</f>
        <v>-1</v>
      </c>
      <c r="P92" s="514">
        <f t="shared" si="52"/>
        <v>-180784</v>
      </c>
      <c r="Q92" s="528"/>
      <c r="R92" s="528"/>
      <c r="S92" s="523"/>
      <c r="T92" s="523"/>
      <c r="U92" s="525"/>
      <c r="V92" s="525"/>
      <c r="W92" s="519" t="s">
        <v>196</v>
      </c>
      <c r="X92" s="520">
        <v>44461.0</v>
      </c>
      <c r="Y92" s="531">
        <v>30.81</v>
      </c>
      <c r="Z92" s="522">
        <v>180784.0</v>
      </c>
    </row>
    <row r="93">
      <c r="A93" s="528"/>
      <c r="B93" s="528"/>
      <c r="C93" s="512">
        <f>I93/E102</f>
        <v>0</v>
      </c>
      <c r="D93" s="104" t="s">
        <v>509</v>
      </c>
      <c r="E93" s="104" t="s">
        <v>510</v>
      </c>
      <c r="F93" s="195">
        <v>7.7</v>
      </c>
      <c r="G93" s="217" t="s">
        <v>715</v>
      </c>
      <c r="H93" s="217">
        <v>167488.0</v>
      </c>
      <c r="I93" s="217">
        <f t="shared" si="58"/>
        <v>0</v>
      </c>
      <c r="J93" s="216">
        <v>129.38</v>
      </c>
      <c r="K93" s="568"/>
      <c r="L93" s="452"/>
      <c r="M93" s="517"/>
      <c r="N93" s="595">
        <f t="shared" si="51"/>
        <v>-129.38</v>
      </c>
      <c r="O93" s="518">
        <f t="shared" si="59"/>
        <v>-1</v>
      </c>
      <c r="P93" s="514">
        <f t="shared" si="52"/>
        <v>-167488</v>
      </c>
      <c r="Q93" s="528"/>
      <c r="R93" s="528"/>
      <c r="S93" s="523"/>
      <c r="T93" s="523"/>
      <c r="U93" s="525"/>
      <c r="V93" s="525"/>
      <c r="W93" s="519" t="s">
        <v>511</v>
      </c>
      <c r="X93" s="520">
        <v>44461.0</v>
      </c>
      <c r="Y93" s="531">
        <v>129.38</v>
      </c>
      <c r="Z93" s="522">
        <v>167488.0</v>
      </c>
    </row>
    <row r="94">
      <c r="A94" s="528"/>
      <c r="B94" s="528"/>
      <c r="C94" s="512">
        <f>I94/E102</f>
        <v>0</v>
      </c>
      <c r="D94" s="344" t="s">
        <v>513</v>
      </c>
      <c r="E94" s="344" t="s">
        <v>514</v>
      </c>
      <c r="F94" s="195">
        <v>7.5</v>
      </c>
      <c r="G94" s="217" t="s">
        <v>128</v>
      </c>
      <c r="H94" s="217">
        <v>125700.0</v>
      </c>
      <c r="I94" s="217">
        <f t="shared" si="58"/>
        <v>0</v>
      </c>
      <c r="J94" s="216">
        <v>237.0</v>
      </c>
      <c r="K94" s="568"/>
      <c r="L94" s="452"/>
      <c r="M94" s="517"/>
      <c r="N94" s="595">
        <f t="shared" si="51"/>
        <v>-237</v>
      </c>
      <c r="O94" s="518">
        <f t="shared" si="59"/>
        <v>-1</v>
      </c>
      <c r="P94" s="514">
        <f t="shared" si="52"/>
        <v>-125700</v>
      </c>
      <c r="Q94" s="528"/>
      <c r="R94" s="528"/>
      <c r="S94" s="523"/>
      <c r="T94" s="523"/>
      <c r="U94" s="525"/>
      <c r="V94" s="525"/>
      <c r="W94" s="519" t="s">
        <v>515</v>
      </c>
      <c r="X94" s="520">
        <v>44461.0</v>
      </c>
      <c r="Y94" s="531">
        <v>237.0</v>
      </c>
      <c r="Z94" s="522">
        <v>125700.0</v>
      </c>
    </row>
    <row r="95">
      <c r="A95" s="528"/>
      <c r="B95" s="528"/>
      <c r="C95" s="512">
        <f>I95/E102</f>
        <v>0</v>
      </c>
      <c r="D95" s="344" t="s">
        <v>513</v>
      </c>
      <c r="E95" s="344" t="s">
        <v>514</v>
      </c>
      <c r="F95" s="195">
        <v>7.5</v>
      </c>
      <c r="G95" s="217" t="s">
        <v>128</v>
      </c>
      <c r="H95" s="217">
        <v>132775.0</v>
      </c>
      <c r="I95" s="217">
        <f t="shared" si="58"/>
        <v>0</v>
      </c>
      <c r="J95" s="216">
        <v>208.44</v>
      </c>
      <c r="K95" s="568"/>
      <c r="L95" s="452"/>
      <c r="M95" s="517"/>
      <c r="N95" s="595">
        <f t="shared" si="51"/>
        <v>-208.44</v>
      </c>
      <c r="O95" s="518">
        <f t="shared" si="59"/>
        <v>-1</v>
      </c>
      <c r="P95" s="514">
        <f t="shared" si="52"/>
        <v>-132775</v>
      </c>
      <c r="Q95" s="528"/>
      <c r="R95" s="528"/>
      <c r="S95" s="523"/>
      <c r="T95" s="523"/>
      <c r="U95" s="525"/>
      <c r="V95" s="525"/>
      <c r="W95" s="519"/>
      <c r="X95" s="520"/>
      <c r="Y95" s="531"/>
      <c r="Z95" s="522"/>
    </row>
    <row r="96">
      <c r="A96" s="13"/>
      <c r="B96" s="13"/>
      <c r="C96" s="173"/>
      <c r="D96" s="173"/>
      <c r="E96" s="173"/>
      <c r="F96" s="173"/>
      <c r="G96" s="509"/>
      <c r="H96" s="509">
        <f t="shared" ref="H96:I96" si="60">SUM(H76:H95)</f>
        <v>3269151</v>
      </c>
      <c r="I96" s="193">
        <f t="shared" si="60"/>
        <v>0</v>
      </c>
      <c r="J96" s="607"/>
      <c r="K96" s="173"/>
      <c r="L96" s="13"/>
      <c r="M96" s="173"/>
      <c r="N96" s="173"/>
      <c r="O96" s="541">
        <f>F100</f>
        <v>0.5215145433</v>
      </c>
      <c r="P96" s="193">
        <v>776895.0</v>
      </c>
      <c r="Q96" s="173"/>
      <c r="R96" s="173"/>
      <c r="S96" s="510" t="s">
        <v>89</v>
      </c>
      <c r="T96" s="542"/>
      <c r="U96" s="543"/>
      <c r="V96" s="570">
        <f>SUM(V76:V95)</f>
        <v>2404743</v>
      </c>
      <c r="W96" s="510" t="s">
        <v>89</v>
      </c>
      <c r="X96" s="542"/>
      <c r="Y96" s="608"/>
      <c r="Z96" s="544">
        <f>SUM(Z76:Z95)</f>
        <v>1779461</v>
      </c>
    </row>
    <row r="97">
      <c r="A97" s="13" t="s">
        <v>227</v>
      </c>
      <c r="B97" s="13" t="s">
        <v>228</v>
      </c>
      <c r="C97" s="504"/>
      <c r="D97" s="504" t="s">
        <v>642</v>
      </c>
      <c r="E97" s="504" t="s">
        <v>725</v>
      </c>
      <c r="F97" s="504" t="s">
        <v>14</v>
      </c>
      <c r="G97" s="504" t="s">
        <v>644</v>
      </c>
      <c r="H97" s="13" t="s">
        <v>233</v>
      </c>
      <c r="I97" s="13" t="s">
        <v>234</v>
      </c>
      <c r="J97" s="609" t="s">
        <v>627</v>
      </c>
      <c r="K97" s="609" t="s">
        <v>423</v>
      </c>
      <c r="L97" s="173"/>
      <c r="M97" s="173"/>
      <c r="N97" s="173"/>
      <c r="O97" s="173"/>
      <c r="P97" s="173"/>
      <c r="Q97" s="173"/>
      <c r="R97" s="610"/>
      <c r="S97" s="610"/>
      <c r="T97" s="610"/>
      <c r="U97" s="610"/>
      <c r="V97" s="610"/>
      <c r="W97" s="610"/>
      <c r="X97" s="610"/>
      <c r="Y97" s="610"/>
      <c r="Z97" s="610"/>
    </row>
    <row r="98">
      <c r="A98" s="344" t="s">
        <v>374</v>
      </c>
      <c r="B98" s="512">
        <f>E98/E102</f>
        <v>0.4669103892</v>
      </c>
      <c r="C98" s="514"/>
      <c r="D98" s="611">
        <v>3895806.0</v>
      </c>
      <c r="E98" s="217">
        <v>3982197.0</v>
      </c>
      <c r="F98" s="518">
        <f t="shared" ref="F98:F100" si="61">G98/D98</f>
        <v>-0.04571172178</v>
      </c>
      <c r="G98" s="612">
        <v>-178084.0</v>
      </c>
      <c r="H98" s="612">
        <v>148770.0</v>
      </c>
      <c r="I98" s="647">
        <v>24550.0</v>
      </c>
      <c r="J98" s="612">
        <v>157450.0</v>
      </c>
      <c r="K98" s="648">
        <f>G98+H98+I98+J98</f>
        <v>152686</v>
      </c>
      <c r="L98" s="528"/>
      <c r="M98" s="528"/>
      <c r="N98" s="528"/>
      <c r="O98" s="528"/>
      <c r="P98" s="528"/>
      <c r="Q98" s="528"/>
      <c r="R98" s="610"/>
      <c r="S98" s="610"/>
      <c r="T98" s="610"/>
      <c r="U98" s="610"/>
      <c r="V98" s="610"/>
      <c r="W98" s="610"/>
      <c r="X98" s="610"/>
      <c r="Y98" s="610"/>
      <c r="Z98" s="610"/>
    </row>
    <row r="99">
      <c r="A99" s="344" t="s">
        <v>409</v>
      </c>
      <c r="B99" s="512">
        <f>E99/E102</f>
        <v>0.1756736713</v>
      </c>
      <c r="C99" s="514"/>
      <c r="D99" s="217">
        <v>1725910.0</v>
      </c>
      <c r="E99" s="217">
        <v>1498290.0</v>
      </c>
      <c r="F99" s="518">
        <f t="shared" si="61"/>
        <v>-0.1318840496</v>
      </c>
      <c r="G99" s="612">
        <v>-227620.0</v>
      </c>
      <c r="H99" s="613">
        <f>H98/E102</f>
        <v>0.01744319997</v>
      </c>
      <c r="I99" s="518">
        <f>I98/E102</f>
        <v>0.002878473881</v>
      </c>
      <c r="J99" s="518">
        <f>J98/E102</f>
        <v>0.01846092516</v>
      </c>
      <c r="K99" s="518">
        <f>K98/E102</f>
        <v>0.0179023488</v>
      </c>
      <c r="L99" s="528"/>
      <c r="M99" s="528"/>
      <c r="N99" s="528"/>
      <c r="O99" s="528"/>
      <c r="P99" s="528"/>
      <c r="Q99" s="528"/>
      <c r="R99" s="610"/>
      <c r="S99" s="610"/>
      <c r="T99" s="610"/>
      <c r="U99" s="610"/>
      <c r="V99" s="610"/>
      <c r="W99" s="610"/>
      <c r="X99" s="610"/>
      <c r="Y99" s="610"/>
      <c r="Z99" s="610"/>
    </row>
    <row r="100">
      <c r="A100" s="344" t="s">
        <v>240</v>
      </c>
      <c r="B100" s="512">
        <f>E100/E102</f>
        <v>0.1924416318</v>
      </c>
      <c r="C100" s="514"/>
      <c r="D100" s="217">
        <v>1489690.0</v>
      </c>
      <c r="E100" s="217">
        <v>1641301.0</v>
      </c>
      <c r="F100" s="518">
        <f t="shared" si="61"/>
        <v>0.5215145433</v>
      </c>
      <c r="G100" s="612">
        <v>776895.0</v>
      </c>
      <c r="H100" s="614"/>
      <c r="I100" s="614"/>
      <c r="J100" s="614"/>
      <c r="K100" s="614"/>
      <c r="L100" s="528"/>
      <c r="M100" s="528"/>
      <c r="N100" s="528"/>
      <c r="O100" s="528"/>
      <c r="P100" s="528"/>
      <c r="Q100" s="528"/>
      <c r="R100" s="610"/>
      <c r="S100" s="610"/>
      <c r="T100" s="610"/>
      <c r="U100" s="610"/>
      <c r="V100" s="610"/>
      <c r="W100" s="610"/>
      <c r="X100" s="610"/>
      <c r="Y100" s="610"/>
      <c r="Z100" s="610"/>
    </row>
    <row r="101">
      <c r="A101" s="344" t="s">
        <v>461</v>
      </c>
      <c r="B101" s="512">
        <f>E101/E102</f>
        <v>0.1649740732</v>
      </c>
      <c r="C101" s="514"/>
      <c r="D101" s="217">
        <f>D102-(D98+D99+D100)</f>
        <v>715458</v>
      </c>
      <c r="E101" s="217">
        <f>D101+V96+V60+V53+V74+V40+V33+V25+V17+J98+I98+H98-(Z17+Z25+Z33+Z40+Z53+Z60+Z74+Z96)</f>
        <v>1407035</v>
      </c>
      <c r="F101" s="588" t="s">
        <v>128</v>
      </c>
      <c r="G101" s="612">
        <v>330770.0</v>
      </c>
      <c r="H101" s="224"/>
      <c r="I101" s="224"/>
      <c r="J101" s="224"/>
      <c r="K101" s="224"/>
      <c r="L101" s="528"/>
      <c r="M101" s="528"/>
      <c r="N101" s="528"/>
      <c r="O101" s="528"/>
      <c r="P101" s="528"/>
      <c r="Q101" s="528"/>
      <c r="R101" s="610"/>
      <c r="S101" s="610"/>
      <c r="T101" s="610"/>
      <c r="U101" s="610"/>
      <c r="V101" s="610"/>
      <c r="W101" s="610"/>
      <c r="X101" s="610"/>
      <c r="Y101" s="610"/>
      <c r="Z101" s="610"/>
    </row>
    <row r="102">
      <c r="A102" s="13" t="s">
        <v>246</v>
      </c>
      <c r="B102" s="541">
        <f>SUM(B98:B101)</f>
        <v>0.9999997655</v>
      </c>
      <c r="C102" s="616"/>
      <c r="D102" s="616">
        <v>7826864.0</v>
      </c>
      <c r="E102" s="193">
        <v>8528825.0</v>
      </c>
      <c r="F102" s="518">
        <f>G102/D102</f>
        <v>0.08968611183</v>
      </c>
      <c r="G102" s="193">
        <v>701961.0</v>
      </c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610"/>
      <c r="S102" s="610"/>
      <c r="T102" s="610"/>
      <c r="U102" s="610"/>
      <c r="V102" s="610"/>
      <c r="W102" s="610"/>
      <c r="X102" s="610"/>
      <c r="Y102" s="610"/>
      <c r="Z102" s="610"/>
    </row>
    <row r="103">
      <c r="A103" s="250"/>
    </row>
    <row r="104">
      <c r="A104" s="201" t="s">
        <v>248</v>
      </c>
      <c r="B104" s="617"/>
      <c r="C104" s="618" t="s">
        <v>726</v>
      </c>
      <c r="D104" s="618" t="s">
        <v>727</v>
      </c>
      <c r="E104" s="619" t="s">
        <v>15</v>
      </c>
      <c r="F104" s="620" t="s">
        <v>578</v>
      </c>
    </row>
    <row r="105">
      <c r="A105" s="89" t="s">
        <v>265</v>
      </c>
      <c r="B105" s="16" t="s">
        <v>266</v>
      </c>
      <c r="C105" s="645">
        <v>34531.82</v>
      </c>
      <c r="D105" s="621">
        <v>33844.0</v>
      </c>
      <c r="E105" s="206">
        <f t="shared" ref="E105:E109" si="62">D105-C105</f>
        <v>-687.82</v>
      </c>
      <c r="F105" s="622">
        <f t="shared" ref="F105:F109" si="63">D105/C105-1</f>
        <v>-0.01991844044</v>
      </c>
    </row>
    <row r="106">
      <c r="A106" s="89" t="s">
        <v>267</v>
      </c>
      <c r="B106" s="16" t="s">
        <v>268</v>
      </c>
      <c r="C106" s="645">
        <v>4300.49</v>
      </c>
      <c r="D106" s="621">
        <v>4308.0</v>
      </c>
      <c r="E106" s="206">
        <f t="shared" si="62"/>
        <v>7.51</v>
      </c>
      <c r="F106" s="622">
        <f t="shared" si="63"/>
        <v>0.001746312629</v>
      </c>
    </row>
    <row r="107">
      <c r="A107" s="89" t="s">
        <v>269</v>
      </c>
      <c r="B107" s="16" t="s">
        <v>270</v>
      </c>
      <c r="C107" s="645">
        <v>14512.67</v>
      </c>
      <c r="D107" s="621">
        <v>14449.0</v>
      </c>
      <c r="E107" s="206">
        <f t="shared" si="62"/>
        <v>-63.67</v>
      </c>
      <c r="F107" s="622">
        <f t="shared" si="63"/>
        <v>-0.004387200977</v>
      </c>
    </row>
    <row r="108">
      <c r="A108" s="89" t="s">
        <v>271</v>
      </c>
      <c r="B108" s="16" t="s">
        <v>272</v>
      </c>
      <c r="C108" s="645">
        <v>2311.19</v>
      </c>
      <c r="D108" s="621">
        <v>2204.0</v>
      </c>
      <c r="E108" s="206">
        <f t="shared" si="62"/>
        <v>-107.19</v>
      </c>
      <c r="F108" s="622">
        <f t="shared" si="63"/>
        <v>-0.04637870534</v>
      </c>
    </row>
    <row r="109">
      <c r="A109" s="89" t="s">
        <v>273</v>
      </c>
      <c r="B109" s="16" t="s">
        <v>274</v>
      </c>
      <c r="C109" s="645">
        <v>16558.76</v>
      </c>
      <c r="D109" s="621">
        <v>16145.0</v>
      </c>
      <c r="E109" s="206">
        <f t="shared" si="62"/>
        <v>-413.76</v>
      </c>
      <c r="F109" s="622">
        <f t="shared" si="63"/>
        <v>-0.02498737828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2.63"/>
    <col customWidth="1" min="3" max="3" width="18.75"/>
    <col customWidth="1" min="4" max="4" width="21.38"/>
    <col customWidth="1" min="5" max="5" width="24.13"/>
    <col customWidth="1" min="6" max="6" width="10.38"/>
    <col customWidth="1" min="7" max="7" width="11.13"/>
    <col customWidth="1" min="8" max="8" width="22.63"/>
    <col customWidth="1" min="9" max="9" width="14.13"/>
    <col customWidth="1" min="10" max="10" width="16.75"/>
    <col customWidth="1" min="11" max="11" width="10.5"/>
    <col customWidth="1" min="12" max="12" width="11.25"/>
    <col customWidth="1" min="13" max="13" width="8.63"/>
    <col customWidth="1" min="14" max="14" width="11.13"/>
    <col customWidth="1" min="15" max="15" width="12.5"/>
    <col customWidth="1" min="16" max="16" width="11.5"/>
    <col customWidth="1" min="19" max="19" width="13.25"/>
    <col customWidth="1" min="23" max="23" width="13.0"/>
  </cols>
  <sheetData>
    <row r="1">
      <c r="A1" s="502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9"/>
      <c r="T1" s="229"/>
      <c r="U1" s="229"/>
      <c r="V1" s="229"/>
      <c r="W1" s="229"/>
      <c r="X1" s="229"/>
      <c r="Y1" s="229"/>
      <c r="Z1" s="229"/>
    </row>
    <row r="2">
      <c r="A2" s="13" t="s">
        <v>374</v>
      </c>
      <c r="B2" s="504" t="s">
        <v>728</v>
      </c>
      <c r="C2" s="13" t="s">
        <v>729</v>
      </c>
      <c r="D2" s="13" t="s">
        <v>3</v>
      </c>
      <c r="E2" s="13" t="s">
        <v>4</v>
      </c>
      <c r="F2" s="13" t="s">
        <v>5</v>
      </c>
      <c r="G2" s="504" t="s">
        <v>6</v>
      </c>
      <c r="H2" s="504" t="s">
        <v>230</v>
      </c>
      <c r="I2" s="649" t="s">
        <v>730</v>
      </c>
      <c r="J2" s="505" t="s">
        <v>731</v>
      </c>
      <c r="K2" s="506" t="s">
        <v>10</v>
      </c>
      <c r="L2" s="506" t="s">
        <v>11</v>
      </c>
      <c r="M2" s="507" t="s">
        <v>476</v>
      </c>
      <c r="N2" s="507" t="s">
        <v>13</v>
      </c>
      <c r="O2" s="504" t="s">
        <v>732</v>
      </c>
      <c r="P2" s="508" t="s">
        <v>15</v>
      </c>
      <c r="Q2" s="13" t="s">
        <v>16</v>
      </c>
      <c r="R2" s="509" t="s">
        <v>17</v>
      </c>
      <c r="S2" s="510" t="s">
        <v>21</v>
      </c>
      <c r="T2" s="510" t="s">
        <v>22</v>
      </c>
      <c r="U2" s="511" t="s">
        <v>23</v>
      </c>
      <c r="V2" s="511" t="s">
        <v>24</v>
      </c>
      <c r="W2" s="510" t="s">
        <v>25</v>
      </c>
      <c r="X2" s="510" t="s">
        <v>26</v>
      </c>
      <c r="Y2" s="510" t="s">
        <v>27</v>
      </c>
      <c r="Z2" s="510" t="s">
        <v>28</v>
      </c>
    </row>
    <row r="3">
      <c r="A3" s="565" t="s">
        <v>733</v>
      </c>
      <c r="B3" s="565" t="s">
        <v>733</v>
      </c>
      <c r="C3" s="512">
        <f>I3/E128</f>
        <v>0.002130973836</v>
      </c>
      <c r="D3" s="344" t="s">
        <v>346</v>
      </c>
      <c r="E3" s="344" t="s">
        <v>347</v>
      </c>
      <c r="F3" s="195">
        <v>8.2</v>
      </c>
      <c r="G3" s="513">
        <v>200.0</v>
      </c>
      <c r="H3" s="217">
        <v>45336.0</v>
      </c>
      <c r="I3" s="514">
        <f t="shared" ref="I3:I24" si="1">H3+P3</f>
        <v>16678.8424</v>
      </c>
      <c r="J3" s="216">
        <v>228.68</v>
      </c>
      <c r="K3" s="515">
        <f>IFERROR(__xludf.DUMMYFUNCTION("GOOGLEFINANCE(E3,""changepct"")"),-1.09)</f>
        <v>-1.09</v>
      </c>
      <c r="L3" s="516">
        <f>IFERROR(__xludf.DUMMYFUNCTION("googlefinance(E3,""price"")"),84.13)</f>
        <v>84.13</v>
      </c>
      <c r="M3" s="216"/>
      <c r="N3" s="517">
        <f t="shared" ref="N3:N24" si="2">L3-J3</f>
        <v>-144.55</v>
      </c>
      <c r="O3" s="518">
        <f t="shared" ref="O3:O24" si="3">L3/J3-1</f>
        <v>-0.6321059997</v>
      </c>
      <c r="P3" s="514">
        <f t="shared" ref="P3:P24" si="4">H3*O3</f>
        <v>-28657.1576</v>
      </c>
      <c r="Q3" s="195" t="s">
        <v>128</v>
      </c>
      <c r="R3" s="514"/>
      <c r="S3" s="519"/>
      <c r="T3" s="520"/>
      <c r="U3" s="521"/>
      <c r="V3" s="522"/>
      <c r="W3" s="523"/>
      <c r="X3" s="524"/>
      <c r="Y3" s="525"/>
      <c r="Z3" s="526"/>
    </row>
    <row r="4">
      <c r="A4" s="527">
        <f>B124</f>
        <v>0.4825637701</v>
      </c>
      <c r="B4" s="527" t="str">
        <f>I25/E128</f>
        <v>#N/A</v>
      </c>
      <c r="C4" s="512">
        <f>I4/E128</f>
        <v>0.002147731199</v>
      </c>
      <c r="D4" s="344" t="s">
        <v>530</v>
      </c>
      <c r="E4" s="344" t="s">
        <v>34</v>
      </c>
      <c r="F4" s="195">
        <v>8.4</v>
      </c>
      <c r="G4" s="513">
        <v>200.0</v>
      </c>
      <c r="H4" s="217">
        <f>G4*J4</f>
        <v>43520</v>
      </c>
      <c r="I4" s="514">
        <f t="shared" si="1"/>
        <v>16810</v>
      </c>
      <c r="J4" s="216">
        <v>217.6</v>
      </c>
      <c r="K4" s="515">
        <f>IFERROR(__xludf.DUMMYFUNCTION("GOOGLEFINANCE(E4,""changepct"")"),-2.94)</f>
        <v>-2.94</v>
      </c>
      <c r="L4" s="516">
        <f>IFERROR(__xludf.DUMMYFUNCTION("googlefinance(E4,""price"")"),84.05)</f>
        <v>84.05</v>
      </c>
      <c r="M4" s="517"/>
      <c r="N4" s="517">
        <f t="shared" si="2"/>
        <v>-133.55</v>
      </c>
      <c r="O4" s="518">
        <f t="shared" si="3"/>
        <v>-0.6137408088</v>
      </c>
      <c r="P4" s="514">
        <f t="shared" si="4"/>
        <v>-26710</v>
      </c>
      <c r="Q4" s="195" t="s">
        <v>128</v>
      </c>
      <c r="R4" s="514"/>
      <c r="S4" s="523"/>
      <c r="T4" s="524"/>
      <c r="U4" s="525"/>
      <c r="V4" s="526"/>
      <c r="W4" s="523"/>
      <c r="X4" s="524"/>
      <c r="Y4" s="525"/>
      <c r="Z4" s="526"/>
    </row>
    <row r="5">
      <c r="A5" s="344"/>
      <c r="B5" s="344"/>
      <c r="C5" s="512">
        <f>I5/E128</f>
        <v>0.005795424579</v>
      </c>
      <c r="D5" s="104" t="s">
        <v>700</v>
      </c>
      <c r="E5" s="104" t="s">
        <v>701</v>
      </c>
      <c r="F5" s="195">
        <v>8.2</v>
      </c>
      <c r="G5" s="513">
        <v>4000.0</v>
      </c>
      <c r="H5" s="217">
        <v>58640.0</v>
      </c>
      <c r="I5" s="514">
        <f t="shared" si="1"/>
        <v>45360</v>
      </c>
      <c r="J5" s="216">
        <v>14.66</v>
      </c>
      <c r="K5" s="515">
        <f>IFERROR(__xludf.DUMMYFUNCTION("GOOGLEFINANCE(E5,""changepct"")"),-3.24)</f>
        <v>-3.24</v>
      </c>
      <c r="L5" s="516">
        <f>IFERROR(__xludf.DUMMYFUNCTION("googlefinance(E5,""price"")"),11.34)</f>
        <v>11.34</v>
      </c>
      <c r="M5" s="517"/>
      <c r="N5" s="517">
        <f t="shared" si="2"/>
        <v>-3.32</v>
      </c>
      <c r="O5" s="518">
        <f t="shared" si="3"/>
        <v>-0.2264665757</v>
      </c>
      <c r="P5" s="514">
        <f t="shared" si="4"/>
        <v>-13280</v>
      </c>
      <c r="Q5" s="195" t="s">
        <v>128</v>
      </c>
      <c r="R5" s="514"/>
      <c r="S5" s="523"/>
      <c r="T5" s="524"/>
      <c r="U5" s="525"/>
      <c r="V5" s="526"/>
      <c r="W5" s="519" t="s">
        <v>701</v>
      </c>
      <c r="X5" s="520">
        <v>44336.0</v>
      </c>
      <c r="Y5" s="521">
        <v>14.66</v>
      </c>
      <c r="Z5" s="522">
        <v>58360.0</v>
      </c>
    </row>
    <row r="6">
      <c r="A6" s="344"/>
      <c r="B6" s="344"/>
      <c r="C6" s="512">
        <f>I6/E128</f>
        <v>0.01085568882</v>
      </c>
      <c r="D6" s="104" t="s">
        <v>734</v>
      </c>
      <c r="E6" s="104" t="s">
        <v>74</v>
      </c>
      <c r="F6" s="195">
        <v>7.8</v>
      </c>
      <c r="G6" s="513">
        <v>200.0</v>
      </c>
      <c r="H6" s="217">
        <f t="shared" ref="H6:H24" si="5">G6*J6</f>
        <v>47164</v>
      </c>
      <c r="I6" s="514">
        <f t="shared" si="1"/>
        <v>84966</v>
      </c>
      <c r="J6" s="216">
        <v>235.82</v>
      </c>
      <c r="K6" s="515">
        <f>IFERROR(__xludf.DUMMYFUNCTION("GOOGLEFINANCE(E6,""changepct"")"),-1.32)</f>
        <v>-1.32</v>
      </c>
      <c r="L6" s="516">
        <f>IFERROR(__xludf.DUMMYFUNCTION("googlefinance(E6,""price"")"),424.83)</f>
        <v>424.83</v>
      </c>
      <c r="M6" s="517"/>
      <c r="N6" s="517">
        <f t="shared" si="2"/>
        <v>189.01</v>
      </c>
      <c r="O6" s="518">
        <f t="shared" si="3"/>
        <v>0.8015011449</v>
      </c>
      <c r="P6" s="514">
        <f t="shared" si="4"/>
        <v>37802</v>
      </c>
      <c r="Q6" s="538">
        <v>0.0085</v>
      </c>
      <c r="R6" s="217">
        <v>115.0</v>
      </c>
      <c r="S6" s="523"/>
      <c r="T6" s="524"/>
      <c r="U6" s="525"/>
      <c r="V6" s="526"/>
      <c r="W6" s="519"/>
      <c r="X6" s="520"/>
      <c r="Y6" s="521"/>
      <c r="Z6" s="522"/>
    </row>
    <row r="7">
      <c r="A7" s="344"/>
      <c r="B7" s="344"/>
      <c r="C7" s="512">
        <f>I7/E128</f>
        <v>0.000492381112</v>
      </c>
      <c r="D7" s="344" t="s">
        <v>30</v>
      </c>
      <c r="E7" s="344" t="s">
        <v>31</v>
      </c>
      <c r="F7" s="195">
        <v>8.5</v>
      </c>
      <c r="G7" s="513">
        <v>20.0</v>
      </c>
      <c r="H7" s="217">
        <f t="shared" si="5"/>
        <v>41372.6</v>
      </c>
      <c r="I7" s="514">
        <f t="shared" si="1"/>
        <v>3853.8</v>
      </c>
      <c r="J7" s="216">
        <v>2068.63</v>
      </c>
      <c r="K7" s="515">
        <f>IFERROR(__xludf.DUMMYFUNCTION("GOOGLEFINANCE(E7,""changepct"")"),-0.7)</f>
        <v>-0.7</v>
      </c>
      <c r="L7" s="516">
        <f>IFERROR(__xludf.DUMMYFUNCTION("googlefinance(E7,""price"")"),192.69)</f>
        <v>192.69</v>
      </c>
      <c r="M7" s="517"/>
      <c r="N7" s="517">
        <f t="shared" si="2"/>
        <v>-1875.94</v>
      </c>
      <c r="O7" s="518">
        <f t="shared" si="3"/>
        <v>-0.9068513944</v>
      </c>
      <c r="P7" s="514">
        <f t="shared" si="4"/>
        <v>-37518.8</v>
      </c>
      <c r="Q7" s="195" t="s">
        <v>128</v>
      </c>
      <c r="R7" s="514"/>
      <c r="S7" s="523"/>
      <c r="T7" s="524"/>
      <c r="U7" s="525"/>
      <c r="V7" s="526"/>
      <c r="W7" s="523"/>
      <c r="X7" s="524"/>
      <c r="Y7" s="525"/>
      <c r="Z7" s="526"/>
    </row>
    <row r="8">
      <c r="A8" s="528"/>
      <c r="B8" s="528"/>
      <c r="C8" s="512">
        <f>I8/E128</f>
        <v>0.004260556974</v>
      </c>
      <c r="D8" s="344" t="s">
        <v>632</v>
      </c>
      <c r="E8" s="344" t="s">
        <v>674</v>
      </c>
      <c r="F8" s="195">
        <v>8.2</v>
      </c>
      <c r="G8" s="513">
        <v>180.0</v>
      </c>
      <c r="H8" s="217">
        <f t="shared" si="5"/>
        <v>53015.4</v>
      </c>
      <c r="I8" s="514">
        <f t="shared" si="1"/>
        <v>33346.8</v>
      </c>
      <c r="J8" s="216">
        <v>294.53</v>
      </c>
      <c r="K8" s="515">
        <f>IFERROR(__xludf.DUMMYFUNCTION("GOOGLEFINANCE(E8,""changepct"")"),0.0)</f>
        <v>0</v>
      </c>
      <c r="L8" s="516">
        <f>IFERROR(__xludf.DUMMYFUNCTION("googlefinance(E8,""price"")"),185.26)</f>
        <v>185.26</v>
      </c>
      <c r="M8" s="517"/>
      <c r="N8" s="517">
        <f t="shared" si="2"/>
        <v>-109.27</v>
      </c>
      <c r="O8" s="518">
        <f t="shared" si="3"/>
        <v>-0.370997861</v>
      </c>
      <c r="P8" s="514">
        <f t="shared" si="4"/>
        <v>-19668.6</v>
      </c>
      <c r="Q8" s="195" t="s">
        <v>128</v>
      </c>
      <c r="R8" s="514"/>
      <c r="S8" s="523"/>
      <c r="T8" s="524"/>
      <c r="U8" s="525"/>
      <c r="V8" s="526"/>
      <c r="W8" s="523"/>
      <c r="X8" s="524"/>
      <c r="Y8" s="525"/>
      <c r="Z8" s="526"/>
    </row>
    <row r="9">
      <c r="A9" s="528"/>
      <c r="B9" s="528"/>
      <c r="C9" s="512">
        <f>I9/E128</f>
        <v>0.003719241832</v>
      </c>
      <c r="D9" s="529" t="s">
        <v>702</v>
      </c>
      <c r="E9" s="529" t="s">
        <v>703</v>
      </c>
      <c r="F9" s="530">
        <v>8.3</v>
      </c>
      <c r="G9" s="513">
        <v>1000.0</v>
      </c>
      <c r="H9" s="217">
        <f t="shared" si="5"/>
        <v>76330</v>
      </c>
      <c r="I9" s="514">
        <f t="shared" si="1"/>
        <v>29110</v>
      </c>
      <c r="J9" s="216">
        <v>76.33</v>
      </c>
      <c r="K9" s="515">
        <f>IFERROR(__xludf.DUMMYFUNCTION("GOOGLEFINANCE(E9,""changepct"")"),-2.02)</f>
        <v>-2.02</v>
      </c>
      <c r="L9" s="516">
        <f>IFERROR(__xludf.DUMMYFUNCTION("googlefinance(E9,""price"")"),29.11)</f>
        <v>29.11</v>
      </c>
      <c r="M9" s="216"/>
      <c r="N9" s="517">
        <f t="shared" si="2"/>
        <v>-47.22</v>
      </c>
      <c r="O9" s="518">
        <f t="shared" si="3"/>
        <v>-0.6186296345</v>
      </c>
      <c r="P9" s="514">
        <f t="shared" si="4"/>
        <v>-47220</v>
      </c>
      <c r="Q9" s="195" t="s">
        <v>128</v>
      </c>
      <c r="R9" s="514"/>
      <c r="S9" s="519"/>
      <c r="T9" s="520"/>
      <c r="U9" s="521"/>
      <c r="V9" s="522"/>
      <c r="W9" s="519"/>
      <c r="X9" s="520"/>
      <c r="Y9" s="521"/>
      <c r="Z9" s="522"/>
    </row>
    <row r="10">
      <c r="A10" s="528"/>
      <c r="B10" s="528"/>
      <c r="C10" s="512">
        <f>I10/E128</f>
        <v>0.003645138078</v>
      </c>
      <c r="D10" s="529" t="s">
        <v>735</v>
      </c>
      <c r="E10" s="529" t="s">
        <v>736</v>
      </c>
      <c r="F10" s="530">
        <v>8.2</v>
      </c>
      <c r="G10" s="513">
        <v>1500.0</v>
      </c>
      <c r="H10" s="217">
        <f t="shared" si="5"/>
        <v>50235</v>
      </c>
      <c r="I10" s="514">
        <f t="shared" si="1"/>
        <v>28530</v>
      </c>
      <c r="J10" s="216">
        <v>33.49</v>
      </c>
      <c r="K10" s="515">
        <f>IFERROR(__xludf.DUMMYFUNCTION("GOOGLEFINANCE(E10,""changepct"")"),-1.99)</f>
        <v>-1.99</v>
      </c>
      <c r="L10" s="516">
        <f>IFERROR(__xludf.DUMMYFUNCTION("googlefinance(E10,""price"")"),19.02)</f>
        <v>19.02</v>
      </c>
      <c r="M10" s="216"/>
      <c r="N10" s="517">
        <f t="shared" si="2"/>
        <v>-14.47</v>
      </c>
      <c r="O10" s="518">
        <f t="shared" si="3"/>
        <v>-0.4320692744</v>
      </c>
      <c r="P10" s="514">
        <f t="shared" si="4"/>
        <v>-21705</v>
      </c>
      <c r="Q10" s="195" t="s">
        <v>128</v>
      </c>
      <c r="R10" s="514"/>
      <c r="S10" s="519"/>
      <c r="T10" s="520"/>
      <c r="U10" s="521"/>
      <c r="V10" s="522"/>
      <c r="W10" s="519"/>
      <c r="X10" s="520"/>
      <c r="Y10" s="521"/>
      <c r="Z10" s="522"/>
    </row>
    <row r="11">
      <c r="A11" s="528"/>
      <c r="B11" s="528"/>
      <c r="C11" s="512" t="str">
        <f>I11/E128</f>
        <v>#N/A</v>
      </c>
      <c r="D11" s="529" t="s">
        <v>737</v>
      </c>
      <c r="E11" s="529" t="s">
        <v>738</v>
      </c>
      <c r="F11" s="530">
        <v>7.9</v>
      </c>
      <c r="G11" s="513">
        <v>2000.0</v>
      </c>
      <c r="H11" s="217">
        <f t="shared" si="5"/>
        <v>46380</v>
      </c>
      <c r="I11" s="514" t="str">
        <f t="shared" si="1"/>
        <v>#N/A</v>
      </c>
      <c r="J11" s="216">
        <v>23.19</v>
      </c>
      <c r="K11" s="515" t="str">
        <f>IFERROR(__xludf.DUMMYFUNCTION("GOOGLEFINANCE(E11,""changepct"")"),"#N/A")</f>
        <v>#N/A</v>
      </c>
      <c r="L11" s="516" t="str">
        <f>IFERROR(__xludf.DUMMYFUNCTION("googlefinance(E11,""price"")"),"#N/A")</f>
        <v>#N/A</v>
      </c>
      <c r="M11" s="216"/>
      <c r="N11" s="528" t="str">
        <f t="shared" si="2"/>
        <v>#N/A</v>
      </c>
      <c r="O11" s="518" t="str">
        <f t="shared" si="3"/>
        <v>#N/A</v>
      </c>
      <c r="P11" s="528" t="str">
        <f t="shared" si="4"/>
        <v>#N/A</v>
      </c>
      <c r="Q11" s="195" t="s">
        <v>128</v>
      </c>
      <c r="R11" s="514"/>
      <c r="S11" s="519"/>
      <c r="T11" s="520"/>
      <c r="U11" s="521"/>
      <c r="V11" s="522"/>
      <c r="W11" s="519"/>
      <c r="X11" s="520"/>
      <c r="Y11" s="521"/>
      <c r="Z11" s="522"/>
    </row>
    <row r="12">
      <c r="A12" s="528"/>
      <c r="B12" s="528"/>
      <c r="C12" s="512">
        <f>I12/E128</f>
        <v>0.00533304271</v>
      </c>
      <c r="D12" s="529" t="s">
        <v>648</v>
      </c>
      <c r="E12" s="529" t="s">
        <v>36</v>
      </c>
      <c r="F12" s="530">
        <v>7.5</v>
      </c>
      <c r="G12" s="513">
        <v>100.0</v>
      </c>
      <c r="H12" s="217">
        <f t="shared" si="5"/>
        <v>66800</v>
      </c>
      <c r="I12" s="514">
        <f t="shared" si="1"/>
        <v>41741</v>
      </c>
      <c r="J12" s="216">
        <v>668.0</v>
      </c>
      <c r="K12" s="515">
        <f>IFERROR(__xludf.DUMMYFUNCTION("GOOGLEFINANCE(E12,""changepct"")"),-3.3)</f>
        <v>-3.3</v>
      </c>
      <c r="L12" s="516">
        <f>IFERROR(__xludf.DUMMYFUNCTION("googlefinance(E12,""price"")"),417.41)</f>
        <v>417.41</v>
      </c>
      <c r="M12" s="216"/>
      <c r="N12" s="517">
        <f t="shared" si="2"/>
        <v>-250.59</v>
      </c>
      <c r="O12" s="518">
        <f t="shared" si="3"/>
        <v>-0.3751347305</v>
      </c>
      <c r="P12" s="514">
        <f t="shared" si="4"/>
        <v>-25059</v>
      </c>
      <c r="Q12" s="195" t="s">
        <v>128</v>
      </c>
      <c r="R12" s="514"/>
      <c r="S12" s="519"/>
      <c r="T12" s="520"/>
      <c r="U12" s="521"/>
      <c r="V12" s="522"/>
      <c r="W12" s="519"/>
      <c r="X12" s="520"/>
      <c r="Y12" s="521"/>
      <c r="Z12" s="522"/>
    </row>
    <row r="13">
      <c r="A13" s="528"/>
      <c r="B13" s="528"/>
      <c r="C13" s="512">
        <f>I13/E128</f>
        <v>0.0005596111035</v>
      </c>
      <c r="D13" s="563" t="s">
        <v>490</v>
      </c>
      <c r="E13" s="563" t="s">
        <v>349</v>
      </c>
      <c r="F13" s="530">
        <v>7.3</v>
      </c>
      <c r="G13" s="513">
        <v>1000.0</v>
      </c>
      <c r="H13" s="217">
        <f t="shared" si="5"/>
        <v>39030</v>
      </c>
      <c r="I13" s="514">
        <f t="shared" si="1"/>
        <v>4380</v>
      </c>
      <c r="J13" s="216">
        <v>39.03</v>
      </c>
      <c r="K13" s="515">
        <f>IFERROR(__xludf.DUMMYFUNCTION("GOOGLEFINANCE(E13,""changepct"")"),-2.23)</f>
        <v>-2.23</v>
      </c>
      <c r="L13" s="516">
        <f>IFERROR(__xludf.DUMMYFUNCTION("googlefinance(E13,""price"")"),4.38)</f>
        <v>4.38</v>
      </c>
      <c r="M13" s="216"/>
      <c r="N13" s="517">
        <f t="shared" si="2"/>
        <v>-34.65</v>
      </c>
      <c r="O13" s="518">
        <f t="shared" si="3"/>
        <v>-0.8877786318</v>
      </c>
      <c r="P13" s="514">
        <f t="shared" si="4"/>
        <v>-34650</v>
      </c>
      <c r="Q13" s="195" t="s">
        <v>128</v>
      </c>
      <c r="R13" s="514"/>
      <c r="S13" s="519"/>
      <c r="T13" s="520"/>
      <c r="U13" s="521"/>
      <c r="V13" s="522"/>
      <c r="W13" s="523"/>
      <c r="X13" s="524"/>
      <c r="Y13" s="525"/>
      <c r="Z13" s="526"/>
    </row>
    <row r="14">
      <c r="A14" s="528"/>
      <c r="B14" s="528"/>
      <c r="C14" s="512">
        <f>I14/E128</f>
        <v>0.003680273479</v>
      </c>
      <c r="D14" s="104" t="s">
        <v>378</v>
      </c>
      <c r="E14" s="344" t="s">
        <v>379</v>
      </c>
      <c r="F14" s="569">
        <v>7.8</v>
      </c>
      <c r="G14" s="513">
        <v>500.0</v>
      </c>
      <c r="H14" s="217">
        <f t="shared" si="5"/>
        <v>59905</v>
      </c>
      <c r="I14" s="514">
        <f t="shared" si="1"/>
        <v>28805</v>
      </c>
      <c r="J14" s="216">
        <v>119.81</v>
      </c>
      <c r="K14" s="515">
        <f>IFERROR(__xludf.DUMMYFUNCTION("GOOGLEFINANCE(E14,""changepct"")"),-2.8)</f>
        <v>-2.8</v>
      </c>
      <c r="L14" s="516">
        <f>IFERROR(__xludf.DUMMYFUNCTION("googlefinance(E14,""price"")"),57.61)</f>
        <v>57.61</v>
      </c>
      <c r="M14" s="216"/>
      <c r="N14" s="517">
        <f t="shared" si="2"/>
        <v>-62.2</v>
      </c>
      <c r="O14" s="518">
        <f t="shared" si="3"/>
        <v>-0.5191553293</v>
      </c>
      <c r="P14" s="514">
        <f t="shared" si="4"/>
        <v>-31100</v>
      </c>
      <c r="Q14" s="538">
        <v>0.0183</v>
      </c>
      <c r="R14" s="217">
        <v>299.0</v>
      </c>
      <c r="S14" s="519"/>
      <c r="T14" s="520"/>
      <c r="U14" s="521"/>
      <c r="V14" s="522"/>
      <c r="W14" s="523"/>
      <c r="X14" s="524"/>
      <c r="Y14" s="525"/>
      <c r="Z14" s="526"/>
    </row>
    <row r="15">
      <c r="A15" s="528"/>
      <c r="B15" s="528"/>
      <c r="C15" s="512">
        <f>I15/E128</f>
        <v>0.00490598789</v>
      </c>
      <c r="D15" s="344" t="s">
        <v>739</v>
      </c>
      <c r="E15" s="344" t="s">
        <v>334</v>
      </c>
      <c r="F15" s="569">
        <v>7.9</v>
      </c>
      <c r="G15" s="513">
        <v>350.0</v>
      </c>
      <c r="H15" s="217">
        <f t="shared" si="5"/>
        <v>51583</v>
      </c>
      <c r="I15" s="514">
        <f t="shared" si="1"/>
        <v>38398.5</v>
      </c>
      <c r="J15" s="216">
        <v>147.38</v>
      </c>
      <c r="K15" s="515">
        <f>IFERROR(__xludf.DUMMYFUNCTION("GOOGLEFINANCE(E15,""changepct"")"),-1.76)</f>
        <v>-1.76</v>
      </c>
      <c r="L15" s="516">
        <f>IFERROR(__xludf.DUMMYFUNCTION("googlefinance(E15,""price"")"),109.71)</f>
        <v>109.71</v>
      </c>
      <c r="M15" s="216"/>
      <c r="N15" s="517">
        <f t="shared" si="2"/>
        <v>-37.67</v>
      </c>
      <c r="O15" s="518">
        <f t="shared" si="3"/>
        <v>-0.2555977745</v>
      </c>
      <c r="P15" s="514">
        <f t="shared" si="4"/>
        <v>-13184.5</v>
      </c>
      <c r="Q15" s="538">
        <v>0.0138</v>
      </c>
      <c r="R15" s="217">
        <v>186.0</v>
      </c>
      <c r="S15" s="519"/>
      <c r="T15" s="520"/>
      <c r="U15" s="521"/>
      <c r="V15" s="522"/>
      <c r="W15" s="523"/>
      <c r="X15" s="524"/>
      <c r="Y15" s="525"/>
      <c r="Z15" s="526"/>
    </row>
    <row r="16">
      <c r="A16" s="528"/>
      <c r="B16" s="528"/>
      <c r="C16" s="512">
        <f>I16/E128</f>
        <v>0.00752696099</v>
      </c>
      <c r="D16" s="344" t="s">
        <v>740</v>
      </c>
      <c r="E16" s="344" t="s">
        <v>377</v>
      </c>
      <c r="F16" s="569">
        <v>7.9</v>
      </c>
      <c r="G16" s="513">
        <v>750.0</v>
      </c>
      <c r="H16" s="217">
        <f t="shared" si="5"/>
        <v>62925</v>
      </c>
      <c r="I16" s="514">
        <f t="shared" si="1"/>
        <v>58912.5</v>
      </c>
      <c r="J16" s="216">
        <v>83.9</v>
      </c>
      <c r="K16" s="515">
        <f>IFERROR(__xludf.DUMMYFUNCTION("GOOGLEFINANCE(E16,""changepct"")"),-2.29)</f>
        <v>-2.29</v>
      </c>
      <c r="L16" s="516">
        <f>IFERROR(__xludf.DUMMYFUNCTION("googlefinance(E16,""price"")"),78.55)</f>
        <v>78.55</v>
      </c>
      <c r="M16" s="216"/>
      <c r="N16" s="517">
        <f t="shared" si="2"/>
        <v>-5.35</v>
      </c>
      <c r="O16" s="518">
        <f t="shared" si="3"/>
        <v>-0.06376638856</v>
      </c>
      <c r="P16" s="514">
        <f t="shared" si="4"/>
        <v>-4012.5</v>
      </c>
      <c r="Q16" s="538">
        <v>0.0081</v>
      </c>
      <c r="R16" s="217">
        <v>131.0</v>
      </c>
      <c r="S16" s="519"/>
      <c r="T16" s="520"/>
      <c r="U16" s="521"/>
      <c r="V16" s="522"/>
      <c r="W16" s="523"/>
      <c r="X16" s="524"/>
      <c r="Y16" s="525"/>
      <c r="Z16" s="526"/>
    </row>
    <row r="17">
      <c r="A17" s="528"/>
      <c r="B17" s="528"/>
      <c r="C17" s="512">
        <f>I17/E128</f>
        <v>0.01074031694</v>
      </c>
      <c r="D17" s="344" t="s">
        <v>741</v>
      </c>
      <c r="E17" s="344" t="s">
        <v>742</v>
      </c>
      <c r="F17" s="195">
        <v>7.8</v>
      </c>
      <c r="G17" s="513">
        <v>700.0</v>
      </c>
      <c r="H17" s="217">
        <f t="shared" si="5"/>
        <v>66990</v>
      </c>
      <c r="I17" s="514">
        <f t="shared" si="1"/>
        <v>84063</v>
      </c>
      <c r="J17" s="216">
        <v>95.7</v>
      </c>
      <c r="K17" s="515">
        <f>IFERROR(__xludf.DUMMYFUNCTION("GOOGLEFINANCE(E17,""changepct"")"),-1.31)</f>
        <v>-1.31</v>
      </c>
      <c r="L17" s="516">
        <f>IFERROR(__xludf.DUMMYFUNCTION("googlefinance(E17,""price"")"),120.09)</f>
        <v>120.09</v>
      </c>
      <c r="M17" s="216"/>
      <c r="N17" s="517">
        <f t="shared" si="2"/>
        <v>24.39</v>
      </c>
      <c r="O17" s="518">
        <f t="shared" si="3"/>
        <v>0.2548589342</v>
      </c>
      <c r="P17" s="514">
        <f t="shared" si="4"/>
        <v>17073</v>
      </c>
      <c r="Q17" s="195" t="s">
        <v>128</v>
      </c>
      <c r="R17" s="514"/>
      <c r="S17" s="519"/>
      <c r="T17" s="520"/>
      <c r="U17" s="521"/>
      <c r="V17" s="522"/>
      <c r="W17" s="523"/>
      <c r="X17" s="524"/>
      <c r="Y17" s="525"/>
      <c r="Z17" s="526"/>
    </row>
    <row r="18">
      <c r="A18" s="528"/>
      <c r="B18" s="528"/>
      <c r="C18" s="512">
        <f>I18/E128</f>
        <v>0.008152690528</v>
      </c>
      <c r="D18" s="600" t="s">
        <v>743</v>
      </c>
      <c r="E18" s="344" t="s">
        <v>744</v>
      </c>
      <c r="F18" s="195">
        <v>7.5</v>
      </c>
      <c r="G18" s="513">
        <v>1000.0</v>
      </c>
      <c r="H18" s="217">
        <f t="shared" si="5"/>
        <v>41770</v>
      </c>
      <c r="I18" s="514">
        <f t="shared" si="1"/>
        <v>63810</v>
      </c>
      <c r="J18" s="216">
        <v>41.77</v>
      </c>
      <c r="K18" s="515">
        <f>IFERROR(__xludf.DUMMYFUNCTION("GOOGLEFINANCE(E18,""changepct"")"),-1.13)</f>
        <v>-1.13</v>
      </c>
      <c r="L18" s="516">
        <f>IFERROR(__xludf.DUMMYFUNCTION("googlefinance(E18,""price"")"),63.81)</f>
        <v>63.81</v>
      </c>
      <c r="M18" s="216"/>
      <c r="N18" s="517">
        <f t="shared" si="2"/>
        <v>22.04</v>
      </c>
      <c r="O18" s="518">
        <f t="shared" si="3"/>
        <v>0.5276514245</v>
      </c>
      <c r="P18" s="514">
        <f t="shared" si="4"/>
        <v>22040</v>
      </c>
      <c r="Q18" s="195" t="s">
        <v>128</v>
      </c>
      <c r="R18" s="514"/>
      <c r="S18" s="519"/>
      <c r="T18" s="520"/>
      <c r="U18" s="521"/>
      <c r="V18" s="522"/>
      <c r="W18" s="523"/>
      <c r="X18" s="524"/>
      <c r="Y18" s="525"/>
      <c r="Z18" s="526"/>
    </row>
    <row r="19">
      <c r="A19" s="528"/>
      <c r="B19" s="528"/>
      <c r="C19" s="512">
        <f>I19/E128</f>
        <v>0.006104616102</v>
      </c>
      <c r="D19" s="104" t="s">
        <v>745</v>
      </c>
      <c r="E19" s="104" t="s">
        <v>746</v>
      </c>
      <c r="F19" s="569">
        <v>7.7</v>
      </c>
      <c r="G19" s="513">
        <v>500.0</v>
      </c>
      <c r="H19" s="217">
        <f t="shared" si="5"/>
        <v>50950</v>
      </c>
      <c r="I19" s="514">
        <f t="shared" si="1"/>
        <v>47780</v>
      </c>
      <c r="J19" s="216">
        <v>101.9</v>
      </c>
      <c r="K19" s="515">
        <f>IFERROR(__xludf.DUMMYFUNCTION("GOOGLEFINANCE(E19,""changepct"")"),-1.45)</f>
        <v>-1.45</v>
      </c>
      <c r="L19" s="516">
        <f>IFERROR(__xludf.DUMMYFUNCTION("googlefinance(E19,""price"")"),95.56)</f>
        <v>95.56</v>
      </c>
      <c r="M19" s="517"/>
      <c r="N19" s="517">
        <f t="shared" si="2"/>
        <v>-6.34</v>
      </c>
      <c r="O19" s="518">
        <f t="shared" si="3"/>
        <v>-0.06221786065</v>
      </c>
      <c r="P19" s="514">
        <f t="shared" si="4"/>
        <v>-3170</v>
      </c>
      <c r="Q19" s="195" t="s">
        <v>128</v>
      </c>
      <c r="R19" s="514"/>
      <c r="S19" s="523"/>
      <c r="T19" s="524"/>
      <c r="U19" s="525"/>
      <c r="V19" s="526"/>
      <c r="W19" s="519"/>
      <c r="X19" s="520"/>
      <c r="Y19" s="521"/>
      <c r="Z19" s="522"/>
    </row>
    <row r="20">
      <c r="A20" s="528"/>
      <c r="B20" s="528"/>
      <c r="C20" s="512">
        <f>I20/E128</f>
        <v>0.00782177894</v>
      </c>
      <c r="D20" s="104" t="s">
        <v>558</v>
      </c>
      <c r="E20" s="104" t="s">
        <v>40</v>
      </c>
      <c r="F20" s="569">
        <v>7.4</v>
      </c>
      <c r="G20" s="513">
        <v>500.0</v>
      </c>
      <c r="H20" s="217">
        <f t="shared" si="5"/>
        <v>39255</v>
      </c>
      <c r="I20" s="514">
        <f t="shared" si="1"/>
        <v>61220</v>
      </c>
      <c r="J20" s="216">
        <v>78.51</v>
      </c>
      <c r="K20" s="515">
        <f>IFERROR(__xludf.DUMMYFUNCTION("GOOGLEFINANCE(E20,""changepct"")"),-2.2)</f>
        <v>-2.2</v>
      </c>
      <c r="L20" s="516">
        <f>IFERROR(__xludf.DUMMYFUNCTION("googlefinance(E20,""price"")"),122.44)</f>
        <v>122.44</v>
      </c>
      <c r="M20" s="517"/>
      <c r="N20" s="517">
        <f t="shared" si="2"/>
        <v>43.93</v>
      </c>
      <c r="O20" s="518">
        <f t="shared" si="3"/>
        <v>0.5595465546</v>
      </c>
      <c r="P20" s="514">
        <f t="shared" si="4"/>
        <v>21965</v>
      </c>
      <c r="Q20" s="195" t="s">
        <v>128</v>
      </c>
      <c r="R20" s="514"/>
      <c r="S20" s="523"/>
      <c r="T20" s="524"/>
      <c r="U20" s="525"/>
      <c r="V20" s="526"/>
      <c r="W20" s="519"/>
      <c r="X20" s="520"/>
      <c r="Y20" s="521"/>
      <c r="Z20" s="522"/>
    </row>
    <row r="21">
      <c r="A21" s="528"/>
      <c r="B21" s="528"/>
      <c r="C21" s="512">
        <f>I21/E128</f>
        <v>0.0005654882977</v>
      </c>
      <c r="D21" s="104" t="s">
        <v>44</v>
      </c>
      <c r="E21" s="104" t="s">
        <v>43</v>
      </c>
      <c r="F21" s="569">
        <v>7.9</v>
      </c>
      <c r="G21" s="513">
        <v>20.0</v>
      </c>
      <c r="H21" s="217">
        <f t="shared" si="5"/>
        <v>61913</v>
      </c>
      <c r="I21" s="514">
        <f t="shared" si="1"/>
        <v>4426</v>
      </c>
      <c r="J21" s="216">
        <v>3095.65</v>
      </c>
      <c r="K21" s="515">
        <f>IFERROR(__xludf.DUMMYFUNCTION("GOOGLEFINANCE(E21,""changepct"")"),-1.09)</f>
        <v>-1.09</v>
      </c>
      <c r="L21" s="516">
        <f>IFERROR(__xludf.DUMMYFUNCTION("googlefinance(E21,""price"")"),221.3)</f>
        <v>221.3</v>
      </c>
      <c r="M21" s="517"/>
      <c r="N21" s="517">
        <f t="shared" si="2"/>
        <v>-2874.35</v>
      </c>
      <c r="O21" s="518">
        <f t="shared" si="3"/>
        <v>-0.9285125902</v>
      </c>
      <c r="P21" s="514">
        <f t="shared" si="4"/>
        <v>-57487</v>
      </c>
      <c r="Q21" s="195" t="s">
        <v>128</v>
      </c>
      <c r="R21" s="514"/>
      <c r="S21" s="523"/>
      <c r="T21" s="524"/>
      <c r="U21" s="525"/>
      <c r="V21" s="526"/>
      <c r="W21" s="519"/>
      <c r="X21" s="520"/>
      <c r="Y21" s="521"/>
      <c r="Z21" s="522"/>
    </row>
    <row r="22">
      <c r="A22" s="528"/>
      <c r="B22" s="528"/>
      <c r="C22" s="512">
        <f>I22/E128</f>
        <v>0.007899971176</v>
      </c>
      <c r="D22" s="104" t="s">
        <v>440</v>
      </c>
      <c r="E22" s="104" t="s">
        <v>77</v>
      </c>
      <c r="F22" s="569">
        <v>7.6</v>
      </c>
      <c r="G22" s="513">
        <v>400.0</v>
      </c>
      <c r="H22" s="217">
        <f t="shared" si="5"/>
        <v>53036</v>
      </c>
      <c r="I22" s="514">
        <f t="shared" si="1"/>
        <v>61832</v>
      </c>
      <c r="J22" s="216">
        <v>132.59</v>
      </c>
      <c r="K22" s="515">
        <f>IFERROR(__xludf.DUMMYFUNCTION("GOOGLEFINANCE(E22,""changepct"")"),-1.69)</f>
        <v>-1.69</v>
      </c>
      <c r="L22" s="516">
        <f>IFERROR(__xludf.DUMMYFUNCTION("googlefinance(E22,""price"")"),154.58)</f>
        <v>154.58</v>
      </c>
      <c r="M22" s="216"/>
      <c r="N22" s="517">
        <f t="shared" si="2"/>
        <v>21.99</v>
      </c>
      <c r="O22" s="518">
        <f t="shared" si="3"/>
        <v>0.1658496116</v>
      </c>
      <c r="P22" s="514">
        <f t="shared" si="4"/>
        <v>8796</v>
      </c>
      <c r="Q22" s="195" t="s">
        <v>128</v>
      </c>
      <c r="R22" s="514"/>
      <c r="S22" s="519"/>
      <c r="T22" s="520"/>
      <c r="U22" s="521"/>
      <c r="V22" s="522"/>
      <c r="W22" s="519"/>
      <c r="X22" s="520"/>
      <c r="Y22" s="521"/>
      <c r="Z22" s="522"/>
    </row>
    <row r="23">
      <c r="A23" s="528"/>
      <c r="B23" s="528"/>
      <c r="C23" s="512">
        <f>I23/E128</f>
        <v>0.00783934664</v>
      </c>
      <c r="D23" s="104" t="s">
        <v>747</v>
      </c>
      <c r="E23" s="104" t="s">
        <v>748</v>
      </c>
      <c r="F23" s="569">
        <v>7.9</v>
      </c>
      <c r="G23" s="513">
        <v>250.0</v>
      </c>
      <c r="H23" s="217">
        <f t="shared" si="5"/>
        <v>54532.5</v>
      </c>
      <c r="I23" s="514">
        <f t="shared" si="1"/>
        <v>61357.5</v>
      </c>
      <c r="J23" s="216">
        <v>218.13</v>
      </c>
      <c r="K23" s="515">
        <f>IFERROR(__xludf.DUMMYFUNCTION("GOOGLEFINANCE(E23,""changepct"")"),-1.1)</f>
        <v>-1.1</v>
      </c>
      <c r="L23" s="516">
        <f>IFERROR(__xludf.DUMMYFUNCTION("googlefinance(E23,""price"")"),245.43)</f>
        <v>245.43</v>
      </c>
      <c r="M23" s="216"/>
      <c r="N23" s="517">
        <f t="shared" si="2"/>
        <v>27.3</v>
      </c>
      <c r="O23" s="518">
        <f t="shared" si="3"/>
        <v>0.1251547242</v>
      </c>
      <c r="P23" s="514">
        <f t="shared" si="4"/>
        <v>6825</v>
      </c>
      <c r="Q23" s="195" t="s">
        <v>128</v>
      </c>
      <c r="R23" s="514"/>
      <c r="S23" s="519"/>
      <c r="T23" s="520"/>
      <c r="U23" s="521"/>
      <c r="V23" s="522"/>
      <c r="W23" s="519"/>
      <c r="X23" s="520"/>
      <c r="Y23" s="521"/>
      <c r="Z23" s="522"/>
    </row>
    <row r="24">
      <c r="A24" s="528"/>
      <c r="B24" s="528"/>
      <c r="C24" s="512">
        <f>I24/E128</f>
        <v>0.01150435219</v>
      </c>
      <c r="D24" s="344" t="s">
        <v>749</v>
      </c>
      <c r="E24" s="344" t="s">
        <v>582</v>
      </c>
      <c r="F24" s="569">
        <v>7.8</v>
      </c>
      <c r="G24" s="513">
        <v>100.0</v>
      </c>
      <c r="H24" s="217">
        <f t="shared" si="5"/>
        <v>52175</v>
      </c>
      <c r="I24" s="514">
        <f t="shared" si="1"/>
        <v>90043</v>
      </c>
      <c r="J24" s="216">
        <v>521.75</v>
      </c>
      <c r="K24" s="515">
        <f>IFERROR(__xludf.DUMMYFUNCTION("GOOGLEFINANCE(E24,""changepct"")"),-0.78)</f>
        <v>-0.78</v>
      </c>
      <c r="L24" s="516">
        <f>IFERROR(__xludf.DUMMYFUNCTION("googlefinance(E24,""price"")"),900.43)</f>
        <v>900.43</v>
      </c>
      <c r="M24" s="216"/>
      <c r="N24" s="517">
        <f t="shared" si="2"/>
        <v>378.68</v>
      </c>
      <c r="O24" s="518">
        <f t="shared" si="3"/>
        <v>0.7257882127</v>
      </c>
      <c r="P24" s="514">
        <f t="shared" si="4"/>
        <v>37868</v>
      </c>
      <c r="Q24" s="195" t="s">
        <v>128</v>
      </c>
      <c r="R24" s="514"/>
      <c r="S24" s="519"/>
      <c r="T24" s="520"/>
      <c r="U24" s="521"/>
      <c r="V24" s="522"/>
      <c r="W24" s="523"/>
      <c r="X24" s="524"/>
      <c r="Y24" s="525"/>
      <c r="Z24" s="526"/>
    </row>
    <row r="25">
      <c r="A25" s="173"/>
      <c r="B25" s="13"/>
      <c r="C25" s="13"/>
      <c r="D25" s="13"/>
      <c r="E25" s="13"/>
      <c r="F25" s="13"/>
      <c r="G25" s="509"/>
      <c r="H25" s="509">
        <f t="shared" ref="H25:I25" si="6">SUM(H3:H24)</f>
        <v>1162857.5</v>
      </c>
      <c r="I25" s="539" t="str">
        <f t="shared" si="6"/>
        <v>#N/A</v>
      </c>
      <c r="J25" s="506"/>
      <c r="K25" s="506"/>
      <c r="L25" s="506"/>
      <c r="M25" s="507"/>
      <c r="N25" s="507"/>
      <c r="O25" s="540">
        <f>P25/H25</f>
        <v>0.08178130166</v>
      </c>
      <c r="P25" s="625">
        <v>95100.0</v>
      </c>
      <c r="Q25" s="541"/>
      <c r="R25" s="509">
        <f>SUM(R3:R24)</f>
        <v>731</v>
      </c>
      <c r="S25" s="510" t="s">
        <v>89</v>
      </c>
      <c r="T25" s="542"/>
      <c r="U25" s="543"/>
      <c r="V25" s="570">
        <f>SUM(V3:V24)</f>
        <v>0</v>
      </c>
      <c r="W25" s="510" t="s">
        <v>89</v>
      </c>
      <c r="X25" s="542"/>
      <c r="Y25" s="543"/>
      <c r="Z25" s="570">
        <f>SUM(Z3:Z24)</f>
        <v>58360</v>
      </c>
    </row>
    <row r="26">
      <c r="A26" s="173"/>
      <c r="B26" s="504" t="s">
        <v>588</v>
      </c>
      <c r="C26" s="13" t="s">
        <v>729</v>
      </c>
      <c r="D26" s="13" t="s">
        <v>3</v>
      </c>
      <c r="E26" s="13" t="s">
        <v>4</v>
      </c>
      <c r="F26" s="13" t="s">
        <v>5</v>
      </c>
      <c r="G26" s="504" t="s">
        <v>6</v>
      </c>
      <c r="H26" s="504" t="s">
        <v>230</v>
      </c>
      <c r="I26" s="649" t="s">
        <v>730</v>
      </c>
      <c r="J26" s="505" t="s">
        <v>731</v>
      </c>
      <c r="K26" s="506" t="s">
        <v>10</v>
      </c>
      <c r="L26" s="506" t="s">
        <v>11</v>
      </c>
      <c r="M26" s="507" t="s">
        <v>476</v>
      </c>
      <c r="N26" s="507" t="s">
        <v>13</v>
      </c>
      <c r="O26" s="504" t="s">
        <v>732</v>
      </c>
      <c r="P26" s="508" t="s">
        <v>15</v>
      </c>
      <c r="Q26" s="13" t="s">
        <v>16</v>
      </c>
      <c r="R26" s="13" t="s">
        <v>17</v>
      </c>
      <c r="S26" s="510" t="s">
        <v>21</v>
      </c>
      <c r="T26" s="510" t="s">
        <v>22</v>
      </c>
      <c r="U26" s="511" t="s">
        <v>23</v>
      </c>
      <c r="V26" s="511" t="s">
        <v>24</v>
      </c>
      <c r="W26" s="510" t="s">
        <v>25</v>
      </c>
      <c r="X26" s="510" t="s">
        <v>26</v>
      </c>
      <c r="Y26" s="510" t="s">
        <v>27</v>
      </c>
      <c r="Z26" s="510" t="s">
        <v>28</v>
      </c>
    </row>
    <row r="27">
      <c r="A27" s="565" t="s">
        <v>733</v>
      </c>
      <c r="B27" s="527" t="str">
        <f>I36/E128</f>
        <v>#N/A</v>
      </c>
      <c r="C27" s="512">
        <f>I27/E128</f>
        <v>0.009404532901</v>
      </c>
      <c r="D27" s="344" t="s">
        <v>677</v>
      </c>
      <c r="E27" s="344" t="s">
        <v>315</v>
      </c>
      <c r="F27" s="569">
        <v>7.5</v>
      </c>
      <c r="G27" s="513">
        <v>800.0</v>
      </c>
      <c r="H27" s="217">
        <f t="shared" ref="H27:H35" si="7">J27*G27</f>
        <v>51696</v>
      </c>
      <c r="I27" s="514">
        <f t="shared" ref="I27:I35" si="8">H27+P27</f>
        <v>73608</v>
      </c>
      <c r="J27" s="216">
        <v>64.62</v>
      </c>
      <c r="K27" s="568">
        <f>IFERROR(__xludf.DUMMYFUNCTION("GOOGLEFINANCE(E27,""changepct"")"),-2.23)</f>
        <v>-2.23</v>
      </c>
      <c r="L27" s="516">
        <f>IFERROR(__xludf.DUMMYFUNCTION("googlefinance(E27,""price"")"),92.01)</f>
        <v>92.01</v>
      </c>
      <c r="M27" s="528"/>
      <c r="N27" s="517">
        <f t="shared" ref="N27:N35" si="9">L27-J27</f>
        <v>27.39</v>
      </c>
      <c r="O27" s="518">
        <f t="shared" ref="O27:O35" si="10">L27/J27-1</f>
        <v>0.4238625812</v>
      </c>
      <c r="P27" s="495">
        <f t="shared" ref="P27:P35" si="11">H27*O27</f>
        <v>21912</v>
      </c>
      <c r="Q27" s="538">
        <v>0.0412</v>
      </c>
      <c r="R27" s="217">
        <v>567.0</v>
      </c>
      <c r="S27" s="524"/>
      <c r="T27" s="524"/>
      <c r="U27" s="524"/>
      <c r="V27" s="524"/>
      <c r="W27" s="523"/>
      <c r="X27" s="524"/>
      <c r="Y27" s="525"/>
      <c r="Z27" s="526"/>
    </row>
    <row r="28">
      <c r="A28" s="528"/>
      <c r="B28" s="528"/>
      <c r="C28" s="512">
        <f>I28/E128</f>
        <v>0.005730008852</v>
      </c>
      <c r="D28" s="344" t="s">
        <v>750</v>
      </c>
      <c r="E28" s="344" t="s">
        <v>317</v>
      </c>
      <c r="F28" s="195">
        <v>7.5</v>
      </c>
      <c r="G28" s="513">
        <v>800.0</v>
      </c>
      <c r="H28" s="217">
        <f t="shared" si="7"/>
        <v>50056</v>
      </c>
      <c r="I28" s="514">
        <f t="shared" si="8"/>
        <v>44848</v>
      </c>
      <c r="J28" s="216">
        <v>62.57</v>
      </c>
      <c r="K28" s="568">
        <f>IFERROR(__xludf.DUMMYFUNCTION("GOOGLEFINANCE(E28,""changepct"")"),-2.81)</f>
        <v>-2.81</v>
      </c>
      <c r="L28" s="516">
        <f>IFERROR(__xludf.DUMMYFUNCTION("googlefinance(E28,""price"")"),56.06)</f>
        <v>56.06</v>
      </c>
      <c r="M28" s="528"/>
      <c r="N28" s="517">
        <f t="shared" si="9"/>
        <v>-6.51</v>
      </c>
      <c r="O28" s="518">
        <f t="shared" si="10"/>
        <v>-0.1040434713</v>
      </c>
      <c r="P28" s="514">
        <f t="shared" si="11"/>
        <v>-5208</v>
      </c>
      <c r="Q28" s="538">
        <v>0.0298</v>
      </c>
      <c r="R28" s="217">
        <v>396.0</v>
      </c>
      <c r="S28" s="524"/>
      <c r="T28" s="524"/>
      <c r="U28" s="524"/>
      <c r="V28" s="524"/>
      <c r="W28" s="523"/>
      <c r="X28" s="524"/>
      <c r="Y28" s="525"/>
      <c r="Z28" s="526"/>
    </row>
    <row r="29">
      <c r="A29" s="528"/>
      <c r="B29" s="528"/>
      <c r="C29" s="512">
        <f>I29/E128</f>
        <v>0.006729131872</v>
      </c>
      <c r="D29" s="631" t="s">
        <v>751</v>
      </c>
      <c r="E29" s="344" t="s">
        <v>752</v>
      </c>
      <c r="F29" s="195">
        <v>7.6</v>
      </c>
      <c r="G29" s="513">
        <v>400.0</v>
      </c>
      <c r="H29" s="217">
        <f t="shared" si="7"/>
        <v>60188</v>
      </c>
      <c r="I29" s="514">
        <f t="shared" si="8"/>
        <v>52668</v>
      </c>
      <c r="J29" s="216">
        <v>150.47</v>
      </c>
      <c r="K29" s="568">
        <f>IFERROR(__xludf.DUMMYFUNCTION("GOOGLEFINANCE(E29,""changepct"")"),-1.39)</f>
        <v>-1.39</v>
      </c>
      <c r="L29" s="516">
        <f>IFERROR(__xludf.DUMMYFUNCTION("googlefinance(E29,""price"")"),131.67)</f>
        <v>131.67</v>
      </c>
      <c r="M29" s="528"/>
      <c r="N29" s="517">
        <f t="shared" si="9"/>
        <v>-18.8</v>
      </c>
      <c r="O29" s="518">
        <f t="shared" si="10"/>
        <v>-0.1249418489</v>
      </c>
      <c r="P29" s="514">
        <f t="shared" si="11"/>
        <v>-7520</v>
      </c>
      <c r="Q29" s="195" t="s">
        <v>128</v>
      </c>
      <c r="R29" s="514"/>
      <c r="S29" s="524"/>
      <c r="T29" s="524"/>
      <c r="U29" s="524"/>
      <c r="V29" s="524"/>
      <c r="W29" s="523"/>
      <c r="X29" s="524"/>
      <c r="Y29" s="525"/>
      <c r="Z29" s="526"/>
    </row>
    <row r="30">
      <c r="A30" s="528"/>
      <c r="B30" s="528"/>
      <c r="C30" s="512" t="str">
        <f>I30/E128</f>
        <v>#N/A</v>
      </c>
      <c r="D30" s="344" t="s">
        <v>753</v>
      </c>
      <c r="E30" s="344" t="s">
        <v>705</v>
      </c>
      <c r="F30" s="569">
        <v>7.5</v>
      </c>
      <c r="G30" s="513">
        <v>1500.0</v>
      </c>
      <c r="H30" s="217">
        <f t="shared" si="7"/>
        <v>52890</v>
      </c>
      <c r="I30" s="514" t="str">
        <f t="shared" si="8"/>
        <v>#N/A</v>
      </c>
      <c r="J30" s="216">
        <v>35.26</v>
      </c>
      <c r="K30" s="568" t="str">
        <f>IFERROR(__xludf.DUMMYFUNCTION("GOOGLEFINANCE(E30,""changepct"")"),"#N/A")</f>
        <v>#N/A</v>
      </c>
      <c r="L30" s="516" t="str">
        <f>IFERROR(__xludf.DUMMYFUNCTION("googlefinance(E30,""price"")"),"#N/A")</f>
        <v>#N/A</v>
      </c>
      <c r="M30" s="528"/>
      <c r="N30" s="528" t="str">
        <f t="shared" si="9"/>
        <v>#N/A</v>
      </c>
      <c r="O30" s="518" t="str">
        <f t="shared" si="10"/>
        <v>#N/A</v>
      </c>
      <c r="P30" s="528" t="str">
        <f t="shared" si="11"/>
        <v>#N/A</v>
      </c>
      <c r="Q30" s="195" t="s">
        <v>128</v>
      </c>
      <c r="R30" s="514"/>
      <c r="S30" s="524"/>
      <c r="T30" s="524"/>
      <c r="U30" s="524"/>
      <c r="V30" s="524"/>
      <c r="W30" s="523"/>
      <c r="X30" s="524"/>
      <c r="Y30" s="525"/>
      <c r="Z30" s="526"/>
    </row>
    <row r="31">
      <c r="A31" s="528"/>
      <c r="B31" s="528"/>
      <c r="C31" s="512">
        <f>I31/E128</f>
        <v>0.002515694664</v>
      </c>
      <c r="D31" s="631" t="s">
        <v>654</v>
      </c>
      <c r="E31" s="344" t="s">
        <v>655</v>
      </c>
      <c r="F31" s="195">
        <v>7.7</v>
      </c>
      <c r="G31" s="513">
        <v>500.0</v>
      </c>
      <c r="H31" s="217">
        <f t="shared" si="7"/>
        <v>65525</v>
      </c>
      <c r="I31" s="514">
        <f t="shared" si="8"/>
        <v>19690</v>
      </c>
      <c r="J31" s="216">
        <v>131.05</v>
      </c>
      <c r="K31" s="568">
        <f>IFERROR(__xludf.DUMMYFUNCTION("GOOGLEFINANCE(E31,""changepct"")"),-1.87)</f>
        <v>-1.87</v>
      </c>
      <c r="L31" s="516">
        <f>IFERROR(__xludf.DUMMYFUNCTION("googlefinance(E31,""price"")"),39.38)</f>
        <v>39.38</v>
      </c>
      <c r="M31" s="528"/>
      <c r="N31" s="517">
        <f t="shared" si="9"/>
        <v>-91.67</v>
      </c>
      <c r="O31" s="518">
        <f t="shared" si="10"/>
        <v>-0.6995040061</v>
      </c>
      <c r="P31" s="514">
        <f t="shared" si="11"/>
        <v>-45835</v>
      </c>
      <c r="Q31" s="195" t="s">
        <v>128</v>
      </c>
      <c r="R31" s="514"/>
      <c r="S31" s="524"/>
      <c r="T31" s="524"/>
      <c r="U31" s="524"/>
      <c r="V31" s="524"/>
      <c r="W31" s="523"/>
      <c r="X31" s="524"/>
      <c r="Y31" s="525"/>
      <c r="Z31" s="526"/>
    </row>
    <row r="32">
      <c r="A32" s="528"/>
      <c r="B32" s="528"/>
      <c r="C32" s="512">
        <f>I32/E128</f>
        <v>0.003375553734</v>
      </c>
      <c r="D32" s="344" t="s">
        <v>105</v>
      </c>
      <c r="E32" s="344" t="s">
        <v>106</v>
      </c>
      <c r="F32" s="195">
        <v>7.1</v>
      </c>
      <c r="G32" s="513">
        <v>1000.0</v>
      </c>
      <c r="H32" s="217">
        <f t="shared" si="7"/>
        <v>36100</v>
      </c>
      <c r="I32" s="514">
        <f t="shared" si="8"/>
        <v>26420</v>
      </c>
      <c r="J32" s="216">
        <v>36.1</v>
      </c>
      <c r="K32" s="568">
        <f>IFERROR(__xludf.DUMMYFUNCTION("GOOGLEFINANCE(E32,""changepct"")"),-0.75)</f>
        <v>-0.75</v>
      </c>
      <c r="L32" s="516">
        <f>IFERROR(__xludf.DUMMYFUNCTION("googlefinance(E32,""price"")"),26.42)</f>
        <v>26.42</v>
      </c>
      <c r="M32" s="528"/>
      <c r="N32" s="517">
        <f t="shared" si="9"/>
        <v>-9.68</v>
      </c>
      <c r="O32" s="518">
        <f t="shared" si="10"/>
        <v>-0.2681440443</v>
      </c>
      <c r="P32" s="514">
        <f t="shared" si="11"/>
        <v>-9680</v>
      </c>
      <c r="Q32" s="538">
        <v>0.04</v>
      </c>
      <c r="R32" s="217">
        <v>392.0</v>
      </c>
      <c r="S32" s="524"/>
      <c r="T32" s="524"/>
      <c r="U32" s="524"/>
      <c r="V32" s="524"/>
      <c r="W32" s="523"/>
      <c r="X32" s="524"/>
      <c r="Y32" s="525"/>
      <c r="Z32" s="526"/>
    </row>
    <row r="33">
      <c r="A33" s="528"/>
      <c r="B33" s="528"/>
      <c r="C33" s="512">
        <f>I33/E128</f>
        <v>0.008377557091</v>
      </c>
      <c r="D33" s="104" t="s">
        <v>591</v>
      </c>
      <c r="E33" s="104" t="s">
        <v>592</v>
      </c>
      <c r="F33" s="569">
        <v>7.2</v>
      </c>
      <c r="G33" s="513">
        <v>1000.0</v>
      </c>
      <c r="H33" s="217">
        <f t="shared" si="7"/>
        <v>49400</v>
      </c>
      <c r="I33" s="514">
        <f t="shared" si="8"/>
        <v>65570</v>
      </c>
      <c r="J33" s="216">
        <v>49.4</v>
      </c>
      <c r="K33" s="568">
        <f>IFERROR(__xludf.DUMMYFUNCTION("GOOGLEFINANCE(E33,""changepct"")"),-1.04)</f>
        <v>-1.04</v>
      </c>
      <c r="L33" s="516">
        <f>IFERROR(__xludf.DUMMYFUNCTION("googlefinance(E33,""price"")"),65.57)</f>
        <v>65.57</v>
      </c>
      <c r="M33" s="528"/>
      <c r="N33" s="517">
        <f t="shared" si="9"/>
        <v>16.17</v>
      </c>
      <c r="O33" s="518">
        <f t="shared" si="10"/>
        <v>0.3273279352</v>
      </c>
      <c r="P33" s="514">
        <f t="shared" si="11"/>
        <v>16170</v>
      </c>
      <c r="Q33" s="538">
        <v>0.0236</v>
      </c>
      <c r="R33" s="217">
        <v>354.0</v>
      </c>
      <c r="S33" s="524"/>
      <c r="T33" s="524"/>
      <c r="U33" s="524"/>
      <c r="V33" s="524"/>
      <c r="W33" s="519"/>
      <c r="X33" s="520"/>
      <c r="Y33" s="521"/>
      <c r="Z33" s="522"/>
    </row>
    <row r="34">
      <c r="A34" s="528"/>
      <c r="B34" s="528"/>
      <c r="C34" s="512">
        <f>I34/E128</f>
        <v>0.01125610462</v>
      </c>
      <c r="D34" s="104" t="s">
        <v>111</v>
      </c>
      <c r="E34" s="104" t="s">
        <v>112</v>
      </c>
      <c r="F34" s="569">
        <v>7.7</v>
      </c>
      <c r="G34" s="513">
        <v>500.0</v>
      </c>
      <c r="H34" s="217">
        <f t="shared" si="7"/>
        <v>53755</v>
      </c>
      <c r="I34" s="514">
        <f t="shared" si="8"/>
        <v>88100</v>
      </c>
      <c r="J34" s="216">
        <v>107.51</v>
      </c>
      <c r="K34" s="568">
        <f>IFERROR(__xludf.DUMMYFUNCTION("GOOGLEFINANCE(E34,""changepct"")"),-1.02)</f>
        <v>-1.02</v>
      </c>
      <c r="L34" s="516">
        <f>IFERROR(__xludf.DUMMYFUNCTION("googlefinance(E34,""price"")"),176.2)</f>
        <v>176.2</v>
      </c>
      <c r="M34" s="528"/>
      <c r="N34" s="517">
        <f t="shared" si="9"/>
        <v>68.69</v>
      </c>
      <c r="O34" s="518">
        <f t="shared" si="10"/>
        <v>0.63891731</v>
      </c>
      <c r="P34" s="514">
        <f t="shared" si="11"/>
        <v>34345</v>
      </c>
      <c r="Q34" s="538">
        <v>0.046</v>
      </c>
      <c r="R34" s="217">
        <v>648.0</v>
      </c>
      <c r="S34" s="524"/>
      <c r="T34" s="524"/>
      <c r="U34" s="524"/>
      <c r="V34" s="524"/>
      <c r="W34" s="519"/>
      <c r="X34" s="520"/>
      <c r="Y34" s="521"/>
      <c r="Z34" s="522"/>
    </row>
    <row r="35">
      <c r="A35" s="528"/>
      <c r="B35" s="528"/>
      <c r="C35" s="512">
        <f>I35/E128</f>
        <v>0.006409846907</v>
      </c>
      <c r="D35" s="104" t="s">
        <v>754</v>
      </c>
      <c r="E35" s="104" t="s">
        <v>755</v>
      </c>
      <c r="F35" s="569">
        <v>7.5</v>
      </c>
      <c r="G35" s="513">
        <v>350.0</v>
      </c>
      <c r="H35" s="217">
        <f t="shared" si="7"/>
        <v>56840</v>
      </c>
      <c r="I35" s="514">
        <f t="shared" si="8"/>
        <v>50169</v>
      </c>
      <c r="J35" s="216">
        <v>162.4</v>
      </c>
      <c r="K35" s="568">
        <f>IFERROR(__xludf.DUMMYFUNCTION("GOOGLEFINANCE(E35,""changepct"")"),-1.18)</f>
        <v>-1.18</v>
      </c>
      <c r="L35" s="516">
        <f>IFERROR(__xludf.DUMMYFUNCTION("googlefinance(E35,""price"")"),143.34)</f>
        <v>143.34</v>
      </c>
      <c r="M35" s="528"/>
      <c r="N35" s="517">
        <f t="shared" si="9"/>
        <v>-19.06</v>
      </c>
      <c r="O35" s="518">
        <f t="shared" si="10"/>
        <v>-0.117364532</v>
      </c>
      <c r="P35" s="514">
        <f t="shared" si="11"/>
        <v>-6671</v>
      </c>
      <c r="Q35" s="538">
        <v>0.0258</v>
      </c>
      <c r="R35" s="217">
        <v>372.0</v>
      </c>
      <c r="S35" s="524"/>
      <c r="T35" s="524"/>
      <c r="U35" s="524"/>
      <c r="V35" s="524"/>
      <c r="W35" s="519"/>
      <c r="X35" s="520"/>
      <c r="Y35" s="521"/>
      <c r="Z35" s="522"/>
    </row>
    <row r="36">
      <c r="A36" s="173"/>
      <c r="B36" s="13"/>
      <c r="C36" s="13"/>
      <c r="D36" s="13"/>
      <c r="E36" s="13"/>
      <c r="F36" s="13"/>
      <c r="G36" s="564"/>
      <c r="H36" s="509">
        <f t="shared" ref="H36:I36" si="12">SUM(H27:H35)</f>
        <v>476450</v>
      </c>
      <c r="I36" s="539" t="str">
        <f t="shared" si="12"/>
        <v>#N/A</v>
      </c>
      <c r="J36" s="506"/>
      <c r="K36" s="506"/>
      <c r="L36" s="506"/>
      <c r="M36" s="507"/>
      <c r="N36" s="507"/>
      <c r="O36" s="540">
        <f>P36/H36</f>
        <v>0.1842333928</v>
      </c>
      <c r="P36" s="625">
        <v>87778.0</v>
      </c>
      <c r="Q36" s="13"/>
      <c r="R36" s="509">
        <f>SUM(R27:R35)</f>
        <v>2729</v>
      </c>
      <c r="S36" s="510" t="s">
        <v>89</v>
      </c>
      <c r="T36" s="542"/>
      <c r="U36" s="542"/>
      <c r="V36" s="544">
        <v>0.0</v>
      </c>
      <c r="W36" s="510" t="s">
        <v>89</v>
      </c>
      <c r="X36" s="542"/>
      <c r="Y36" s="543"/>
      <c r="Z36" s="570">
        <f>SUM(Z27:Z35)</f>
        <v>0</v>
      </c>
    </row>
    <row r="37">
      <c r="A37" s="173"/>
      <c r="B37" s="504" t="s">
        <v>656</v>
      </c>
      <c r="C37" s="13" t="s">
        <v>729</v>
      </c>
      <c r="D37" s="13" t="s">
        <v>3</v>
      </c>
      <c r="E37" s="13" t="s">
        <v>4</v>
      </c>
      <c r="F37" s="13" t="s">
        <v>5</v>
      </c>
      <c r="G37" s="504" t="s">
        <v>6</v>
      </c>
      <c r="H37" s="504" t="s">
        <v>230</v>
      </c>
      <c r="I37" s="649" t="s">
        <v>730</v>
      </c>
      <c r="J37" s="505" t="s">
        <v>731</v>
      </c>
      <c r="K37" s="506" t="s">
        <v>10</v>
      </c>
      <c r="L37" s="506" t="s">
        <v>11</v>
      </c>
      <c r="M37" s="507" t="s">
        <v>476</v>
      </c>
      <c r="N37" s="507" t="s">
        <v>13</v>
      </c>
      <c r="O37" s="504" t="s">
        <v>732</v>
      </c>
      <c r="P37" s="508" t="s">
        <v>15</v>
      </c>
      <c r="Q37" s="13" t="s">
        <v>16</v>
      </c>
      <c r="R37" s="13" t="s">
        <v>17</v>
      </c>
      <c r="S37" s="510" t="s">
        <v>21</v>
      </c>
      <c r="T37" s="510" t="s">
        <v>22</v>
      </c>
      <c r="U37" s="511" t="s">
        <v>23</v>
      </c>
      <c r="V37" s="511" t="s">
        <v>24</v>
      </c>
      <c r="W37" s="510" t="s">
        <v>25</v>
      </c>
      <c r="X37" s="510" t="s">
        <v>26</v>
      </c>
      <c r="Y37" s="510" t="s">
        <v>27</v>
      </c>
      <c r="Z37" s="510" t="s">
        <v>28</v>
      </c>
    </row>
    <row r="38">
      <c r="A38" s="565" t="s">
        <v>733</v>
      </c>
      <c r="B38" s="527">
        <f>I48/E128</f>
        <v>0.0634871131</v>
      </c>
      <c r="C38" s="512">
        <f>I38/E128</f>
        <v>0.005472562191</v>
      </c>
      <c r="D38" s="104" t="s">
        <v>756</v>
      </c>
      <c r="E38" s="104" t="s">
        <v>757</v>
      </c>
      <c r="F38" s="195">
        <v>7.5</v>
      </c>
      <c r="G38" s="513">
        <v>700.0</v>
      </c>
      <c r="H38" s="217">
        <f t="shared" ref="H38:H47" si="13">J38*G38</f>
        <v>79723</v>
      </c>
      <c r="I38" s="217">
        <f t="shared" ref="I38:I47" si="14">H38+P38</f>
        <v>42833</v>
      </c>
      <c r="J38" s="216">
        <v>113.89</v>
      </c>
      <c r="K38" s="515">
        <f>IFERROR(__xludf.DUMMYFUNCTION("GOOGLEFINANCE(E38,""changepct"")"),-0.79)</f>
        <v>-0.79</v>
      </c>
      <c r="L38" s="517">
        <f>IFERROR(__xludf.DUMMYFUNCTION("googlefinance(E38,""price"")"),61.19)</f>
        <v>61.19</v>
      </c>
      <c r="M38" s="216"/>
      <c r="N38" s="517">
        <f t="shared" ref="N38:N47" si="15">L38-J38</f>
        <v>-52.7</v>
      </c>
      <c r="O38" s="518">
        <f t="shared" ref="O38:O47" si="16">L38/J38-1</f>
        <v>-0.4627271929</v>
      </c>
      <c r="P38" s="514">
        <f t="shared" ref="P38:P47" si="17">H38*O38</f>
        <v>-36890</v>
      </c>
      <c r="Q38" s="195" t="s">
        <v>128</v>
      </c>
      <c r="R38" s="514"/>
      <c r="S38" s="519"/>
      <c r="T38" s="520"/>
      <c r="U38" s="521"/>
      <c r="V38" s="522"/>
      <c r="W38" s="519"/>
      <c r="X38" s="520"/>
      <c r="Y38" s="521"/>
      <c r="Z38" s="522"/>
    </row>
    <row r="39">
      <c r="A39" s="528"/>
      <c r="B39" s="528"/>
      <c r="C39" s="512">
        <f>I39/E128</f>
        <v>0.002095347511</v>
      </c>
      <c r="D39" s="104" t="s">
        <v>758</v>
      </c>
      <c r="E39" s="104" t="s">
        <v>759</v>
      </c>
      <c r="F39" s="195">
        <v>7.6</v>
      </c>
      <c r="G39" s="513">
        <v>800.0</v>
      </c>
      <c r="H39" s="217">
        <f t="shared" si="13"/>
        <v>78760</v>
      </c>
      <c r="I39" s="217">
        <f t="shared" si="14"/>
        <v>16400</v>
      </c>
      <c r="J39" s="216">
        <v>98.45</v>
      </c>
      <c r="K39" s="515">
        <f>IFERROR(__xludf.DUMMYFUNCTION("GOOGLEFINANCE(E39,""changepct"")"),-2.1)</f>
        <v>-2.1</v>
      </c>
      <c r="L39" s="517">
        <f>IFERROR(__xludf.DUMMYFUNCTION("googlefinance(E39,""price"")"),20.5)</f>
        <v>20.5</v>
      </c>
      <c r="M39" s="216"/>
      <c r="N39" s="517">
        <f t="shared" si="15"/>
        <v>-77.95</v>
      </c>
      <c r="O39" s="518">
        <f t="shared" si="16"/>
        <v>-0.7917724733</v>
      </c>
      <c r="P39" s="514">
        <f t="shared" si="17"/>
        <v>-62360</v>
      </c>
      <c r="Q39" s="195" t="s">
        <v>128</v>
      </c>
      <c r="R39" s="514"/>
      <c r="S39" s="519"/>
      <c r="T39" s="520"/>
      <c r="U39" s="521"/>
      <c r="V39" s="522"/>
      <c r="W39" s="519"/>
      <c r="X39" s="520"/>
      <c r="Y39" s="521"/>
      <c r="Z39" s="522"/>
    </row>
    <row r="40">
      <c r="A40" s="528"/>
      <c r="B40" s="528"/>
      <c r="C40" s="512">
        <f>I40/E128</f>
        <v>0.003355111319</v>
      </c>
      <c r="D40" s="344" t="s">
        <v>678</v>
      </c>
      <c r="E40" s="344" t="s">
        <v>679</v>
      </c>
      <c r="F40" s="195">
        <v>7.6</v>
      </c>
      <c r="G40" s="513">
        <v>1000.0</v>
      </c>
      <c r="H40" s="217">
        <f t="shared" si="13"/>
        <v>77930</v>
      </c>
      <c r="I40" s="217">
        <f t="shared" si="14"/>
        <v>26260</v>
      </c>
      <c r="J40" s="216">
        <v>77.93</v>
      </c>
      <c r="K40" s="515">
        <f>IFERROR(__xludf.DUMMYFUNCTION("GOOGLEFINANCE(E40,""changepct"")"),-1.57)</f>
        <v>-1.57</v>
      </c>
      <c r="L40" s="517">
        <f>IFERROR(__xludf.DUMMYFUNCTION("googlefinance(E40,""price"")"),26.26)</f>
        <v>26.26</v>
      </c>
      <c r="M40" s="216"/>
      <c r="N40" s="517">
        <f t="shared" si="15"/>
        <v>-51.67</v>
      </c>
      <c r="O40" s="518">
        <f t="shared" si="16"/>
        <v>-0.6630309252</v>
      </c>
      <c r="P40" s="514">
        <f t="shared" si="17"/>
        <v>-51670</v>
      </c>
      <c r="Q40" s="195" t="s">
        <v>128</v>
      </c>
      <c r="R40" s="514"/>
      <c r="S40" s="519"/>
      <c r="T40" s="520"/>
      <c r="U40" s="521"/>
      <c r="V40" s="522"/>
      <c r="W40" s="523"/>
      <c r="X40" s="524"/>
      <c r="Y40" s="525"/>
      <c r="Z40" s="526"/>
    </row>
    <row r="41">
      <c r="A41" s="528"/>
      <c r="B41" s="528"/>
      <c r="C41" s="512">
        <f>I41/E128</f>
        <v>0.001954805909</v>
      </c>
      <c r="D41" s="567" t="s">
        <v>760</v>
      </c>
      <c r="E41" s="567" t="s">
        <v>761</v>
      </c>
      <c r="F41" s="195">
        <v>7.3</v>
      </c>
      <c r="G41" s="513">
        <v>10000.0</v>
      </c>
      <c r="H41" s="217">
        <f t="shared" si="13"/>
        <v>54300</v>
      </c>
      <c r="I41" s="217">
        <f t="shared" si="14"/>
        <v>15300</v>
      </c>
      <c r="J41" s="216">
        <v>5.43</v>
      </c>
      <c r="K41" s="515">
        <f>IFERROR(__xludf.DUMMYFUNCTION("GOOGLEFINANCE(E41,""changepct"")"),-8.93)</f>
        <v>-8.93</v>
      </c>
      <c r="L41" s="517">
        <f>IFERROR(__xludf.DUMMYFUNCTION("googlefinance(E41,""price"")"),1.53)</f>
        <v>1.53</v>
      </c>
      <c r="M41" s="216"/>
      <c r="N41" s="517">
        <f t="shared" si="15"/>
        <v>-3.9</v>
      </c>
      <c r="O41" s="518">
        <f t="shared" si="16"/>
        <v>-0.7182320442</v>
      </c>
      <c r="P41" s="514">
        <f t="shared" si="17"/>
        <v>-39000</v>
      </c>
      <c r="Q41" s="195" t="s">
        <v>128</v>
      </c>
      <c r="R41" s="514"/>
      <c r="S41" s="519"/>
      <c r="T41" s="520"/>
      <c r="U41" s="521"/>
      <c r="V41" s="522"/>
      <c r="W41" s="519"/>
      <c r="X41" s="520"/>
      <c r="Y41" s="521"/>
      <c r="Z41" s="522"/>
    </row>
    <row r="42">
      <c r="A42" s="528"/>
      <c r="B42" s="528"/>
      <c r="C42" s="512">
        <f>I42/E128</f>
        <v>0.00743337306</v>
      </c>
      <c r="D42" s="567" t="s">
        <v>493</v>
      </c>
      <c r="E42" s="567" t="s">
        <v>494</v>
      </c>
      <c r="F42" s="195">
        <v>7.2</v>
      </c>
      <c r="G42" s="513">
        <v>2000.0</v>
      </c>
      <c r="H42" s="217">
        <f t="shared" si="13"/>
        <v>48700</v>
      </c>
      <c r="I42" s="217">
        <f t="shared" si="14"/>
        <v>58180</v>
      </c>
      <c r="J42" s="216">
        <v>24.35</v>
      </c>
      <c r="K42" s="515">
        <f>IFERROR(__xludf.DUMMYFUNCTION("GOOGLEFINANCE(E42,""changepct"")"),0.45)</f>
        <v>0.45</v>
      </c>
      <c r="L42" s="517">
        <f>IFERROR(__xludf.DUMMYFUNCTION("googlefinance(E42,""price"")"),29.09)</f>
        <v>29.09</v>
      </c>
      <c r="M42" s="216"/>
      <c r="N42" s="517">
        <f t="shared" si="15"/>
        <v>4.74</v>
      </c>
      <c r="O42" s="518">
        <f t="shared" si="16"/>
        <v>0.194661191</v>
      </c>
      <c r="P42" s="514">
        <f t="shared" si="17"/>
        <v>9480</v>
      </c>
      <c r="Q42" s="538">
        <v>0.0461</v>
      </c>
      <c r="R42" s="217">
        <v>527.0</v>
      </c>
      <c r="S42" s="519"/>
      <c r="T42" s="520"/>
      <c r="U42" s="521"/>
      <c r="V42" s="522"/>
      <c r="W42" s="519"/>
      <c r="X42" s="520"/>
      <c r="Y42" s="521"/>
      <c r="Z42" s="522"/>
    </row>
    <row r="43">
      <c r="A43" s="528"/>
      <c r="B43" s="528"/>
      <c r="C43" s="512">
        <f>I43/E128</f>
        <v>0.006889093767</v>
      </c>
      <c r="D43" s="567" t="s">
        <v>762</v>
      </c>
      <c r="E43" s="567" t="s">
        <v>763</v>
      </c>
      <c r="F43" s="195">
        <v>7.4</v>
      </c>
      <c r="G43" s="513">
        <v>2000.0</v>
      </c>
      <c r="H43" s="217">
        <f t="shared" si="13"/>
        <v>43040</v>
      </c>
      <c r="I43" s="217">
        <f t="shared" si="14"/>
        <v>53920</v>
      </c>
      <c r="J43" s="216">
        <v>21.52</v>
      </c>
      <c r="K43" s="515">
        <f>IFERROR(__xludf.DUMMYFUNCTION("GOOGLEFINANCE(E43,""changepct"")"),0.63)</f>
        <v>0.63</v>
      </c>
      <c r="L43" s="517">
        <f>IFERROR(__xludf.DUMMYFUNCTION("googlefinance(E43,""price"")"),26.96)</f>
        <v>26.96</v>
      </c>
      <c r="M43" s="216"/>
      <c r="N43" s="517">
        <f t="shared" si="15"/>
        <v>5.44</v>
      </c>
      <c r="O43" s="518">
        <f t="shared" si="16"/>
        <v>0.2527881041</v>
      </c>
      <c r="P43" s="514">
        <f t="shared" si="17"/>
        <v>10880</v>
      </c>
      <c r="Q43" s="538">
        <v>0.008</v>
      </c>
      <c r="R43" s="217">
        <v>92.0</v>
      </c>
      <c r="S43" s="519"/>
      <c r="T43" s="520"/>
      <c r="U43" s="521"/>
      <c r="V43" s="522"/>
      <c r="W43" s="519"/>
      <c r="X43" s="520"/>
      <c r="Y43" s="521"/>
      <c r="Z43" s="522"/>
    </row>
    <row r="44">
      <c r="A44" s="528"/>
      <c r="B44" s="528"/>
      <c r="C44" s="512">
        <f>I44/E128</f>
        <v>0.01222354189</v>
      </c>
      <c r="D44" s="567" t="s">
        <v>566</v>
      </c>
      <c r="E44" s="567" t="s">
        <v>567</v>
      </c>
      <c r="F44" s="195">
        <v>7.5</v>
      </c>
      <c r="G44" s="513">
        <v>800.0</v>
      </c>
      <c r="H44" s="217">
        <f t="shared" si="13"/>
        <v>57344</v>
      </c>
      <c r="I44" s="217">
        <f t="shared" si="14"/>
        <v>95672</v>
      </c>
      <c r="J44" s="216">
        <v>71.68</v>
      </c>
      <c r="K44" s="515">
        <f>IFERROR(__xludf.DUMMYFUNCTION("GOOGLEFINANCE(E44,""changepct"")"),0.01)</f>
        <v>0.01</v>
      </c>
      <c r="L44" s="517">
        <f>IFERROR(__xludf.DUMMYFUNCTION("googlefinance(E44,""price"")"),119.59)</f>
        <v>119.59</v>
      </c>
      <c r="M44" s="216"/>
      <c r="N44" s="517">
        <f t="shared" si="15"/>
        <v>47.91</v>
      </c>
      <c r="O44" s="518">
        <f t="shared" si="16"/>
        <v>0.6683872768</v>
      </c>
      <c r="P44" s="514">
        <f t="shared" si="17"/>
        <v>38328</v>
      </c>
      <c r="Q44" s="538">
        <v>0.048</v>
      </c>
      <c r="R44" s="217">
        <v>760.0</v>
      </c>
      <c r="S44" s="519"/>
      <c r="T44" s="520"/>
      <c r="U44" s="521"/>
      <c r="V44" s="522"/>
      <c r="W44" s="519"/>
      <c r="X44" s="520"/>
      <c r="Y44" s="521"/>
      <c r="Z44" s="522"/>
    </row>
    <row r="45">
      <c r="A45" s="528"/>
      <c r="B45" s="528"/>
      <c r="C45" s="512">
        <f>I45/E128</f>
        <v>0.01351243614</v>
      </c>
      <c r="D45" s="567" t="s">
        <v>491</v>
      </c>
      <c r="E45" s="567" t="s">
        <v>492</v>
      </c>
      <c r="F45" s="195">
        <v>7.5</v>
      </c>
      <c r="G45" s="513">
        <v>1000.0</v>
      </c>
      <c r="H45" s="217">
        <f t="shared" si="13"/>
        <v>55840</v>
      </c>
      <c r="I45" s="217">
        <f t="shared" si="14"/>
        <v>105760</v>
      </c>
      <c r="J45" s="216">
        <v>55.84</v>
      </c>
      <c r="K45" s="515">
        <f>IFERROR(__xludf.DUMMYFUNCTION("GOOGLEFINANCE(E45,""changepct"")"),-0.68)</f>
        <v>-0.68</v>
      </c>
      <c r="L45" s="517">
        <f>IFERROR(__xludf.DUMMYFUNCTION("googlefinance(E45,""price"")"),105.76)</f>
        <v>105.76</v>
      </c>
      <c r="M45" s="216"/>
      <c r="N45" s="517">
        <f t="shared" si="15"/>
        <v>49.92</v>
      </c>
      <c r="O45" s="518">
        <f t="shared" si="16"/>
        <v>0.893982808</v>
      </c>
      <c r="P45" s="514">
        <f t="shared" si="17"/>
        <v>49920</v>
      </c>
      <c r="Q45" s="538">
        <v>0.054</v>
      </c>
      <c r="R45" s="217">
        <v>852.0</v>
      </c>
      <c r="S45" s="519"/>
      <c r="T45" s="520"/>
      <c r="U45" s="521"/>
      <c r="V45" s="522"/>
      <c r="W45" s="519"/>
      <c r="X45" s="520"/>
      <c r="Y45" s="521"/>
      <c r="Z45" s="522"/>
    </row>
    <row r="46">
      <c r="A46" s="528"/>
      <c r="B46" s="528"/>
      <c r="C46" s="512">
        <f>I46/E128</f>
        <v>0.009661596266</v>
      </c>
      <c r="D46" s="567" t="s">
        <v>94</v>
      </c>
      <c r="E46" s="567" t="s">
        <v>95</v>
      </c>
      <c r="F46" s="195">
        <v>7.7</v>
      </c>
      <c r="G46" s="513">
        <v>2000.0</v>
      </c>
      <c r="H46" s="217">
        <f t="shared" si="13"/>
        <v>54380</v>
      </c>
      <c r="I46" s="217">
        <f t="shared" si="14"/>
        <v>75620</v>
      </c>
      <c r="J46" s="216">
        <v>27.19</v>
      </c>
      <c r="K46" s="515">
        <f>IFERROR(__xludf.DUMMYFUNCTION("GOOGLEFINANCE(E46,""changepct"")"),0.03)</f>
        <v>0.03</v>
      </c>
      <c r="L46" s="517">
        <f>IFERROR(__xludf.DUMMYFUNCTION("googlefinance(E46,""price"")"),37.81)</f>
        <v>37.81</v>
      </c>
      <c r="M46" s="216"/>
      <c r="N46" s="517">
        <f t="shared" si="15"/>
        <v>10.62</v>
      </c>
      <c r="O46" s="518">
        <f t="shared" si="16"/>
        <v>0.3905847738</v>
      </c>
      <c r="P46" s="514">
        <f t="shared" si="17"/>
        <v>21240</v>
      </c>
      <c r="Q46" s="538">
        <v>0.0156</v>
      </c>
      <c r="R46" s="217">
        <v>250.0</v>
      </c>
      <c r="S46" s="519"/>
      <c r="T46" s="520"/>
      <c r="U46" s="521"/>
      <c r="V46" s="522"/>
      <c r="W46" s="519"/>
      <c r="X46" s="520"/>
      <c r="Y46" s="521"/>
      <c r="Z46" s="522"/>
    </row>
    <row r="47">
      <c r="A47" s="528"/>
      <c r="B47" s="528"/>
      <c r="C47" s="512">
        <f>I47/E128</f>
        <v>0.0008892450412</v>
      </c>
      <c r="D47" s="344" t="s">
        <v>680</v>
      </c>
      <c r="E47" s="344" t="s">
        <v>681</v>
      </c>
      <c r="F47" s="195">
        <v>7.7</v>
      </c>
      <c r="G47" s="513">
        <v>1000.0</v>
      </c>
      <c r="H47" s="217">
        <f t="shared" si="13"/>
        <v>80480</v>
      </c>
      <c r="I47" s="217">
        <f t="shared" si="14"/>
        <v>6960</v>
      </c>
      <c r="J47" s="216">
        <v>80.48</v>
      </c>
      <c r="K47" s="515">
        <f>IFERROR(__xludf.DUMMYFUNCTION("GOOGLEFINANCE(E47,""changepct"")"),0.0)</f>
        <v>0</v>
      </c>
      <c r="L47" s="517">
        <f>IFERROR(__xludf.DUMMYFUNCTION("googlefinance(E47,""price"")"),6.96)</f>
        <v>6.96</v>
      </c>
      <c r="M47" s="216"/>
      <c r="N47" s="517">
        <f t="shared" si="15"/>
        <v>-73.52</v>
      </c>
      <c r="O47" s="518">
        <f t="shared" si="16"/>
        <v>-0.9135188867</v>
      </c>
      <c r="P47" s="514">
        <f t="shared" si="17"/>
        <v>-73520</v>
      </c>
      <c r="Q47" s="538">
        <v>0.0387</v>
      </c>
      <c r="R47" s="217">
        <v>897.0</v>
      </c>
      <c r="S47" s="519"/>
      <c r="T47" s="520"/>
      <c r="U47" s="521"/>
      <c r="V47" s="522"/>
      <c r="W47" s="523"/>
      <c r="X47" s="524"/>
      <c r="Y47" s="525"/>
      <c r="Z47" s="526"/>
    </row>
    <row r="48">
      <c r="A48" s="173"/>
      <c r="B48" s="13"/>
      <c r="C48" s="13"/>
      <c r="D48" s="13"/>
      <c r="E48" s="13"/>
      <c r="F48" s="13"/>
      <c r="G48" s="564"/>
      <c r="H48" s="509">
        <f t="shared" ref="H48:I48" si="18">SUM(H38:H47)</f>
        <v>630497</v>
      </c>
      <c r="I48" s="539">
        <f t="shared" si="18"/>
        <v>496905</v>
      </c>
      <c r="J48" s="506"/>
      <c r="K48" s="506"/>
      <c r="L48" s="506"/>
      <c r="M48" s="507"/>
      <c r="N48" s="507"/>
      <c r="O48" s="540">
        <f>P48/H48</f>
        <v>0.0559796478</v>
      </c>
      <c r="P48" s="625">
        <v>35295.0</v>
      </c>
      <c r="Q48" s="13"/>
      <c r="R48" s="509">
        <f>SUM(R42:R47)</f>
        <v>3378</v>
      </c>
      <c r="S48" s="510" t="s">
        <v>89</v>
      </c>
      <c r="T48" s="542"/>
      <c r="U48" s="543"/>
      <c r="V48" s="570">
        <f>SUM(V38:V47)</f>
        <v>0</v>
      </c>
      <c r="W48" s="510" t="s">
        <v>89</v>
      </c>
      <c r="X48" s="542"/>
      <c r="Y48" s="543"/>
      <c r="Z48" s="570">
        <f>SUM(Z38:Z47)</f>
        <v>0</v>
      </c>
    </row>
    <row r="49">
      <c r="A49" s="173"/>
      <c r="B49" s="504" t="s">
        <v>682</v>
      </c>
      <c r="C49" s="13" t="s">
        <v>729</v>
      </c>
      <c r="D49" s="13" t="s">
        <v>3</v>
      </c>
      <c r="E49" s="13" t="s">
        <v>4</v>
      </c>
      <c r="F49" s="13" t="s">
        <v>5</v>
      </c>
      <c r="G49" s="504" t="s">
        <v>6</v>
      </c>
      <c r="H49" s="504" t="s">
        <v>230</v>
      </c>
      <c r="I49" s="649" t="s">
        <v>730</v>
      </c>
      <c r="J49" s="505" t="s">
        <v>731</v>
      </c>
      <c r="K49" s="506" t="s">
        <v>10</v>
      </c>
      <c r="L49" s="506" t="s">
        <v>11</v>
      </c>
      <c r="M49" s="507" t="s">
        <v>476</v>
      </c>
      <c r="N49" s="507" t="s">
        <v>13</v>
      </c>
      <c r="O49" s="504" t="s">
        <v>732</v>
      </c>
      <c r="P49" s="508" t="s">
        <v>15</v>
      </c>
      <c r="Q49" s="13" t="s">
        <v>16</v>
      </c>
      <c r="R49" s="13" t="s">
        <v>17</v>
      </c>
      <c r="S49" s="510" t="s">
        <v>21</v>
      </c>
      <c r="T49" s="510" t="s">
        <v>22</v>
      </c>
      <c r="U49" s="511" t="s">
        <v>23</v>
      </c>
      <c r="V49" s="511" t="s">
        <v>24</v>
      </c>
      <c r="W49" s="510" t="s">
        <v>25</v>
      </c>
      <c r="X49" s="510" t="s">
        <v>26</v>
      </c>
      <c r="Y49" s="510" t="s">
        <v>27</v>
      </c>
      <c r="Z49" s="510" t="s">
        <v>28</v>
      </c>
    </row>
    <row r="50">
      <c r="A50" s="565" t="s">
        <v>733</v>
      </c>
      <c r="B50" s="527" t="str">
        <f>I62/E128</f>
        <v>#N/A</v>
      </c>
      <c r="C50" s="512">
        <f>I50/E128</f>
        <v>0.08590924794</v>
      </c>
      <c r="D50" s="344" t="s">
        <v>764</v>
      </c>
      <c r="E50" s="344" t="s">
        <v>765</v>
      </c>
      <c r="F50" s="195">
        <v>7.3</v>
      </c>
      <c r="G50" s="513">
        <v>4000.0</v>
      </c>
      <c r="H50" s="217">
        <f t="shared" ref="H50:H61" si="19">G50*J50</f>
        <v>52520</v>
      </c>
      <c r="I50" s="514">
        <f t="shared" ref="I50:I61" si="20">H50+P50</f>
        <v>672400</v>
      </c>
      <c r="J50" s="216">
        <v>13.13</v>
      </c>
      <c r="K50" s="568">
        <f>IFERROR(__xludf.DUMMYFUNCTION("GOOGLEFINANCE(E50,""changepct"")"),-1.16)</f>
        <v>-1.16</v>
      </c>
      <c r="L50" s="516">
        <f>IFERROR(__xludf.DUMMYFUNCTION("googlefinance(E50,""price"")"),168.1)</f>
        <v>168.1</v>
      </c>
      <c r="M50" s="517"/>
      <c r="N50" s="517">
        <f t="shared" ref="N50:N61" si="21">L50-J50</f>
        <v>154.97</v>
      </c>
      <c r="O50" s="518">
        <f t="shared" ref="O50:O61" si="22">L50/J50-1</f>
        <v>11.80274181</v>
      </c>
      <c r="P50" s="495">
        <f t="shared" ref="P50:P61" si="23">H50*O50</f>
        <v>619880</v>
      </c>
      <c r="Q50" s="538">
        <v>0.003</v>
      </c>
      <c r="R50" s="217">
        <v>40.0</v>
      </c>
      <c r="S50" s="523"/>
      <c r="T50" s="524"/>
      <c r="U50" s="525"/>
      <c r="V50" s="525"/>
      <c r="W50" s="523"/>
      <c r="X50" s="524"/>
      <c r="Y50" s="525"/>
      <c r="Z50" s="526"/>
    </row>
    <row r="51">
      <c r="A51" s="528"/>
      <c r="B51" s="528"/>
      <c r="C51" s="512">
        <f>I51/E128</f>
        <v>0.03279091089</v>
      </c>
      <c r="D51" s="344" t="s">
        <v>536</v>
      </c>
      <c r="E51" s="344" t="s">
        <v>136</v>
      </c>
      <c r="F51" s="195">
        <v>8.1</v>
      </c>
      <c r="G51" s="513">
        <v>5000.0</v>
      </c>
      <c r="H51" s="217">
        <f t="shared" si="19"/>
        <v>83050</v>
      </c>
      <c r="I51" s="514">
        <f t="shared" si="20"/>
        <v>256650</v>
      </c>
      <c r="J51" s="216">
        <v>16.61</v>
      </c>
      <c r="K51" s="515">
        <f>IFERROR(__xludf.DUMMYFUNCTION("GOOGLEFINANCE(E51,""changepct"")"),-2.21)</f>
        <v>-2.21</v>
      </c>
      <c r="L51" s="517">
        <f>IFERROR(__xludf.DUMMYFUNCTION("googlefinance(E51,""price"")"),51.33)</f>
        <v>51.33</v>
      </c>
      <c r="M51" s="517"/>
      <c r="N51" s="517">
        <f t="shared" si="21"/>
        <v>34.72</v>
      </c>
      <c r="O51" s="518">
        <f t="shared" si="22"/>
        <v>2.090307044</v>
      </c>
      <c r="P51" s="495">
        <f t="shared" si="23"/>
        <v>173600</v>
      </c>
      <c r="Q51" s="538">
        <v>0.0031</v>
      </c>
      <c r="R51" s="217">
        <v>74.0</v>
      </c>
      <c r="S51" s="523"/>
      <c r="T51" s="524"/>
      <c r="U51" s="525"/>
      <c r="V51" s="525"/>
      <c r="W51" s="523"/>
      <c r="X51" s="524"/>
      <c r="Y51" s="525"/>
      <c r="Z51" s="526"/>
    </row>
    <row r="52">
      <c r="A52" s="528"/>
      <c r="B52" s="528"/>
      <c r="C52" s="512">
        <f>I52/E128</f>
        <v>0.007485756748</v>
      </c>
      <c r="D52" s="571" t="s">
        <v>595</v>
      </c>
      <c r="E52" s="104" t="s">
        <v>130</v>
      </c>
      <c r="F52" s="195">
        <v>7.8</v>
      </c>
      <c r="G52" s="513">
        <v>1000.0</v>
      </c>
      <c r="H52" s="217">
        <f t="shared" si="19"/>
        <v>84140</v>
      </c>
      <c r="I52" s="514">
        <f t="shared" si="20"/>
        <v>58590</v>
      </c>
      <c r="J52" s="216">
        <v>84.14</v>
      </c>
      <c r="K52" s="515">
        <f>IFERROR(__xludf.DUMMYFUNCTION("GOOGLEFINANCE(E52,""changepct"")"),-0.71)</f>
        <v>-0.71</v>
      </c>
      <c r="L52" s="517">
        <f>IFERROR(__xludf.DUMMYFUNCTION("googlefinance(E52,""price"")"),58.59)</f>
        <v>58.59</v>
      </c>
      <c r="M52" s="517"/>
      <c r="N52" s="517">
        <f t="shared" si="21"/>
        <v>-25.55</v>
      </c>
      <c r="O52" s="518">
        <f t="shared" si="22"/>
        <v>-0.3036605657</v>
      </c>
      <c r="P52" s="495">
        <f t="shared" si="23"/>
        <v>-25550</v>
      </c>
      <c r="Q52" s="538">
        <v>0.0546</v>
      </c>
      <c r="R52" s="217">
        <v>1145.0</v>
      </c>
      <c r="S52" s="523"/>
      <c r="T52" s="524"/>
      <c r="U52" s="525"/>
      <c r="V52" s="525"/>
      <c r="W52" s="519" t="s">
        <v>130</v>
      </c>
      <c r="X52" s="520">
        <v>44342.0</v>
      </c>
      <c r="Y52" s="521">
        <v>84.14</v>
      </c>
      <c r="Z52" s="522">
        <v>84140.0</v>
      </c>
    </row>
    <row r="53">
      <c r="A53" s="528"/>
      <c r="B53" s="528"/>
      <c r="C53" s="512">
        <f>I53/E128</f>
        <v>0.00356464607</v>
      </c>
      <c r="D53" s="571" t="s">
        <v>598</v>
      </c>
      <c r="E53" s="104" t="s">
        <v>599</v>
      </c>
      <c r="F53" s="195">
        <v>7.7</v>
      </c>
      <c r="G53" s="513">
        <v>3000.0</v>
      </c>
      <c r="H53" s="217">
        <f t="shared" si="19"/>
        <v>55290</v>
      </c>
      <c r="I53" s="514">
        <f t="shared" si="20"/>
        <v>27900</v>
      </c>
      <c r="J53" s="216">
        <v>18.43</v>
      </c>
      <c r="K53" s="515">
        <f>IFERROR(__xludf.DUMMYFUNCTION("GOOGLEFINANCE(E53,""changepct"")"),0.65)</f>
        <v>0.65</v>
      </c>
      <c r="L53" s="517">
        <f>IFERROR(__xludf.DUMMYFUNCTION("googlefinance(E53,""price"")"),9.3)</f>
        <v>9.3</v>
      </c>
      <c r="M53" s="517"/>
      <c r="N53" s="517">
        <f t="shared" si="21"/>
        <v>-9.13</v>
      </c>
      <c r="O53" s="518">
        <f t="shared" si="22"/>
        <v>-0.4953879544</v>
      </c>
      <c r="P53" s="495">
        <f t="shared" si="23"/>
        <v>-27390</v>
      </c>
      <c r="Q53" s="538"/>
      <c r="R53" s="514"/>
      <c r="S53" s="523"/>
      <c r="T53" s="524"/>
      <c r="U53" s="525"/>
      <c r="V53" s="525"/>
      <c r="W53" s="519" t="s">
        <v>599</v>
      </c>
      <c r="X53" s="520">
        <v>44342.0</v>
      </c>
      <c r="Y53" s="521">
        <v>18.43</v>
      </c>
      <c r="Z53" s="522">
        <v>55290.0</v>
      </c>
    </row>
    <row r="54">
      <c r="A54" s="528"/>
      <c r="B54" s="528"/>
      <c r="C54" s="512" t="str">
        <f>I54/E128</f>
        <v>#N/A</v>
      </c>
      <c r="D54" s="600" t="s">
        <v>683</v>
      </c>
      <c r="E54" s="344" t="s">
        <v>684</v>
      </c>
      <c r="F54" s="195">
        <v>7.9</v>
      </c>
      <c r="G54" s="513">
        <v>1800.0</v>
      </c>
      <c r="H54" s="217">
        <f t="shared" si="19"/>
        <v>56322</v>
      </c>
      <c r="I54" s="514" t="str">
        <f t="shared" si="20"/>
        <v>#N/A</v>
      </c>
      <c r="J54" s="216">
        <v>31.29</v>
      </c>
      <c r="K54" s="515" t="str">
        <f>IFERROR(__xludf.DUMMYFUNCTION("GOOGLEFINANCE(E54,""changepct"")"),"#N/A")</f>
        <v>#N/A</v>
      </c>
      <c r="L54" s="517" t="str">
        <f>IFERROR(__xludf.DUMMYFUNCTION("googlefinance(E54,""price"")"),"#N/A")</f>
        <v>#N/A</v>
      </c>
      <c r="M54" s="517"/>
      <c r="N54" s="528" t="str">
        <f t="shared" si="21"/>
        <v>#N/A</v>
      </c>
      <c r="O54" s="518" t="str">
        <f t="shared" si="22"/>
        <v>#N/A</v>
      </c>
      <c r="P54" s="637" t="str">
        <f t="shared" si="23"/>
        <v>#N/A</v>
      </c>
      <c r="Q54" s="538">
        <v>0.0665</v>
      </c>
      <c r="R54" s="217">
        <v>1035.0</v>
      </c>
      <c r="S54" s="523"/>
      <c r="T54" s="524"/>
      <c r="U54" s="525"/>
      <c r="V54" s="525"/>
      <c r="W54" s="523"/>
      <c r="X54" s="524"/>
      <c r="Y54" s="525"/>
      <c r="Z54" s="526"/>
    </row>
    <row r="55">
      <c r="A55" s="528"/>
      <c r="B55" s="528"/>
      <c r="C55" s="512">
        <f>I55/E128</f>
        <v>0.00465959291</v>
      </c>
      <c r="D55" s="600" t="s">
        <v>145</v>
      </c>
      <c r="E55" s="344" t="s">
        <v>146</v>
      </c>
      <c r="F55" s="195">
        <v>8.0</v>
      </c>
      <c r="G55" s="513">
        <v>1000.0</v>
      </c>
      <c r="H55" s="217">
        <f t="shared" si="19"/>
        <v>53040</v>
      </c>
      <c r="I55" s="514">
        <f t="shared" si="20"/>
        <v>36470</v>
      </c>
      <c r="J55" s="216">
        <v>53.04</v>
      </c>
      <c r="K55" s="515">
        <f>IFERROR(__xludf.DUMMYFUNCTION("GOOGLEFINANCE(E55,""changepct"")"),-2.33)</f>
        <v>-2.33</v>
      </c>
      <c r="L55" s="517">
        <f>IFERROR(__xludf.DUMMYFUNCTION("googlefinance(E55,""price"")"),36.47)</f>
        <v>36.47</v>
      </c>
      <c r="M55" s="517"/>
      <c r="N55" s="517">
        <f t="shared" si="21"/>
        <v>-16.57</v>
      </c>
      <c r="O55" s="518">
        <f t="shared" si="22"/>
        <v>-0.3124057315</v>
      </c>
      <c r="P55" s="495">
        <f t="shared" si="23"/>
        <v>-16570</v>
      </c>
      <c r="Q55" s="538">
        <v>0.0148</v>
      </c>
      <c r="R55" s="217">
        <v>175.0</v>
      </c>
      <c r="S55" s="523"/>
      <c r="T55" s="524"/>
      <c r="U55" s="525"/>
      <c r="V55" s="525"/>
      <c r="W55" s="523"/>
      <c r="X55" s="524"/>
      <c r="Y55" s="525"/>
      <c r="Z55" s="526"/>
    </row>
    <row r="56">
      <c r="A56" s="528"/>
      <c r="B56" s="528"/>
      <c r="C56" s="512">
        <f>I56/E128</f>
        <v>0.001533181105</v>
      </c>
      <c r="D56" s="600" t="s">
        <v>661</v>
      </c>
      <c r="E56" s="344" t="s">
        <v>144</v>
      </c>
      <c r="F56" s="195">
        <v>8.1</v>
      </c>
      <c r="G56" s="513">
        <v>4000.0</v>
      </c>
      <c r="H56" s="217">
        <f t="shared" si="19"/>
        <v>64360</v>
      </c>
      <c r="I56" s="514">
        <f t="shared" si="20"/>
        <v>12000</v>
      </c>
      <c r="J56" s="216">
        <v>16.09</v>
      </c>
      <c r="K56" s="515">
        <f>IFERROR(__xludf.DUMMYFUNCTION("GOOGLEFINANCE(E56,""changepct"")"),-2.91)</f>
        <v>-2.91</v>
      </c>
      <c r="L56" s="517">
        <f>IFERROR(__xludf.DUMMYFUNCTION("googlefinance(E56,""price"")"),3.0)</f>
        <v>3</v>
      </c>
      <c r="M56" s="216"/>
      <c r="N56" s="517">
        <f t="shared" si="21"/>
        <v>-13.09</v>
      </c>
      <c r="O56" s="518">
        <f t="shared" si="22"/>
        <v>-0.8135487881</v>
      </c>
      <c r="P56" s="495">
        <f t="shared" si="23"/>
        <v>-52360</v>
      </c>
      <c r="Q56" s="195" t="s">
        <v>128</v>
      </c>
      <c r="R56" s="514"/>
      <c r="S56" s="519"/>
      <c r="T56" s="520"/>
      <c r="U56" s="521"/>
      <c r="V56" s="522"/>
      <c r="W56" s="523"/>
      <c r="X56" s="524"/>
      <c r="Y56" s="525"/>
      <c r="Z56" s="526"/>
    </row>
    <row r="57">
      <c r="A57" s="528"/>
      <c r="B57" s="528"/>
      <c r="C57" s="512">
        <f>I57/E128</f>
        <v>0.006132724422</v>
      </c>
      <c r="D57" s="104" t="s">
        <v>454</v>
      </c>
      <c r="E57" s="104" t="s">
        <v>132</v>
      </c>
      <c r="F57" s="195">
        <v>8.3</v>
      </c>
      <c r="G57" s="513">
        <v>2000.0</v>
      </c>
      <c r="H57" s="217">
        <f t="shared" si="19"/>
        <v>63240</v>
      </c>
      <c r="I57" s="514">
        <f t="shared" si="20"/>
        <v>48000</v>
      </c>
      <c r="J57" s="216">
        <v>31.62</v>
      </c>
      <c r="K57" s="515">
        <f>IFERROR(__xludf.DUMMYFUNCTION("GOOGLEFINANCE(E57,""changepct"")"),0.54)</f>
        <v>0.54</v>
      </c>
      <c r="L57" s="517">
        <f>IFERROR(__xludf.DUMMYFUNCTION("googlefinance(E57,""price"")"),24.0)</f>
        <v>24</v>
      </c>
      <c r="M57" s="517"/>
      <c r="N57" s="517">
        <f t="shared" si="21"/>
        <v>-7.62</v>
      </c>
      <c r="O57" s="518">
        <f t="shared" si="22"/>
        <v>-0.2409867173</v>
      </c>
      <c r="P57" s="495">
        <f t="shared" si="23"/>
        <v>-15240</v>
      </c>
      <c r="Q57" s="538">
        <v>0.0096</v>
      </c>
      <c r="R57" s="217">
        <v>153.0</v>
      </c>
      <c r="S57" s="523"/>
      <c r="T57" s="524"/>
      <c r="U57" s="525"/>
      <c r="V57" s="525"/>
      <c r="W57" s="519"/>
      <c r="X57" s="520"/>
      <c r="Y57" s="521"/>
      <c r="Z57" s="522"/>
    </row>
    <row r="58">
      <c r="A58" s="528"/>
      <c r="B58" s="528"/>
      <c r="C58" s="512">
        <f>I58/E128</f>
        <v>0.009263671887</v>
      </c>
      <c r="D58" s="104" t="s">
        <v>117</v>
      </c>
      <c r="E58" s="104" t="s">
        <v>118</v>
      </c>
      <c r="F58" s="195">
        <v>7.7</v>
      </c>
      <c r="G58" s="513">
        <v>150.0</v>
      </c>
      <c r="H58" s="217">
        <f t="shared" si="19"/>
        <v>55458</v>
      </c>
      <c r="I58" s="514">
        <f t="shared" si="20"/>
        <v>72505.5</v>
      </c>
      <c r="J58" s="216">
        <v>369.72</v>
      </c>
      <c r="K58" s="515">
        <f>IFERROR(__xludf.DUMMYFUNCTION("GOOGLEFINANCE(E58,""changepct"")"),-1.15)</f>
        <v>-1.15</v>
      </c>
      <c r="L58" s="517">
        <f>IFERROR(__xludf.DUMMYFUNCTION("googlefinance(E58,""price"")"),483.37)</f>
        <v>483.37</v>
      </c>
      <c r="M58" s="517"/>
      <c r="N58" s="517">
        <f t="shared" si="21"/>
        <v>113.65</v>
      </c>
      <c r="O58" s="518">
        <f t="shared" si="22"/>
        <v>0.3073947852</v>
      </c>
      <c r="P58" s="495">
        <f t="shared" si="23"/>
        <v>17047.5</v>
      </c>
      <c r="Q58" s="538">
        <v>0.0275</v>
      </c>
      <c r="R58" s="217">
        <v>390.0</v>
      </c>
      <c r="S58" s="523"/>
      <c r="T58" s="524"/>
      <c r="U58" s="525"/>
      <c r="V58" s="525"/>
      <c r="W58" s="519"/>
      <c r="X58" s="520"/>
      <c r="Y58" s="521"/>
      <c r="Z58" s="522"/>
    </row>
    <row r="59">
      <c r="A59" s="528"/>
      <c r="B59" s="528"/>
      <c r="C59" s="512">
        <f>I59/E128</f>
        <v>0.01104082044</v>
      </c>
      <c r="D59" s="104" t="s">
        <v>401</v>
      </c>
      <c r="E59" s="104" t="s">
        <v>402</v>
      </c>
      <c r="F59" s="195">
        <v>7.4</v>
      </c>
      <c r="G59" s="513">
        <v>750.0</v>
      </c>
      <c r="H59" s="217">
        <f t="shared" si="19"/>
        <v>57997.5</v>
      </c>
      <c r="I59" s="514">
        <f t="shared" si="20"/>
        <v>86415</v>
      </c>
      <c r="J59" s="216">
        <v>77.33</v>
      </c>
      <c r="K59" s="515">
        <f>IFERROR(__xludf.DUMMYFUNCTION("GOOGLEFINANCE(E59,""changepct"")"),-1.28)</f>
        <v>-1.28</v>
      </c>
      <c r="L59" s="517">
        <f>IFERROR(__xludf.DUMMYFUNCTION("googlefinance(E59,""price"")"),115.22)</f>
        <v>115.22</v>
      </c>
      <c r="M59" s="517"/>
      <c r="N59" s="517">
        <f t="shared" si="21"/>
        <v>37.89</v>
      </c>
      <c r="O59" s="518">
        <f t="shared" si="22"/>
        <v>0.4899780163</v>
      </c>
      <c r="P59" s="495">
        <f t="shared" si="23"/>
        <v>28417.5</v>
      </c>
      <c r="Q59" s="538">
        <v>0.0242</v>
      </c>
      <c r="R59" s="217">
        <v>387.0</v>
      </c>
      <c r="S59" s="523"/>
      <c r="T59" s="524"/>
      <c r="U59" s="525"/>
      <c r="V59" s="525"/>
      <c r="W59" s="519"/>
      <c r="X59" s="520"/>
      <c r="Y59" s="521"/>
      <c r="Z59" s="522"/>
    </row>
    <row r="60">
      <c r="A60" s="528"/>
      <c r="B60" s="528"/>
      <c r="C60" s="512">
        <f>I60/E128</f>
        <v>0.006599322538</v>
      </c>
      <c r="D60" s="104" t="s">
        <v>452</v>
      </c>
      <c r="E60" s="104" t="s">
        <v>453</v>
      </c>
      <c r="F60" s="195">
        <v>8.1</v>
      </c>
      <c r="G60" s="513">
        <v>400.0</v>
      </c>
      <c r="H60" s="217">
        <f t="shared" si="19"/>
        <v>76748</v>
      </c>
      <c r="I60" s="514">
        <f t="shared" si="20"/>
        <v>51652</v>
      </c>
      <c r="J60" s="216">
        <v>191.87</v>
      </c>
      <c r="K60" s="515">
        <f>IFERROR(__xludf.DUMMYFUNCTION("GOOGLEFINANCE(E60,""changepct"")"),-0.81)</f>
        <v>-0.81</v>
      </c>
      <c r="L60" s="517">
        <f>IFERROR(__xludf.DUMMYFUNCTION("googlefinance(E60,""price"")"),129.13)</f>
        <v>129.13</v>
      </c>
      <c r="M60" s="517"/>
      <c r="N60" s="517">
        <f t="shared" si="21"/>
        <v>-62.74</v>
      </c>
      <c r="O60" s="518">
        <f t="shared" si="22"/>
        <v>-0.3269922343</v>
      </c>
      <c r="P60" s="495">
        <f t="shared" si="23"/>
        <v>-25096</v>
      </c>
      <c r="Q60" s="538">
        <v>0.0304</v>
      </c>
      <c r="R60" s="217">
        <v>603.0</v>
      </c>
      <c r="S60" s="523"/>
      <c r="T60" s="524"/>
      <c r="U60" s="525"/>
      <c r="V60" s="525"/>
      <c r="W60" s="519"/>
      <c r="X60" s="520"/>
      <c r="Y60" s="521"/>
      <c r="Z60" s="522"/>
    </row>
    <row r="61">
      <c r="A61" s="528"/>
      <c r="B61" s="528"/>
      <c r="C61" s="512">
        <f>I61/E128</f>
        <v>0.005307361927</v>
      </c>
      <c r="D61" s="344" t="s">
        <v>662</v>
      </c>
      <c r="E61" s="344" t="s">
        <v>663</v>
      </c>
      <c r="F61" s="569">
        <v>7.9</v>
      </c>
      <c r="G61" s="513">
        <v>1000.0</v>
      </c>
      <c r="H61" s="217">
        <f t="shared" si="19"/>
        <v>58470</v>
      </c>
      <c r="I61" s="514">
        <f t="shared" si="20"/>
        <v>41540</v>
      </c>
      <c r="J61" s="216">
        <v>58.47</v>
      </c>
      <c r="K61" s="515">
        <f>IFERROR(__xludf.DUMMYFUNCTION("GOOGLEFINANCE(E61,""changepct"")"),-0.72)</f>
        <v>-0.72</v>
      </c>
      <c r="L61" s="517">
        <f>IFERROR(__xludf.DUMMYFUNCTION("googlefinance(E61,""price"")"),41.54)</f>
        <v>41.54</v>
      </c>
      <c r="M61" s="216"/>
      <c r="N61" s="517">
        <f t="shared" si="21"/>
        <v>-16.93</v>
      </c>
      <c r="O61" s="518">
        <f t="shared" si="22"/>
        <v>-0.2895501967</v>
      </c>
      <c r="P61" s="495">
        <f t="shared" si="23"/>
        <v>-16930</v>
      </c>
      <c r="Q61" s="195" t="s">
        <v>128</v>
      </c>
      <c r="R61" s="514"/>
      <c r="S61" s="519"/>
      <c r="T61" s="520"/>
      <c r="U61" s="521"/>
      <c r="V61" s="522"/>
      <c r="W61" s="523"/>
      <c r="X61" s="524"/>
      <c r="Y61" s="525"/>
      <c r="Z61" s="526"/>
    </row>
    <row r="62">
      <c r="A62" s="173"/>
      <c r="B62" s="13"/>
      <c r="C62" s="13"/>
      <c r="D62" s="13"/>
      <c r="E62" s="13"/>
      <c r="F62" s="13"/>
      <c r="G62" s="564"/>
      <c r="H62" s="509">
        <f t="shared" ref="H62:I62" si="24">SUM(H50:H61)</f>
        <v>760635.5</v>
      </c>
      <c r="I62" s="539" t="str">
        <f t="shared" si="24"/>
        <v>#N/A</v>
      </c>
      <c r="J62" s="506"/>
      <c r="K62" s="506"/>
      <c r="L62" s="506"/>
      <c r="M62" s="507"/>
      <c r="N62" s="507"/>
      <c r="O62" s="540">
        <f>P62/H62</f>
        <v>0.05349211285</v>
      </c>
      <c r="P62" s="625">
        <v>40688.0</v>
      </c>
      <c r="Q62" s="13"/>
      <c r="R62" s="509">
        <f>SUM(R50:R61)</f>
        <v>4002</v>
      </c>
      <c r="S62" s="510" t="s">
        <v>89</v>
      </c>
      <c r="T62" s="542"/>
      <c r="U62" s="543"/>
      <c r="V62" s="570">
        <f>SUM(V50:V61)</f>
        <v>0</v>
      </c>
      <c r="W62" s="510" t="s">
        <v>89</v>
      </c>
      <c r="X62" s="542"/>
      <c r="Y62" s="543"/>
      <c r="Z62" s="570">
        <f>SUM(Z50:Z61)</f>
        <v>139430</v>
      </c>
    </row>
    <row r="63">
      <c r="A63" s="173"/>
      <c r="B63" s="504" t="s">
        <v>614</v>
      </c>
      <c r="C63" s="13" t="s">
        <v>729</v>
      </c>
      <c r="D63" s="13" t="s">
        <v>3</v>
      </c>
      <c r="E63" s="13" t="s">
        <v>4</v>
      </c>
      <c r="F63" s="13" t="s">
        <v>5</v>
      </c>
      <c r="G63" s="504" t="s">
        <v>6</v>
      </c>
      <c r="H63" s="504" t="s">
        <v>230</v>
      </c>
      <c r="I63" s="649" t="s">
        <v>730</v>
      </c>
      <c r="J63" s="505" t="s">
        <v>731</v>
      </c>
      <c r="K63" s="506" t="s">
        <v>10</v>
      </c>
      <c r="L63" s="506" t="s">
        <v>11</v>
      </c>
      <c r="M63" s="507" t="s">
        <v>476</v>
      </c>
      <c r="N63" s="507" t="s">
        <v>13</v>
      </c>
      <c r="O63" s="504" t="s">
        <v>732</v>
      </c>
      <c r="P63" s="508" t="s">
        <v>15</v>
      </c>
      <c r="Q63" s="13" t="s">
        <v>16</v>
      </c>
      <c r="R63" s="13" t="s">
        <v>17</v>
      </c>
      <c r="S63" s="510" t="s">
        <v>21</v>
      </c>
      <c r="T63" s="510" t="s">
        <v>22</v>
      </c>
      <c r="U63" s="511" t="s">
        <v>23</v>
      </c>
      <c r="V63" s="511" t="s">
        <v>24</v>
      </c>
      <c r="W63" s="510" t="s">
        <v>25</v>
      </c>
      <c r="X63" s="510" t="s">
        <v>26</v>
      </c>
      <c r="Y63" s="510" t="s">
        <v>27</v>
      </c>
      <c r="Z63" s="510" t="s">
        <v>28</v>
      </c>
    </row>
    <row r="64">
      <c r="A64" s="565" t="s">
        <v>733</v>
      </c>
      <c r="B64" s="527">
        <f>I72/E128</f>
        <v>0.07236218746</v>
      </c>
      <c r="C64" s="512">
        <f>I64/E128</f>
        <v>0.01465593372</v>
      </c>
      <c r="D64" s="344" t="s">
        <v>539</v>
      </c>
      <c r="E64" s="344" t="s">
        <v>540</v>
      </c>
      <c r="F64" s="195">
        <v>7.3</v>
      </c>
      <c r="G64" s="513">
        <v>200.0</v>
      </c>
      <c r="H64" s="217">
        <f t="shared" ref="H64:H71" si="25">G64*J64</f>
        <v>65186</v>
      </c>
      <c r="I64" s="217">
        <f t="shared" ref="I64:I71" si="26">H64+P64</f>
        <v>114710</v>
      </c>
      <c r="J64" s="216">
        <v>325.93</v>
      </c>
      <c r="K64" s="568">
        <f>IFERROR(__xludf.DUMMYFUNCTION("GOOGLEFINANCE(E64,""changepct"")"),-0.46)</f>
        <v>-0.46</v>
      </c>
      <c r="L64" s="516">
        <f>IFERROR(__xludf.DUMMYFUNCTION("googlefinance(E64,""price"")"),573.55)</f>
        <v>573.55</v>
      </c>
      <c r="M64" s="216"/>
      <c r="N64" s="517">
        <f t="shared" ref="N64:N71" si="27">L64-J64</f>
        <v>247.62</v>
      </c>
      <c r="O64" s="518">
        <f t="shared" ref="O64:O71" si="28">L64/J64-1</f>
        <v>0.7597336851</v>
      </c>
      <c r="P64" s="495">
        <f t="shared" ref="P64:P71" si="29">H64*O64</f>
        <v>49524</v>
      </c>
      <c r="Q64" s="538">
        <v>0.0132</v>
      </c>
      <c r="R64" s="217">
        <v>250.0</v>
      </c>
      <c r="S64" s="519"/>
      <c r="T64" s="520"/>
      <c r="U64" s="521"/>
      <c r="V64" s="522"/>
      <c r="W64" s="523"/>
      <c r="X64" s="524"/>
      <c r="Y64" s="525"/>
      <c r="Z64" s="526"/>
    </row>
    <row r="65">
      <c r="A65" s="528"/>
      <c r="B65" s="528"/>
      <c r="C65" s="512">
        <f>I65/E128</f>
        <v>0.01070185965</v>
      </c>
      <c r="D65" s="344" t="s">
        <v>615</v>
      </c>
      <c r="E65" s="344" t="s">
        <v>616</v>
      </c>
      <c r="F65" s="195">
        <v>7.4</v>
      </c>
      <c r="G65" s="513">
        <v>350.0</v>
      </c>
      <c r="H65" s="217">
        <f t="shared" si="25"/>
        <v>53371.5</v>
      </c>
      <c r="I65" s="217">
        <f t="shared" si="26"/>
        <v>83762</v>
      </c>
      <c r="J65" s="216">
        <v>152.49</v>
      </c>
      <c r="K65" s="515">
        <f>IFERROR(__xludf.DUMMYFUNCTION("GOOGLEFINANCE(E65,""changepct"")"),-0.77)</f>
        <v>-0.77</v>
      </c>
      <c r="L65" s="517">
        <f>IFERROR(__xludf.DUMMYFUNCTION("googlefinance(E65,""price"")"),239.32)</f>
        <v>239.32</v>
      </c>
      <c r="M65" s="216"/>
      <c r="N65" s="517">
        <f t="shared" si="27"/>
        <v>86.83</v>
      </c>
      <c r="O65" s="518">
        <f t="shared" si="28"/>
        <v>0.5694143878</v>
      </c>
      <c r="P65" s="495">
        <f t="shared" si="29"/>
        <v>30390.5</v>
      </c>
      <c r="Q65" s="538">
        <v>0.0234</v>
      </c>
      <c r="R65" s="217">
        <v>318.0</v>
      </c>
      <c r="S65" s="519"/>
      <c r="T65" s="520"/>
      <c r="U65" s="521"/>
      <c r="V65" s="522"/>
      <c r="W65" s="523"/>
      <c r="X65" s="524"/>
      <c r="Y65" s="525"/>
      <c r="Z65" s="526"/>
    </row>
    <row r="66">
      <c r="A66" s="528"/>
      <c r="B66" s="528"/>
      <c r="C66" s="512">
        <f>I66/E128</f>
        <v>0.007194707868</v>
      </c>
      <c r="D66" s="104" t="s">
        <v>685</v>
      </c>
      <c r="E66" s="104" t="s">
        <v>686</v>
      </c>
      <c r="F66" s="195">
        <v>7.1</v>
      </c>
      <c r="G66" s="513">
        <v>800.0</v>
      </c>
      <c r="H66" s="217">
        <f t="shared" si="25"/>
        <v>58296</v>
      </c>
      <c r="I66" s="217">
        <f t="shared" si="26"/>
        <v>56312</v>
      </c>
      <c r="J66" s="216">
        <v>72.87</v>
      </c>
      <c r="K66" s="515">
        <f>IFERROR(__xludf.DUMMYFUNCTION("GOOGLEFINANCE(E66,""changepct"")"),-0.86)</f>
        <v>-0.86</v>
      </c>
      <c r="L66" s="517">
        <f>IFERROR(__xludf.DUMMYFUNCTION("googlefinance(E66,""price"")"),70.39)</f>
        <v>70.39</v>
      </c>
      <c r="M66" s="216"/>
      <c r="N66" s="517">
        <f t="shared" si="27"/>
        <v>-2.48</v>
      </c>
      <c r="O66" s="518">
        <f t="shared" si="28"/>
        <v>-0.03403320983</v>
      </c>
      <c r="P66" s="495">
        <f t="shared" si="29"/>
        <v>-1984</v>
      </c>
      <c r="Q66" s="538">
        <v>0.0288</v>
      </c>
      <c r="R66" s="217">
        <v>408.0</v>
      </c>
      <c r="S66" s="519"/>
      <c r="T66" s="520"/>
      <c r="U66" s="521"/>
      <c r="V66" s="522"/>
      <c r="W66" s="519"/>
      <c r="X66" s="520"/>
      <c r="Y66" s="521"/>
      <c r="Z66" s="522"/>
    </row>
    <row r="67">
      <c r="A67" s="528"/>
      <c r="B67" s="528"/>
      <c r="C67" s="512">
        <f>I67/E128</f>
        <v>0.002728742955</v>
      </c>
      <c r="D67" s="104" t="s">
        <v>541</v>
      </c>
      <c r="E67" s="104" t="s">
        <v>382</v>
      </c>
      <c r="F67" s="195">
        <v>7.5</v>
      </c>
      <c r="G67" s="513">
        <v>250.0</v>
      </c>
      <c r="H67" s="217">
        <f t="shared" si="25"/>
        <v>60717.5</v>
      </c>
      <c r="I67" s="217">
        <f t="shared" si="26"/>
        <v>21357.5</v>
      </c>
      <c r="J67" s="216">
        <v>242.87</v>
      </c>
      <c r="K67" s="515">
        <f>IFERROR(__xludf.DUMMYFUNCTION("GOOGLEFINANCE(E67,""changepct"")"),-1.65)</f>
        <v>-1.65</v>
      </c>
      <c r="L67" s="517">
        <f>IFERROR(__xludf.DUMMYFUNCTION("googlefinance(E67,""price"")"),85.43)</f>
        <v>85.43</v>
      </c>
      <c r="M67" s="216"/>
      <c r="N67" s="517">
        <f t="shared" si="27"/>
        <v>-157.44</v>
      </c>
      <c r="O67" s="518">
        <f t="shared" si="28"/>
        <v>-0.6482480339</v>
      </c>
      <c r="P67" s="495">
        <f t="shared" si="29"/>
        <v>-39360</v>
      </c>
      <c r="Q67" s="195" t="s">
        <v>128</v>
      </c>
      <c r="R67" s="514"/>
      <c r="S67" s="519"/>
      <c r="T67" s="520"/>
      <c r="U67" s="521"/>
      <c r="V67" s="522"/>
      <c r="W67" s="519"/>
      <c r="X67" s="520"/>
      <c r="Y67" s="521"/>
      <c r="Z67" s="522"/>
    </row>
    <row r="68">
      <c r="A68" s="528"/>
      <c r="B68" s="528"/>
      <c r="C68" s="512">
        <f>I68/E128</f>
        <v>0.009542135905</v>
      </c>
      <c r="D68" s="104" t="s">
        <v>766</v>
      </c>
      <c r="E68" s="104" t="s">
        <v>767</v>
      </c>
      <c r="F68" s="195">
        <v>7.5</v>
      </c>
      <c r="G68" s="513">
        <v>500.0</v>
      </c>
      <c r="H68" s="217">
        <f t="shared" si="25"/>
        <v>56090</v>
      </c>
      <c r="I68" s="217">
        <f t="shared" si="26"/>
        <v>74685</v>
      </c>
      <c r="J68" s="216">
        <v>112.18</v>
      </c>
      <c r="K68" s="515">
        <f>IFERROR(__xludf.DUMMYFUNCTION("GOOGLEFINANCE(E68,""changepct"")"),-0.63)</f>
        <v>-0.63</v>
      </c>
      <c r="L68" s="517">
        <f>IFERROR(__xludf.DUMMYFUNCTION("googlefinance(E68,""price"")"),149.37)</f>
        <v>149.37</v>
      </c>
      <c r="M68" s="517"/>
      <c r="N68" s="517">
        <f t="shared" si="27"/>
        <v>37.19</v>
      </c>
      <c r="O68" s="518">
        <f t="shared" si="28"/>
        <v>0.3315207702</v>
      </c>
      <c r="P68" s="495">
        <f t="shared" si="29"/>
        <v>18595</v>
      </c>
      <c r="Q68" s="538">
        <v>0.0111</v>
      </c>
      <c r="R68" s="217">
        <v>165.0</v>
      </c>
      <c r="S68" s="523"/>
      <c r="T68" s="524"/>
      <c r="U68" s="525"/>
      <c r="V68" s="526"/>
      <c r="W68" s="519"/>
      <c r="X68" s="520"/>
      <c r="Y68" s="521"/>
      <c r="Z68" s="522"/>
    </row>
    <row r="69">
      <c r="A69" s="528"/>
      <c r="B69" s="528"/>
      <c r="C69" s="512">
        <f>I69/E128</f>
        <v>0.007395362945</v>
      </c>
      <c r="D69" s="344" t="s">
        <v>768</v>
      </c>
      <c r="E69" s="344" t="s">
        <v>769</v>
      </c>
      <c r="F69" s="528">
        <v>7.2</v>
      </c>
      <c r="G69" s="513">
        <v>250.0</v>
      </c>
      <c r="H69" s="217">
        <f t="shared" si="25"/>
        <v>50962.5</v>
      </c>
      <c r="I69" s="217">
        <f t="shared" si="26"/>
        <v>57882.5</v>
      </c>
      <c r="J69" s="216">
        <v>203.85</v>
      </c>
      <c r="K69" s="515">
        <f>IFERROR(__xludf.DUMMYFUNCTION("GOOGLEFINANCE(E69,""changepct"")"),-0.84)</f>
        <v>-0.84</v>
      </c>
      <c r="L69" s="517">
        <f>IFERROR(__xludf.DUMMYFUNCTION("googlefinance(E69,""price"")"),231.53)</f>
        <v>231.53</v>
      </c>
      <c r="M69" s="517"/>
      <c r="N69" s="517">
        <f t="shared" si="27"/>
        <v>27.68</v>
      </c>
      <c r="O69" s="518">
        <f t="shared" si="28"/>
        <v>0.1357861172</v>
      </c>
      <c r="P69" s="495">
        <f t="shared" si="29"/>
        <v>6920</v>
      </c>
      <c r="Q69" s="538">
        <v>0.0169</v>
      </c>
      <c r="R69" s="217">
        <v>225.0</v>
      </c>
      <c r="S69" s="523"/>
      <c r="T69" s="524"/>
      <c r="U69" s="525"/>
      <c r="V69" s="526"/>
      <c r="W69" s="523"/>
      <c r="X69" s="524"/>
      <c r="Y69" s="525"/>
      <c r="Z69" s="526"/>
    </row>
    <row r="70">
      <c r="A70" s="528"/>
      <c r="B70" s="528"/>
      <c r="C70" s="512">
        <f>I70/E128</f>
        <v>0.0100714028</v>
      </c>
      <c r="D70" s="344" t="s">
        <v>664</v>
      </c>
      <c r="E70" s="344" t="s">
        <v>665</v>
      </c>
      <c r="F70" s="195">
        <v>7.4</v>
      </c>
      <c r="G70" s="513">
        <v>250.0</v>
      </c>
      <c r="H70" s="217">
        <f t="shared" si="25"/>
        <v>53062.5</v>
      </c>
      <c r="I70" s="217">
        <f t="shared" si="26"/>
        <v>78827.5</v>
      </c>
      <c r="J70" s="216">
        <v>212.25</v>
      </c>
      <c r="K70" s="515">
        <f>IFERROR(__xludf.DUMMYFUNCTION("GOOGLEFINANCE(E70,""changepct"")"),-1.05)</f>
        <v>-1.05</v>
      </c>
      <c r="L70" s="517">
        <f>IFERROR(__xludf.DUMMYFUNCTION("googlefinance(E70,""price"")"),315.31)</f>
        <v>315.31</v>
      </c>
      <c r="M70" s="216"/>
      <c r="N70" s="517">
        <f t="shared" si="27"/>
        <v>103.06</v>
      </c>
      <c r="O70" s="518">
        <f t="shared" si="28"/>
        <v>0.4855594817</v>
      </c>
      <c r="P70" s="495">
        <f t="shared" si="29"/>
        <v>25765</v>
      </c>
      <c r="Q70" s="538">
        <v>0.0054</v>
      </c>
      <c r="R70" s="217">
        <v>80.0</v>
      </c>
      <c r="S70" s="519"/>
      <c r="T70" s="520"/>
      <c r="U70" s="521"/>
      <c r="V70" s="522"/>
      <c r="W70" s="523"/>
      <c r="X70" s="524"/>
      <c r="Y70" s="525"/>
      <c r="Z70" s="526"/>
    </row>
    <row r="71">
      <c r="A71" s="528"/>
      <c r="B71" s="528"/>
      <c r="C71" s="512">
        <f>I71/E128</f>
        <v>0.01007204162</v>
      </c>
      <c r="D71" s="344" t="s">
        <v>770</v>
      </c>
      <c r="E71" s="344" t="s">
        <v>771</v>
      </c>
      <c r="F71" s="195">
        <v>7.3</v>
      </c>
      <c r="G71" s="513">
        <v>150.0</v>
      </c>
      <c r="H71" s="217">
        <f t="shared" si="25"/>
        <v>53461.5</v>
      </c>
      <c r="I71" s="217">
        <f t="shared" si="26"/>
        <v>78832.5</v>
      </c>
      <c r="J71" s="216">
        <v>356.41</v>
      </c>
      <c r="K71" s="515">
        <f>IFERROR(__xludf.DUMMYFUNCTION("GOOGLEFINANCE(E71,""changepct"")"),-1.25)</f>
        <v>-1.25</v>
      </c>
      <c r="L71" s="517">
        <f>IFERROR(__xludf.DUMMYFUNCTION("googlefinance(E71,""price"")"),525.55)</f>
        <v>525.55</v>
      </c>
      <c r="M71" s="216"/>
      <c r="N71" s="517">
        <f t="shared" si="27"/>
        <v>169.14</v>
      </c>
      <c r="O71" s="518">
        <f t="shared" si="28"/>
        <v>0.474565809</v>
      </c>
      <c r="P71" s="495">
        <f t="shared" si="29"/>
        <v>25371</v>
      </c>
      <c r="Q71" s="538">
        <v>0.0046</v>
      </c>
      <c r="R71" s="217">
        <v>65.0</v>
      </c>
      <c r="S71" s="519"/>
      <c r="T71" s="520"/>
      <c r="U71" s="521"/>
      <c r="V71" s="522"/>
      <c r="W71" s="523"/>
      <c r="X71" s="524"/>
      <c r="Y71" s="525"/>
      <c r="Z71" s="526"/>
    </row>
    <row r="72">
      <c r="A72" s="13"/>
      <c r="B72" s="13"/>
      <c r="C72" s="13"/>
      <c r="D72" s="13"/>
      <c r="E72" s="13"/>
      <c r="F72" s="13"/>
      <c r="G72" s="509"/>
      <c r="H72" s="509">
        <f t="shared" ref="H72:I72" si="30">SUM(H64:H71)</f>
        <v>451147.5</v>
      </c>
      <c r="I72" s="539">
        <f t="shared" si="30"/>
        <v>566369</v>
      </c>
      <c r="J72" s="506"/>
      <c r="K72" s="506"/>
      <c r="L72" s="506"/>
      <c r="M72" s="507"/>
      <c r="N72" s="507"/>
      <c r="O72" s="540">
        <f>P72/H72</f>
        <v>0.0809314027</v>
      </c>
      <c r="P72" s="625">
        <v>36512.0</v>
      </c>
      <c r="Q72" s="13"/>
      <c r="R72" s="509">
        <f>SUM(R64:R71)</f>
        <v>1511</v>
      </c>
      <c r="S72" s="510" t="s">
        <v>89</v>
      </c>
      <c r="T72" s="542"/>
      <c r="U72" s="543"/>
      <c r="V72" s="570">
        <f>SUM(V64:V71)</f>
        <v>0</v>
      </c>
      <c r="W72" s="510" t="s">
        <v>89</v>
      </c>
      <c r="X72" s="542"/>
      <c r="Y72" s="543"/>
      <c r="Z72" s="570">
        <f>SUM(Z64:Z71)</f>
        <v>0</v>
      </c>
    </row>
    <row r="73">
      <c r="A73" s="13" t="s">
        <v>772</v>
      </c>
      <c r="B73" s="504" t="s">
        <v>409</v>
      </c>
      <c r="C73" s="13" t="s">
        <v>729</v>
      </c>
      <c r="D73" s="13" t="s">
        <v>150</v>
      </c>
      <c r="E73" s="13" t="s">
        <v>4</v>
      </c>
      <c r="F73" s="13" t="s">
        <v>5</v>
      </c>
      <c r="G73" s="504" t="s">
        <v>6</v>
      </c>
      <c r="H73" s="504" t="s">
        <v>230</v>
      </c>
      <c r="I73" s="649" t="s">
        <v>730</v>
      </c>
      <c r="J73" s="505" t="s">
        <v>731</v>
      </c>
      <c r="K73" s="506" t="s">
        <v>10</v>
      </c>
      <c r="L73" s="506" t="s">
        <v>11</v>
      </c>
      <c r="M73" s="507" t="s">
        <v>476</v>
      </c>
      <c r="N73" s="507" t="s">
        <v>13</v>
      </c>
      <c r="O73" s="504" t="s">
        <v>732</v>
      </c>
      <c r="P73" s="508" t="s">
        <v>15</v>
      </c>
      <c r="Q73" s="13" t="s">
        <v>16</v>
      </c>
      <c r="R73" s="13" t="s">
        <v>17</v>
      </c>
      <c r="S73" s="510" t="s">
        <v>21</v>
      </c>
      <c r="T73" s="510" t="s">
        <v>22</v>
      </c>
      <c r="U73" s="511" t="s">
        <v>23</v>
      </c>
      <c r="V73" s="511" t="s">
        <v>24</v>
      </c>
      <c r="W73" s="510" t="s">
        <v>25</v>
      </c>
      <c r="X73" s="510" t="s">
        <v>26</v>
      </c>
      <c r="Y73" s="510" t="s">
        <v>27</v>
      </c>
      <c r="Z73" s="510" t="s">
        <v>28</v>
      </c>
    </row>
    <row r="74">
      <c r="A74" s="565" t="s">
        <v>733</v>
      </c>
      <c r="B74" s="650"/>
      <c r="C74" s="512" t="str">
        <f>I74/E128</f>
        <v>#N/A</v>
      </c>
      <c r="D74" s="344" t="s">
        <v>151</v>
      </c>
      <c r="E74" s="344" t="s">
        <v>152</v>
      </c>
      <c r="F74" s="528">
        <v>9.1</v>
      </c>
      <c r="G74" s="513">
        <v>100.0</v>
      </c>
      <c r="H74" s="217">
        <f t="shared" ref="H74:H98" si="31">G74*J74</f>
        <v>171390</v>
      </c>
      <c r="I74" s="514" t="str">
        <f t="shared" ref="I74:I77" si="32">H74+P74</f>
        <v>#N/A</v>
      </c>
      <c r="J74" s="216">
        <v>1713.9</v>
      </c>
      <c r="K74" s="594"/>
      <c r="L74" s="597" t="str">
        <f>IFERROR(__xludf.DUMMYFUNCTION("Index(ImportHTML(""https://www.apmex.com/spotprices/gold-price"",""table"",8),2,2)"),"#N/A")</f>
        <v>#N/A</v>
      </c>
      <c r="M74" s="517"/>
      <c r="N74" s="528" t="str">
        <f t="shared" ref="N74:N98" si="33">L74-J74</f>
        <v>#N/A</v>
      </c>
      <c r="O74" s="518" t="str">
        <f t="shared" ref="O74:O77" si="34">L74/J74-1</f>
        <v>#N/A</v>
      </c>
      <c r="P74" s="637" t="str">
        <f t="shared" ref="P74:P98" si="35">H74*O74</f>
        <v>#N/A</v>
      </c>
      <c r="Q74" s="195" t="s">
        <v>128</v>
      </c>
      <c r="R74" s="514"/>
      <c r="S74" s="524"/>
      <c r="T74" s="524"/>
      <c r="U74" s="525"/>
      <c r="V74" s="526"/>
      <c r="W74" s="523"/>
      <c r="X74" s="524"/>
      <c r="Y74" s="525"/>
      <c r="Z74" s="526"/>
    </row>
    <row r="75">
      <c r="A75" s="344" t="s">
        <v>153</v>
      </c>
      <c r="B75" s="596" t="str">
        <f>I74+I75</f>
        <v>#N/A</v>
      </c>
      <c r="C75" s="512" t="str">
        <f>I75/E128</f>
        <v>#N/A</v>
      </c>
      <c r="D75" s="344" t="s">
        <v>154</v>
      </c>
      <c r="E75" s="344" t="s">
        <v>155</v>
      </c>
      <c r="F75" s="528">
        <v>9.2</v>
      </c>
      <c r="G75" s="513">
        <v>5000.0</v>
      </c>
      <c r="H75" s="217">
        <f t="shared" si="31"/>
        <v>121500</v>
      </c>
      <c r="I75" s="514" t="str">
        <f t="shared" si="32"/>
        <v>#N/A</v>
      </c>
      <c r="J75" s="216">
        <v>24.3</v>
      </c>
      <c r="K75" s="594"/>
      <c r="L75" s="597" t="str">
        <f>IFERROR(__xludf.DUMMYFUNCTION("Index(ImportHTML(""https://www.apmex.com/spotprices/silver-price"",""table"",8),2,2)"),"#N/A")</f>
        <v>#N/A</v>
      </c>
      <c r="M75" s="517"/>
      <c r="N75" s="528" t="str">
        <f t="shared" si="33"/>
        <v>#N/A</v>
      </c>
      <c r="O75" s="518" t="str">
        <f t="shared" si="34"/>
        <v>#N/A</v>
      </c>
      <c r="P75" s="528" t="str">
        <f t="shared" si="35"/>
        <v>#N/A</v>
      </c>
      <c r="Q75" s="195" t="s">
        <v>128</v>
      </c>
      <c r="R75" s="514"/>
      <c r="S75" s="524"/>
      <c r="T75" s="524"/>
      <c r="U75" s="525"/>
      <c r="V75" s="526"/>
      <c r="W75" s="523"/>
      <c r="X75" s="524"/>
      <c r="Y75" s="525"/>
      <c r="Z75" s="526"/>
    </row>
    <row r="76">
      <c r="A76" s="344" t="s">
        <v>156</v>
      </c>
      <c r="B76" s="598" t="str">
        <f>B75/E128</f>
        <v>#N/A</v>
      </c>
      <c r="C76" s="512">
        <f>I76/E128</f>
        <v>0.01013049415</v>
      </c>
      <c r="D76" s="344" t="s">
        <v>773</v>
      </c>
      <c r="E76" s="344" t="s">
        <v>774</v>
      </c>
      <c r="F76" s="528">
        <v>9.1</v>
      </c>
      <c r="G76" s="513">
        <v>3000.0</v>
      </c>
      <c r="H76" s="217">
        <f t="shared" si="31"/>
        <v>67950</v>
      </c>
      <c r="I76" s="514">
        <f t="shared" si="32"/>
        <v>79290</v>
      </c>
      <c r="J76" s="216">
        <v>22.65</v>
      </c>
      <c r="K76" s="568">
        <f>IFERROR(__xludf.DUMMYFUNCTION("GOOGLEFINANCE(E76,""changepct"")"),-1.23)</f>
        <v>-1.23</v>
      </c>
      <c r="L76" s="516">
        <f>IFERROR(__xludf.DUMMYFUNCTION("googlefinance(E76,""price"")"),26.43)</f>
        <v>26.43</v>
      </c>
      <c r="M76" s="517"/>
      <c r="N76" s="517">
        <f t="shared" si="33"/>
        <v>3.78</v>
      </c>
      <c r="O76" s="518">
        <f t="shared" si="34"/>
        <v>0.1668874172</v>
      </c>
      <c r="P76" s="514">
        <f t="shared" si="35"/>
        <v>11340</v>
      </c>
      <c r="Q76" s="195" t="s">
        <v>128</v>
      </c>
      <c r="R76" s="514"/>
      <c r="S76" s="524"/>
      <c r="T76" s="524"/>
      <c r="U76" s="525"/>
      <c r="V76" s="526"/>
      <c r="W76" s="523"/>
      <c r="X76" s="524"/>
      <c r="Y76" s="525"/>
      <c r="Z76" s="526"/>
    </row>
    <row r="77">
      <c r="A77" s="344" t="s">
        <v>159</v>
      </c>
      <c r="B77" s="596" t="str">
        <f>I76+I77+I78+I79+I80+I81+I83+I85+I86+I88+I90+I92+I93+I94+I95+I96+I97+I98+I82+I84+I87+I89+I91</f>
        <v>#N/A</v>
      </c>
      <c r="C77" s="512">
        <f>I77/E128</f>
        <v>0.01510119506</v>
      </c>
      <c r="D77" s="344" t="s">
        <v>570</v>
      </c>
      <c r="E77" s="344" t="s">
        <v>158</v>
      </c>
      <c r="F77" s="528">
        <v>8.9</v>
      </c>
      <c r="G77" s="513">
        <v>3500.0</v>
      </c>
      <c r="H77" s="217">
        <f t="shared" si="31"/>
        <v>113785</v>
      </c>
      <c r="I77" s="514">
        <f t="shared" si="32"/>
        <v>118195</v>
      </c>
      <c r="J77" s="216">
        <v>32.51</v>
      </c>
      <c r="K77" s="568">
        <f>IFERROR(__xludf.DUMMYFUNCTION("GOOGLEFINANCE(E77,""changepct"")"),-1.43)</f>
        <v>-1.43</v>
      </c>
      <c r="L77" s="516">
        <f>IFERROR(__xludf.DUMMYFUNCTION("googlefinance(E77,""price"")"),33.77)</f>
        <v>33.77</v>
      </c>
      <c r="M77" s="517"/>
      <c r="N77" s="517">
        <f t="shared" si="33"/>
        <v>1.26</v>
      </c>
      <c r="O77" s="518">
        <f t="shared" si="34"/>
        <v>0.03875730544</v>
      </c>
      <c r="P77" s="514">
        <f t="shared" si="35"/>
        <v>4410</v>
      </c>
      <c r="Q77" s="538">
        <v>0.0054</v>
      </c>
      <c r="R77" s="217">
        <v>161.0</v>
      </c>
      <c r="S77" s="524"/>
      <c r="T77" s="524"/>
      <c r="U77" s="525"/>
      <c r="V77" s="526"/>
      <c r="W77" s="523"/>
      <c r="X77" s="524"/>
      <c r="Y77" s="525"/>
      <c r="Z77" s="526"/>
    </row>
    <row r="78">
      <c r="A78" s="344" t="s">
        <v>708</v>
      </c>
      <c r="B78" s="598" t="str">
        <f>B77/E128</f>
        <v>#N/A</v>
      </c>
      <c r="C78" s="512">
        <f>I78/E128</f>
        <v>0</v>
      </c>
      <c r="D78" s="344" t="s">
        <v>160</v>
      </c>
      <c r="E78" s="344" t="s">
        <v>161</v>
      </c>
      <c r="F78" s="528">
        <v>9.0</v>
      </c>
      <c r="G78" s="513">
        <v>2500.0</v>
      </c>
      <c r="H78" s="217">
        <f t="shared" si="31"/>
        <v>112500</v>
      </c>
      <c r="I78" s="217">
        <v>0.0</v>
      </c>
      <c r="J78" s="216">
        <v>45.0</v>
      </c>
      <c r="K78" s="568">
        <f>IFERROR(__xludf.DUMMYFUNCTION("GOOGLEFINANCE(E78,""changepct"")"),-1.7)</f>
        <v>-1.7</v>
      </c>
      <c r="L78" s="516">
        <f>IFERROR(__xludf.DUMMYFUNCTION("googlefinance(E78,""price"")"),42.32)</f>
        <v>42.32</v>
      </c>
      <c r="M78" s="216">
        <v>53.7</v>
      </c>
      <c r="N78" s="517">
        <f t="shared" si="33"/>
        <v>-2.68</v>
      </c>
      <c r="O78" s="518">
        <f>M78/J78-1</f>
        <v>0.1933333333</v>
      </c>
      <c r="P78" s="514">
        <f t="shared" si="35"/>
        <v>21750</v>
      </c>
      <c r="Q78" s="538">
        <v>0.018</v>
      </c>
      <c r="R78" s="217">
        <v>506.0</v>
      </c>
      <c r="S78" s="524"/>
      <c r="T78" s="520">
        <v>44350.0</v>
      </c>
      <c r="U78" s="521">
        <v>53.7</v>
      </c>
      <c r="V78" s="522">
        <v>134250.0</v>
      </c>
      <c r="W78" s="523"/>
      <c r="X78" s="524"/>
      <c r="Y78" s="525"/>
      <c r="Z78" s="526"/>
    </row>
    <row r="79">
      <c r="A79" s="344" t="s">
        <v>775</v>
      </c>
      <c r="B79" s="596" t="str">
        <f>B75+B77</f>
        <v>#N/A</v>
      </c>
      <c r="C79" s="512">
        <f>I79/E128</f>
        <v>0.02308715215</v>
      </c>
      <c r="D79" s="344" t="s">
        <v>776</v>
      </c>
      <c r="E79" s="344" t="s">
        <v>548</v>
      </c>
      <c r="F79" s="528">
        <v>8.2</v>
      </c>
      <c r="G79" s="513">
        <v>10000.0</v>
      </c>
      <c r="H79" s="217">
        <f t="shared" si="31"/>
        <v>78100</v>
      </c>
      <c r="I79" s="514">
        <f t="shared" ref="I79:I82" si="36">H79+P79</f>
        <v>180700</v>
      </c>
      <c r="J79" s="216">
        <v>7.81</v>
      </c>
      <c r="K79" s="568">
        <f>IFERROR(__xludf.DUMMYFUNCTION("GOOGLEFINANCE(E79,""changepct"")"),-1.53)</f>
        <v>-1.53</v>
      </c>
      <c r="L79" s="516">
        <f>IFERROR(__xludf.DUMMYFUNCTION("googlefinance(E79,""price"")"),18.07)</f>
        <v>18.07</v>
      </c>
      <c r="M79" s="517"/>
      <c r="N79" s="517">
        <f t="shared" si="33"/>
        <v>10.26</v>
      </c>
      <c r="O79" s="518">
        <f t="shared" ref="O79:O82" si="37">L79/J79-1</f>
        <v>1.313700384</v>
      </c>
      <c r="P79" s="514">
        <f t="shared" si="35"/>
        <v>102600</v>
      </c>
      <c r="Q79" s="538">
        <v>0.0131</v>
      </c>
      <c r="R79" s="217">
        <v>251.0</v>
      </c>
      <c r="S79" s="524"/>
      <c r="T79" s="524"/>
      <c r="U79" s="525"/>
      <c r="V79" s="526"/>
      <c r="W79" s="523"/>
      <c r="X79" s="524"/>
      <c r="Y79" s="525"/>
      <c r="Z79" s="526"/>
    </row>
    <row r="80">
      <c r="A80" s="344" t="s">
        <v>777</v>
      </c>
      <c r="B80" s="598" t="str">
        <f>B79/E128</f>
        <v>#N/A</v>
      </c>
      <c r="C80" s="512" t="str">
        <f>I80/E128</f>
        <v>#N/A</v>
      </c>
      <c r="D80" s="344" t="s">
        <v>709</v>
      </c>
      <c r="E80" s="344" t="s">
        <v>710</v>
      </c>
      <c r="F80" s="528">
        <v>8.7</v>
      </c>
      <c r="G80" s="513">
        <v>2500.0</v>
      </c>
      <c r="H80" s="217">
        <f t="shared" si="31"/>
        <v>84425</v>
      </c>
      <c r="I80" s="514" t="str">
        <f t="shared" si="36"/>
        <v>#N/A</v>
      </c>
      <c r="J80" s="216">
        <v>33.77</v>
      </c>
      <c r="K80" s="568" t="str">
        <f>IFERROR(__xludf.DUMMYFUNCTION("GOOGLEFINANCE(E80,""changepct"")"),"#N/A")</f>
        <v>#N/A</v>
      </c>
      <c r="L80" s="516" t="str">
        <f>IFERROR(__xludf.DUMMYFUNCTION("googlefinance(E80,""price"")"),"#N/A")</f>
        <v>#N/A</v>
      </c>
      <c r="M80" s="517"/>
      <c r="N80" s="528" t="str">
        <f t="shared" si="33"/>
        <v>#N/A</v>
      </c>
      <c r="O80" s="518" t="str">
        <f t="shared" si="37"/>
        <v>#N/A</v>
      </c>
      <c r="P80" s="528" t="str">
        <f t="shared" si="35"/>
        <v>#N/A</v>
      </c>
      <c r="Q80" s="538">
        <v>0.0195</v>
      </c>
      <c r="R80" s="217">
        <v>481.0</v>
      </c>
      <c r="S80" s="524"/>
      <c r="T80" s="524"/>
      <c r="U80" s="525"/>
      <c r="V80" s="526"/>
      <c r="W80" s="523"/>
      <c r="X80" s="524"/>
      <c r="Y80" s="525"/>
      <c r="Z80" s="526"/>
    </row>
    <row r="81">
      <c r="A81" s="528"/>
      <c r="B81" s="528"/>
      <c r="C81" s="512">
        <f>I81/E128</f>
        <v>0.008509155135</v>
      </c>
      <c r="D81" s="344" t="s">
        <v>506</v>
      </c>
      <c r="E81" s="344" t="s">
        <v>169</v>
      </c>
      <c r="F81" s="528">
        <v>8.8</v>
      </c>
      <c r="G81" s="513">
        <v>1800.0</v>
      </c>
      <c r="H81" s="217">
        <f t="shared" si="31"/>
        <v>108846</v>
      </c>
      <c r="I81" s="514">
        <f t="shared" si="36"/>
        <v>66600</v>
      </c>
      <c r="J81" s="216">
        <v>60.47</v>
      </c>
      <c r="K81" s="568">
        <f>IFERROR(__xludf.DUMMYFUNCTION("GOOGLEFINANCE(E81,""changepct"")"),-2.22)</f>
        <v>-2.22</v>
      </c>
      <c r="L81" s="516">
        <f>IFERROR(__xludf.DUMMYFUNCTION("googlefinance(E81,""price"")"),37.0)</f>
        <v>37</v>
      </c>
      <c r="M81" s="517"/>
      <c r="N81" s="517">
        <f t="shared" si="33"/>
        <v>-23.47</v>
      </c>
      <c r="O81" s="518">
        <f t="shared" si="37"/>
        <v>-0.3881263436</v>
      </c>
      <c r="P81" s="514">
        <f t="shared" si="35"/>
        <v>-42246</v>
      </c>
      <c r="Q81" s="538">
        <v>0.0352</v>
      </c>
      <c r="R81" s="217">
        <v>992.0</v>
      </c>
      <c r="S81" s="524"/>
      <c r="T81" s="524"/>
      <c r="U81" s="525"/>
      <c r="V81" s="526"/>
      <c r="W81" s="523"/>
      <c r="X81" s="524"/>
      <c r="Y81" s="525"/>
      <c r="Z81" s="526"/>
    </row>
    <row r="82">
      <c r="A82" s="528"/>
      <c r="B82" s="528"/>
      <c r="C82" s="512">
        <f>I82/E128</f>
        <v>0.008888617459</v>
      </c>
      <c r="D82" s="104" t="s">
        <v>571</v>
      </c>
      <c r="E82" s="104" t="s">
        <v>172</v>
      </c>
      <c r="F82" s="195">
        <v>8.3</v>
      </c>
      <c r="G82" s="513">
        <v>4500.0</v>
      </c>
      <c r="H82" s="217">
        <f t="shared" si="31"/>
        <v>97650</v>
      </c>
      <c r="I82" s="514">
        <f t="shared" si="36"/>
        <v>69570</v>
      </c>
      <c r="J82" s="216">
        <v>21.7</v>
      </c>
      <c r="K82" s="568">
        <f>IFERROR(__xludf.DUMMYFUNCTION("GOOGLEFINANCE(E82,""changepct"")"),-1.4)</f>
        <v>-1.4</v>
      </c>
      <c r="L82" s="516">
        <f>IFERROR(__xludf.DUMMYFUNCTION("googlefinance(E82,""price"")"),15.46)</f>
        <v>15.46</v>
      </c>
      <c r="M82" s="216"/>
      <c r="N82" s="517">
        <f t="shared" si="33"/>
        <v>-6.24</v>
      </c>
      <c r="O82" s="518">
        <f t="shared" si="37"/>
        <v>-0.2875576037</v>
      </c>
      <c r="P82" s="514">
        <f t="shared" si="35"/>
        <v>-28080</v>
      </c>
      <c r="Q82" s="538">
        <v>0.0441</v>
      </c>
      <c r="R82" s="217">
        <v>1026.0</v>
      </c>
      <c r="S82" s="524"/>
      <c r="T82" s="520"/>
      <c r="U82" s="638"/>
      <c r="V82" s="522"/>
      <c r="W82" s="519" t="s">
        <v>172</v>
      </c>
      <c r="X82" s="520">
        <v>44364.0</v>
      </c>
      <c r="Y82" s="521">
        <v>21.7</v>
      </c>
      <c r="Z82" s="522">
        <v>97650.0</v>
      </c>
    </row>
    <row r="83">
      <c r="A83" s="528"/>
      <c r="B83" s="528"/>
      <c r="C83" s="512">
        <f>I83/E128</f>
        <v>0</v>
      </c>
      <c r="D83" s="104" t="s">
        <v>571</v>
      </c>
      <c r="E83" s="104" t="s">
        <v>172</v>
      </c>
      <c r="F83" s="195">
        <v>8.3</v>
      </c>
      <c r="G83" s="513">
        <v>5000.0</v>
      </c>
      <c r="H83" s="217">
        <f t="shared" si="31"/>
        <v>99000</v>
      </c>
      <c r="I83" s="217">
        <v>0.0</v>
      </c>
      <c r="J83" s="216">
        <v>19.8</v>
      </c>
      <c r="K83" s="568">
        <f>IFERROR(__xludf.DUMMYFUNCTION("GOOGLEFINANCE(E83,""changepct"")"),-1.4)</f>
        <v>-1.4</v>
      </c>
      <c r="L83" s="516">
        <f>IFERROR(__xludf.DUMMYFUNCTION("googlefinance(E83,""price"")"),15.46)</f>
        <v>15.46</v>
      </c>
      <c r="M83" s="216">
        <v>23.74</v>
      </c>
      <c r="N83" s="517">
        <f t="shared" si="33"/>
        <v>-4.34</v>
      </c>
      <c r="O83" s="518">
        <f>M83/J83-1</f>
        <v>0.198989899</v>
      </c>
      <c r="P83" s="514">
        <f t="shared" si="35"/>
        <v>19700</v>
      </c>
      <c r="Q83" s="538">
        <v>0.0441</v>
      </c>
      <c r="R83" s="514"/>
      <c r="S83" s="524"/>
      <c r="T83" s="520">
        <v>44350.0</v>
      </c>
      <c r="U83" s="638">
        <v>23.74</v>
      </c>
      <c r="V83" s="522">
        <v>118700.0</v>
      </c>
      <c r="W83" s="519"/>
      <c r="X83" s="520"/>
      <c r="Y83" s="521"/>
      <c r="Z83" s="522"/>
    </row>
    <row r="84">
      <c r="A84" s="528"/>
      <c r="B84" s="528"/>
      <c r="C84" s="512">
        <f>I84/E128</f>
        <v>0.0162210561</v>
      </c>
      <c r="D84" s="344" t="s">
        <v>160</v>
      </c>
      <c r="E84" s="344" t="s">
        <v>161</v>
      </c>
      <c r="F84" s="528">
        <v>9.0</v>
      </c>
      <c r="G84" s="513">
        <v>3000.0</v>
      </c>
      <c r="H84" s="217">
        <f t="shared" si="31"/>
        <v>148110</v>
      </c>
      <c r="I84" s="514">
        <f t="shared" ref="I84:I85" si="38">H84+P84</f>
        <v>126960</v>
      </c>
      <c r="J84" s="216">
        <v>49.37</v>
      </c>
      <c r="K84" s="568">
        <f>IFERROR(__xludf.DUMMYFUNCTION("GOOGLEFINANCE(E84,""changepct"")"),-1.7)</f>
        <v>-1.7</v>
      </c>
      <c r="L84" s="516">
        <f>IFERROR(__xludf.DUMMYFUNCTION("googlefinance(E84,""price"")"),42.32)</f>
        <v>42.32</v>
      </c>
      <c r="M84" s="517"/>
      <c r="N84" s="517">
        <f t="shared" si="33"/>
        <v>-7.05</v>
      </c>
      <c r="O84" s="518">
        <f t="shared" ref="O84:O85" si="39">L84/J84-1</f>
        <v>-0.1427992708</v>
      </c>
      <c r="P84" s="514">
        <f t="shared" si="35"/>
        <v>-21150</v>
      </c>
      <c r="Q84" s="538">
        <v>0.018</v>
      </c>
      <c r="R84" s="514"/>
      <c r="S84" s="524"/>
      <c r="T84" s="524"/>
      <c r="U84" s="525"/>
      <c r="V84" s="526"/>
      <c r="W84" s="519" t="s">
        <v>161</v>
      </c>
      <c r="X84" s="520">
        <v>44364.0</v>
      </c>
      <c r="Y84" s="521">
        <v>49.37</v>
      </c>
      <c r="Z84" s="522">
        <v>148110.0</v>
      </c>
    </row>
    <row r="85">
      <c r="A85" s="528"/>
      <c r="B85" s="528"/>
      <c r="C85" s="512">
        <f>I85/E128</f>
        <v>0.01674361532</v>
      </c>
      <c r="D85" s="104" t="s">
        <v>778</v>
      </c>
      <c r="E85" s="104" t="s">
        <v>779</v>
      </c>
      <c r="F85" s="195">
        <v>8.1</v>
      </c>
      <c r="G85" s="513">
        <v>1000.0</v>
      </c>
      <c r="H85" s="217">
        <f t="shared" si="31"/>
        <v>107600</v>
      </c>
      <c r="I85" s="514">
        <f t="shared" si="38"/>
        <v>131050</v>
      </c>
      <c r="J85" s="216">
        <v>107.6</v>
      </c>
      <c r="K85" s="568">
        <f>IFERROR(__xludf.DUMMYFUNCTION("GOOGLEFINANCE(E85,""changepct"")"),-2.08)</f>
        <v>-2.08</v>
      </c>
      <c r="L85" s="516">
        <f>IFERROR(__xludf.DUMMYFUNCTION("googlefinance(E85,""price"")"),131.05)</f>
        <v>131.05</v>
      </c>
      <c r="M85" s="517"/>
      <c r="N85" s="517">
        <f t="shared" si="33"/>
        <v>23.45</v>
      </c>
      <c r="O85" s="518">
        <f t="shared" si="39"/>
        <v>0.217936803</v>
      </c>
      <c r="P85" s="514">
        <f t="shared" si="35"/>
        <v>23450</v>
      </c>
      <c r="Q85" s="538">
        <v>0.0107</v>
      </c>
      <c r="R85" s="217">
        <v>305.0</v>
      </c>
      <c r="S85" s="524"/>
      <c r="T85" s="524"/>
      <c r="U85" s="525"/>
      <c r="V85" s="526"/>
      <c r="W85" s="519"/>
      <c r="X85" s="520"/>
      <c r="Y85" s="521"/>
      <c r="Z85" s="522"/>
    </row>
    <row r="86">
      <c r="A86" s="528"/>
      <c r="B86" s="528"/>
      <c r="C86" s="512">
        <f>I86/E128</f>
        <v>0</v>
      </c>
      <c r="D86" s="104" t="s">
        <v>177</v>
      </c>
      <c r="E86" s="104" t="s">
        <v>178</v>
      </c>
      <c r="F86" s="195">
        <v>8.5</v>
      </c>
      <c r="G86" s="513">
        <v>20000.0</v>
      </c>
      <c r="H86" s="217">
        <f t="shared" si="31"/>
        <v>86400</v>
      </c>
      <c r="I86" s="217">
        <v>0.0</v>
      </c>
      <c r="J86" s="216">
        <v>4.32</v>
      </c>
      <c r="K86" s="568">
        <f>IFERROR(__xludf.DUMMYFUNCTION("GOOGLEFINANCE(E86,""changepct"")"),-2.02)</f>
        <v>-2.02</v>
      </c>
      <c r="L86" s="516">
        <f>IFERROR(__xludf.DUMMYFUNCTION("googlefinance(E86,""price"")"),2.42)</f>
        <v>2.42</v>
      </c>
      <c r="M86" s="216">
        <v>5.05</v>
      </c>
      <c r="N86" s="517">
        <f t="shared" si="33"/>
        <v>-1.9</v>
      </c>
      <c r="O86" s="518">
        <f>M86/J86-1</f>
        <v>0.1689814815</v>
      </c>
      <c r="P86" s="514">
        <f t="shared" si="35"/>
        <v>14600</v>
      </c>
      <c r="Q86" s="538">
        <v>0.0382</v>
      </c>
      <c r="R86" s="217">
        <v>965.0</v>
      </c>
      <c r="S86" s="524"/>
      <c r="T86" s="520">
        <v>44350.0</v>
      </c>
      <c r="U86" s="521">
        <v>5.05</v>
      </c>
      <c r="V86" s="522">
        <v>101000.0</v>
      </c>
      <c r="W86" s="519"/>
      <c r="X86" s="520"/>
      <c r="Y86" s="521"/>
      <c r="Z86" s="522"/>
    </row>
    <row r="87">
      <c r="A87" s="528"/>
      <c r="B87" s="528"/>
      <c r="C87" s="512">
        <f>I87/E128</f>
        <v>0.01171605895</v>
      </c>
      <c r="D87" s="344" t="s">
        <v>166</v>
      </c>
      <c r="E87" s="344" t="s">
        <v>167</v>
      </c>
      <c r="F87" s="528">
        <v>8.9</v>
      </c>
      <c r="G87" s="513">
        <v>10000.0</v>
      </c>
      <c r="H87" s="217">
        <f t="shared" si="31"/>
        <v>68400</v>
      </c>
      <c r="I87" s="514">
        <f t="shared" ref="I87:I89" si="40">H87+P87</f>
        <v>91700</v>
      </c>
      <c r="J87" s="216">
        <v>6.84</v>
      </c>
      <c r="K87" s="568">
        <f>IFERROR(__xludf.DUMMYFUNCTION("GOOGLEFINANCE(E87,""changepct"")"),-1.5)</f>
        <v>-1.5</v>
      </c>
      <c r="L87" s="516">
        <f>IFERROR(__xludf.DUMMYFUNCTION("googlefinance(E87,""price"")"),9.17)</f>
        <v>9.17</v>
      </c>
      <c r="M87" s="517"/>
      <c r="N87" s="517">
        <f t="shared" si="33"/>
        <v>2.33</v>
      </c>
      <c r="O87" s="518">
        <f t="shared" ref="O87:O89" si="41">L87/J87-1</f>
        <v>0.3406432749</v>
      </c>
      <c r="P87" s="514">
        <f t="shared" si="35"/>
        <v>23300</v>
      </c>
      <c r="Q87" s="538">
        <v>0.019</v>
      </c>
      <c r="R87" s="217">
        <v>303.0</v>
      </c>
      <c r="S87" s="524"/>
      <c r="T87" s="524"/>
      <c r="U87" s="525"/>
      <c r="V87" s="526"/>
      <c r="W87" s="519" t="s">
        <v>167</v>
      </c>
      <c r="X87" s="520">
        <v>44364.0</v>
      </c>
      <c r="Y87" s="521">
        <v>6.84</v>
      </c>
      <c r="Z87" s="522">
        <v>68400.0</v>
      </c>
    </row>
    <row r="88">
      <c r="A88" s="528"/>
      <c r="B88" s="528"/>
      <c r="C88" s="512">
        <f>I88/E128</f>
        <v>0.01757408842</v>
      </c>
      <c r="D88" s="344" t="s">
        <v>166</v>
      </c>
      <c r="E88" s="344" t="s">
        <v>167</v>
      </c>
      <c r="F88" s="528">
        <v>8.9</v>
      </c>
      <c r="G88" s="513">
        <v>15000.0</v>
      </c>
      <c r="H88" s="217">
        <f t="shared" si="31"/>
        <v>100200</v>
      </c>
      <c r="I88" s="514">
        <f t="shared" si="40"/>
        <v>137550</v>
      </c>
      <c r="J88" s="216">
        <v>6.68</v>
      </c>
      <c r="K88" s="568">
        <f>IFERROR(__xludf.DUMMYFUNCTION("GOOGLEFINANCE(E88,""changepct"")"),-1.5)</f>
        <v>-1.5</v>
      </c>
      <c r="L88" s="516">
        <f>IFERROR(__xludf.DUMMYFUNCTION("googlefinance(E88,""price"")"),9.17)</f>
        <v>9.17</v>
      </c>
      <c r="M88" s="517"/>
      <c r="N88" s="517">
        <f t="shared" si="33"/>
        <v>2.49</v>
      </c>
      <c r="O88" s="518">
        <f t="shared" si="41"/>
        <v>0.372754491</v>
      </c>
      <c r="P88" s="514">
        <f t="shared" si="35"/>
        <v>37350</v>
      </c>
      <c r="Q88" s="538">
        <v>0.019</v>
      </c>
      <c r="R88" s="217">
        <v>454.0</v>
      </c>
      <c r="S88" s="524"/>
      <c r="T88" s="524"/>
      <c r="U88" s="525"/>
      <c r="V88" s="526"/>
      <c r="W88" s="523"/>
      <c r="X88" s="524"/>
      <c r="Y88" s="525"/>
      <c r="Z88" s="526"/>
    </row>
    <row r="89">
      <c r="A89" s="528"/>
      <c r="B89" s="528"/>
      <c r="C89" s="512">
        <f>I89/E128</f>
        <v>0.0134511089</v>
      </c>
      <c r="D89" s="344" t="s">
        <v>780</v>
      </c>
      <c r="E89" s="344" t="s">
        <v>688</v>
      </c>
      <c r="F89" s="528">
        <v>8.9</v>
      </c>
      <c r="G89" s="513">
        <v>8000.0</v>
      </c>
      <c r="H89" s="217">
        <f t="shared" si="31"/>
        <v>75600</v>
      </c>
      <c r="I89" s="514">
        <f t="shared" si="40"/>
        <v>105280</v>
      </c>
      <c r="J89" s="216">
        <v>9.45</v>
      </c>
      <c r="K89" s="568">
        <f>IFERROR(__xludf.DUMMYFUNCTION("GOOGLEFINANCE(E89,""changepct"")"),-1.72)</f>
        <v>-1.72</v>
      </c>
      <c r="L89" s="516">
        <f>IFERROR(__xludf.DUMMYFUNCTION("googlefinance(E89,""price"")"),13.16)</f>
        <v>13.16</v>
      </c>
      <c r="M89" s="216"/>
      <c r="N89" s="517">
        <f t="shared" si="33"/>
        <v>3.71</v>
      </c>
      <c r="O89" s="518">
        <f t="shared" si="41"/>
        <v>0.3925925926</v>
      </c>
      <c r="P89" s="514">
        <f t="shared" si="35"/>
        <v>29680</v>
      </c>
      <c r="Q89" s="538">
        <v>0.0341</v>
      </c>
      <c r="R89" s="217">
        <v>607.0</v>
      </c>
      <c r="S89" s="524"/>
      <c r="T89" s="520"/>
      <c r="U89" s="521"/>
      <c r="V89" s="522"/>
      <c r="W89" s="519" t="s">
        <v>688</v>
      </c>
      <c r="X89" s="520">
        <v>44364.0</v>
      </c>
      <c r="Y89" s="521">
        <v>9.45</v>
      </c>
      <c r="Z89" s="522">
        <v>75600.0</v>
      </c>
    </row>
    <row r="90">
      <c r="A90" s="528"/>
      <c r="B90" s="528"/>
      <c r="C90" s="512">
        <f>I90/E128</f>
        <v>0</v>
      </c>
      <c r="D90" s="344" t="s">
        <v>780</v>
      </c>
      <c r="E90" s="344" t="s">
        <v>688</v>
      </c>
      <c r="F90" s="528">
        <v>8.9</v>
      </c>
      <c r="G90" s="513">
        <v>8000.0</v>
      </c>
      <c r="H90" s="217">
        <f t="shared" si="31"/>
        <v>75920</v>
      </c>
      <c r="I90" s="217">
        <v>0.0</v>
      </c>
      <c r="J90" s="216">
        <v>9.49</v>
      </c>
      <c r="K90" s="568">
        <f>IFERROR(__xludf.DUMMYFUNCTION("GOOGLEFINANCE(E90,""changepct"")"),-1.72)</f>
        <v>-1.72</v>
      </c>
      <c r="L90" s="516">
        <f>IFERROR(__xludf.DUMMYFUNCTION("googlefinance(E90,""price"")"),13.16)</f>
        <v>13.16</v>
      </c>
      <c r="M90" s="216">
        <v>11.71</v>
      </c>
      <c r="N90" s="517">
        <f t="shared" si="33"/>
        <v>3.67</v>
      </c>
      <c r="O90" s="518">
        <f>M90/J90-1</f>
        <v>0.2339304531</v>
      </c>
      <c r="P90" s="514">
        <f t="shared" si="35"/>
        <v>17760</v>
      </c>
      <c r="Q90" s="538">
        <v>0.0341</v>
      </c>
      <c r="R90" s="514"/>
      <c r="S90" s="524"/>
      <c r="T90" s="520">
        <v>44350.0</v>
      </c>
      <c r="U90" s="521">
        <v>11.71</v>
      </c>
      <c r="V90" s="522">
        <v>93680.0</v>
      </c>
      <c r="W90" s="523"/>
      <c r="X90" s="524"/>
      <c r="Y90" s="525"/>
      <c r="Z90" s="526"/>
    </row>
    <row r="91">
      <c r="A91" s="528"/>
      <c r="B91" s="528"/>
      <c r="C91" s="512">
        <f>I91/E128</f>
        <v>0.006266877769</v>
      </c>
      <c r="D91" s="344" t="s">
        <v>507</v>
      </c>
      <c r="E91" s="344" t="s">
        <v>508</v>
      </c>
      <c r="F91" s="528">
        <v>8.9</v>
      </c>
      <c r="G91" s="513">
        <v>5000.0</v>
      </c>
      <c r="H91" s="217">
        <f t="shared" si="31"/>
        <v>80800</v>
      </c>
      <c r="I91" s="217">
        <f>H91+P91</f>
        <v>49050</v>
      </c>
      <c r="J91" s="216">
        <v>16.16</v>
      </c>
      <c r="K91" s="568">
        <f>IFERROR(__xludf.DUMMYFUNCTION("GOOGLEFINANCE(E91,""changepct"")"),-2.77)</f>
        <v>-2.77</v>
      </c>
      <c r="L91" s="516">
        <f>IFERROR(__xludf.DUMMYFUNCTION("googlefinance(E91,""price"")"),9.81)</f>
        <v>9.81</v>
      </c>
      <c r="M91" s="216"/>
      <c r="N91" s="517">
        <f t="shared" si="33"/>
        <v>-6.35</v>
      </c>
      <c r="O91" s="518">
        <f>L91/J91-1</f>
        <v>-0.3929455446</v>
      </c>
      <c r="P91" s="514">
        <f t="shared" si="35"/>
        <v>-31750</v>
      </c>
      <c r="Q91" s="538">
        <v>0.0114</v>
      </c>
      <c r="R91" s="217">
        <v>217.0</v>
      </c>
      <c r="S91" s="524"/>
      <c r="T91" s="520"/>
      <c r="U91" s="521"/>
      <c r="V91" s="522"/>
      <c r="W91" s="519" t="s">
        <v>508</v>
      </c>
      <c r="X91" s="520">
        <v>44364.0</v>
      </c>
      <c r="Y91" s="521">
        <v>16.16</v>
      </c>
      <c r="Z91" s="522">
        <v>80800.0</v>
      </c>
    </row>
    <row r="92">
      <c r="A92" s="528"/>
      <c r="B92" s="528"/>
      <c r="C92" s="512">
        <f>I92/E128</f>
        <v>0</v>
      </c>
      <c r="D92" s="344" t="s">
        <v>507</v>
      </c>
      <c r="E92" s="344" t="s">
        <v>508</v>
      </c>
      <c r="F92" s="528">
        <v>8.9</v>
      </c>
      <c r="G92" s="513">
        <v>7000.0</v>
      </c>
      <c r="H92" s="217">
        <f t="shared" si="31"/>
        <v>100730</v>
      </c>
      <c r="I92" s="217">
        <v>0.0</v>
      </c>
      <c r="J92" s="216">
        <v>14.39</v>
      </c>
      <c r="K92" s="568">
        <f>IFERROR(__xludf.DUMMYFUNCTION("GOOGLEFINANCE(E92,""changepct"")"),-2.77)</f>
        <v>-2.77</v>
      </c>
      <c r="L92" s="516">
        <f>IFERROR(__xludf.DUMMYFUNCTION("googlefinance(E92,""price"")"),9.81)</f>
        <v>9.81</v>
      </c>
      <c r="M92" s="216">
        <v>17.48</v>
      </c>
      <c r="N92" s="517">
        <f t="shared" si="33"/>
        <v>-4.58</v>
      </c>
      <c r="O92" s="518">
        <f>M92/J92-1</f>
        <v>0.2147324531</v>
      </c>
      <c r="P92" s="514">
        <f t="shared" si="35"/>
        <v>21630</v>
      </c>
      <c r="Q92" s="538">
        <v>0.0114</v>
      </c>
      <c r="R92" s="514"/>
      <c r="S92" s="524"/>
      <c r="T92" s="520">
        <v>44350.0</v>
      </c>
      <c r="U92" s="521">
        <v>17.48</v>
      </c>
      <c r="V92" s="522">
        <v>122360.0</v>
      </c>
      <c r="W92" s="523"/>
      <c r="X92" s="524"/>
      <c r="Y92" s="525"/>
      <c r="Z92" s="526"/>
    </row>
    <row r="93">
      <c r="A93" s="528"/>
      <c r="B93" s="528"/>
      <c r="C93" s="512">
        <f>I93/E128</f>
        <v>0.01023142858</v>
      </c>
      <c r="D93" s="600" t="s">
        <v>179</v>
      </c>
      <c r="E93" s="344" t="s">
        <v>180</v>
      </c>
      <c r="F93" s="528">
        <v>9.1</v>
      </c>
      <c r="G93" s="513">
        <v>7000.0</v>
      </c>
      <c r="H93" s="217">
        <f t="shared" si="31"/>
        <v>103320</v>
      </c>
      <c r="I93" s="514">
        <f>H93+P93</f>
        <v>80080</v>
      </c>
      <c r="J93" s="216">
        <v>14.76</v>
      </c>
      <c r="K93" s="568">
        <f>IFERROR(__xludf.DUMMYFUNCTION("GOOGLEFINANCE(E93,""changepct"")"),-2.8)</f>
        <v>-2.8</v>
      </c>
      <c r="L93" s="516">
        <f>IFERROR(__xludf.DUMMYFUNCTION("googlefinance(E93,""price"")"),11.44)</f>
        <v>11.44</v>
      </c>
      <c r="M93" s="517"/>
      <c r="N93" s="517">
        <f t="shared" si="33"/>
        <v>-3.32</v>
      </c>
      <c r="O93" s="518">
        <f>L93/J93-1</f>
        <v>-0.2249322493</v>
      </c>
      <c r="P93" s="514">
        <f t="shared" si="35"/>
        <v>-23240</v>
      </c>
      <c r="Q93" s="538">
        <v>0.027</v>
      </c>
      <c r="R93" s="217">
        <v>726.0</v>
      </c>
      <c r="S93" s="524"/>
      <c r="T93" s="524"/>
      <c r="U93" s="525"/>
      <c r="V93" s="526"/>
      <c r="W93" s="523"/>
      <c r="X93" s="524"/>
      <c r="Y93" s="525"/>
      <c r="Z93" s="526"/>
    </row>
    <row r="94">
      <c r="A94" s="528"/>
      <c r="B94" s="528"/>
      <c r="C94" s="512">
        <f>I94/E128</f>
        <v>0</v>
      </c>
      <c r="D94" s="600" t="s">
        <v>781</v>
      </c>
      <c r="E94" s="344" t="s">
        <v>782</v>
      </c>
      <c r="F94" s="528">
        <v>8.5</v>
      </c>
      <c r="G94" s="513">
        <v>2500.0</v>
      </c>
      <c r="H94" s="217">
        <f t="shared" si="31"/>
        <v>99875</v>
      </c>
      <c r="I94" s="217">
        <v>0.0</v>
      </c>
      <c r="J94" s="216">
        <v>39.95</v>
      </c>
      <c r="K94" s="568">
        <f>IFERROR(__xludf.DUMMYFUNCTION("GOOGLEFINANCE(E94,""changepct"")"),-2.45)</f>
        <v>-2.45</v>
      </c>
      <c r="L94" s="516">
        <f>IFERROR(__xludf.DUMMYFUNCTION("googlefinance(E94,""price"")"),31.61)</f>
        <v>31.61</v>
      </c>
      <c r="M94" s="216">
        <v>48.39</v>
      </c>
      <c r="N94" s="517">
        <f t="shared" si="33"/>
        <v>-8.34</v>
      </c>
      <c r="O94" s="518">
        <f t="shared" ref="O94:O95" si="42">M94/J94-1</f>
        <v>0.2112640801</v>
      </c>
      <c r="P94" s="514">
        <f t="shared" si="35"/>
        <v>21100</v>
      </c>
      <c r="Q94" s="538">
        <v>0.018</v>
      </c>
      <c r="R94" s="514"/>
      <c r="S94" s="524"/>
      <c r="T94" s="520">
        <v>44350.0</v>
      </c>
      <c r="U94" s="521">
        <v>48.39</v>
      </c>
      <c r="V94" s="522">
        <v>120975.0</v>
      </c>
      <c r="W94" s="523"/>
      <c r="X94" s="524"/>
      <c r="Y94" s="525"/>
      <c r="Z94" s="526"/>
    </row>
    <row r="95">
      <c r="A95" s="528"/>
      <c r="B95" s="528"/>
      <c r="C95" s="512">
        <f>I95/E128</f>
        <v>0</v>
      </c>
      <c r="D95" s="104" t="s">
        <v>175</v>
      </c>
      <c r="E95" s="104" t="s">
        <v>176</v>
      </c>
      <c r="F95" s="195">
        <v>8.2</v>
      </c>
      <c r="G95" s="513">
        <v>10000.0</v>
      </c>
      <c r="H95" s="217">
        <f t="shared" si="31"/>
        <v>57000</v>
      </c>
      <c r="I95" s="217">
        <v>0.0</v>
      </c>
      <c r="J95" s="216">
        <v>5.7</v>
      </c>
      <c r="K95" s="568">
        <f>IFERROR(__xludf.DUMMYFUNCTION("GOOGLEFINANCE(E95,""changepct"")"),-2.99)</f>
        <v>-2.99</v>
      </c>
      <c r="L95" s="516">
        <f>IFERROR(__xludf.DUMMYFUNCTION("googlefinance(E95,""price"")"),4.86)</f>
        <v>4.86</v>
      </c>
      <c r="M95" s="216">
        <v>9.14</v>
      </c>
      <c r="N95" s="517">
        <f t="shared" si="33"/>
        <v>-0.84</v>
      </c>
      <c r="O95" s="518">
        <f t="shared" si="42"/>
        <v>0.6035087719</v>
      </c>
      <c r="P95" s="514">
        <f t="shared" si="35"/>
        <v>34400</v>
      </c>
      <c r="Q95" s="538">
        <v>0.006</v>
      </c>
      <c r="R95" s="514"/>
      <c r="S95" s="524"/>
      <c r="T95" s="520">
        <v>44350.0</v>
      </c>
      <c r="U95" s="521">
        <v>9.14</v>
      </c>
      <c r="V95" s="522">
        <v>91400.0</v>
      </c>
      <c r="W95" s="519"/>
      <c r="X95" s="520"/>
      <c r="Y95" s="521"/>
      <c r="Z95" s="522"/>
    </row>
    <row r="96">
      <c r="A96" s="528"/>
      <c r="B96" s="528"/>
      <c r="C96" s="512">
        <f>I96/E128</f>
        <v>0.005378910378</v>
      </c>
      <c r="D96" s="344" t="s">
        <v>783</v>
      </c>
      <c r="E96" s="344" t="s">
        <v>573</v>
      </c>
      <c r="F96" s="528">
        <v>8.1</v>
      </c>
      <c r="G96" s="513">
        <v>10000.0</v>
      </c>
      <c r="H96" s="217">
        <f t="shared" si="31"/>
        <v>64800</v>
      </c>
      <c r="I96" s="514">
        <f t="shared" ref="I96:I98" si="43">H96+P96</f>
        <v>42100</v>
      </c>
      <c r="J96" s="216">
        <v>6.48</v>
      </c>
      <c r="K96" s="568">
        <f>IFERROR(__xludf.DUMMYFUNCTION("GOOGLEFINANCE(E96,""changepct"")"),-2.55)</f>
        <v>-2.55</v>
      </c>
      <c r="L96" s="516">
        <f>IFERROR(__xludf.DUMMYFUNCTION("googlefinance(E96,""price"")"),4.21)</f>
        <v>4.21</v>
      </c>
      <c r="M96" s="517"/>
      <c r="N96" s="517">
        <f t="shared" si="33"/>
        <v>-2.27</v>
      </c>
      <c r="O96" s="518">
        <f t="shared" ref="O96:O98" si="44">L96/J96-1</f>
        <v>-0.350308642</v>
      </c>
      <c r="P96" s="514">
        <f t="shared" si="35"/>
        <v>-22700</v>
      </c>
      <c r="Q96" s="195" t="s">
        <v>128</v>
      </c>
      <c r="R96" s="514"/>
      <c r="S96" s="524"/>
      <c r="T96" s="524"/>
      <c r="U96" s="525"/>
      <c r="V96" s="526"/>
      <c r="W96" s="523"/>
      <c r="X96" s="524"/>
      <c r="Y96" s="525"/>
      <c r="Z96" s="526"/>
    </row>
    <row r="97">
      <c r="A97" s="528"/>
      <c r="B97" s="528"/>
      <c r="C97" s="512">
        <f>I97/E128</f>
        <v>0.003443269233</v>
      </c>
      <c r="D97" s="600" t="s">
        <v>711</v>
      </c>
      <c r="E97" s="344" t="s">
        <v>550</v>
      </c>
      <c r="F97" s="528">
        <v>8.5</v>
      </c>
      <c r="G97" s="513">
        <v>5000.0</v>
      </c>
      <c r="H97" s="217">
        <f t="shared" si="31"/>
        <v>77950</v>
      </c>
      <c r="I97" s="514">
        <f t="shared" si="43"/>
        <v>26950</v>
      </c>
      <c r="J97" s="216">
        <v>15.59</v>
      </c>
      <c r="K97" s="568">
        <f>IFERROR(__xludf.DUMMYFUNCTION("GOOGLEFINANCE(E97,""changepct"")"),-2.71)</f>
        <v>-2.71</v>
      </c>
      <c r="L97" s="516">
        <f>IFERROR(__xludf.DUMMYFUNCTION("googlefinance(E97,""price"")"),5.39)</f>
        <v>5.39</v>
      </c>
      <c r="M97" s="517"/>
      <c r="N97" s="517">
        <f t="shared" si="33"/>
        <v>-10.2</v>
      </c>
      <c r="O97" s="518">
        <f t="shared" si="44"/>
        <v>-0.6542655548</v>
      </c>
      <c r="P97" s="514">
        <f t="shared" si="35"/>
        <v>-51000</v>
      </c>
      <c r="Q97" s="195" t="s">
        <v>128</v>
      </c>
      <c r="R97" s="514"/>
      <c r="S97" s="524"/>
      <c r="T97" s="524"/>
      <c r="U97" s="525"/>
      <c r="V97" s="526"/>
      <c r="W97" s="523"/>
      <c r="X97" s="524"/>
      <c r="Y97" s="525"/>
      <c r="Z97" s="526"/>
    </row>
    <row r="98">
      <c r="A98" s="528"/>
      <c r="B98" s="528"/>
      <c r="C98" s="512">
        <f>I98/E128</f>
        <v>0.006369089842</v>
      </c>
      <c r="D98" s="344" t="s">
        <v>357</v>
      </c>
      <c r="E98" s="344" t="s">
        <v>174</v>
      </c>
      <c r="F98" s="528">
        <v>8.7</v>
      </c>
      <c r="G98" s="513">
        <v>2500.0</v>
      </c>
      <c r="H98" s="217">
        <f t="shared" si="31"/>
        <v>75050</v>
      </c>
      <c r="I98" s="514">
        <f t="shared" si="43"/>
        <v>49850</v>
      </c>
      <c r="J98" s="216">
        <v>30.02</v>
      </c>
      <c r="K98" s="568">
        <f>IFERROR(__xludf.DUMMYFUNCTION("GOOGLEFINANCE(E98,""changepct"")"),-3.11)</f>
        <v>-3.11</v>
      </c>
      <c r="L98" s="516">
        <f>IFERROR(__xludf.DUMMYFUNCTION("googlefinance(E98,""price"")"),19.94)</f>
        <v>19.94</v>
      </c>
      <c r="M98" s="517"/>
      <c r="N98" s="517">
        <f t="shared" si="33"/>
        <v>-10.08</v>
      </c>
      <c r="O98" s="518">
        <f t="shared" si="44"/>
        <v>-0.3357761492</v>
      </c>
      <c r="P98" s="514">
        <f t="shared" si="35"/>
        <v>-25200</v>
      </c>
      <c r="Q98" s="538">
        <v>0.0099</v>
      </c>
      <c r="R98" s="217">
        <v>177.0</v>
      </c>
      <c r="S98" s="524"/>
      <c r="T98" s="524"/>
      <c r="U98" s="525"/>
      <c r="V98" s="526"/>
      <c r="W98" s="523"/>
      <c r="X98" s="524"/>
      <c r="Y98" s="525"/>
      <c r="Z98" s="526"/>
    </row>
    <row r="99">
      <c r="A99" s="13"/>
      <c r="B99" s="173"/>
      <c r="C99" s="13"/>
      <c r="D99" s="13"/>
      <c r="E99" s="13"/>
      <c r="F99" s="13"/>
      <c r="G99" s="509"/>
      <c r="H99" s="509">
        <f t="shared" ref="H99:I99" si="45">SUM(H74:H98)</f>
        <v>2376901</v>
      </c>
      <c r="I99" s="539" t="str">
        <f t="shared" si="45"/>
        <v>#N/A</v>
      </c>
      <c r="J99" s="506"/>
      <c r="K99" s="506"/>
      <c r="L99" s="506"/>
      <c r="M99" s="507"/>
      <c r="N99" s="507"/>
      <c r="O99" s="540">
        <f>P99/H99</f>
        <v>0.06835034358</v>
      </c>
      <c r="P99" s="625">
        <v>162462.0</v>
      </c>
      <c r="Q99" s="13"/>
      <c r="R99" s="509">
        <f>SUM(R74:R98)</f>
        <v>7171</v>
      </c>
      <c r="S99" s="510" t="s">
        <v>89</v>
      </c>
      <c r="T99" s="542"/>
      <c r="U99" s="543"/>
      <c r="V99" s="544">
        <f>SUM(V74:V98)</f>
        <v>782365</v>
      </c>
      <c r="W99" s="510" t="s">
        <v>89</v>
      </c>
      <c r="X99" s="542"/>
      <c r="Y99" s="542"/>
      <c r="Z99" s="570">
        <f>SUM(Z74:Z98)</f>
        <v>470560</v>
      </c>
    </row>
    <row r="100">
      <c r="A100" s="13" t="s">
        <v>784</v>
      </c>
      <c r="B100" s="504" t="s">
        <v>785</v>
      </c>
      <c r="C100" s="13" t="s">
        <v>729</v>
      </c>
      <c r="D100" s="13" t="s">
        <v>182</v>
      </c>
      <c r="E100" s="13" t="s">
        <v>4</v>
      </c>
      <c r="F100" s="13" t="s">
        <v>5</v>
      </c>
      <c r="G100" s="504" t="s">
        <v>6</v>
      </c>
      <c r="H100" s="504" t="s">
        <v>230</v>
      </c>
      <c r="I100" s="649" t="s">
        <v>786</v>
      </c>
      <c r="J100" s="505" t="s">
        <v>731</v>
      </c>
      <c r="K100" s="506" t="s">
        <v>10</v>
      </c>
      <c r="L100" s="506" t="s">
        <v>11</v>
      </c>
      <c r="M100" s="507" t="s">
        <v>476</v>
      </c>
      <c r="N100" s="507" t="s">
        <v>13</v>
      </c>
      <c r="O100" s="504" t="s">
        <v>732</v>
      </c>
      <c r="P100" s="508" t="s">
        <v>15</v>
      </c>
      <c r="Q100" s="13" t="s">
        <v>16</v>
      </c>
      <c r="R100" s="13" t="s">
        <v>17</v>
      </c>
      <c r="S100" s="510" t="s">
        <v>21</v>
      </c>
      <c r="T100" s="510" t="s">
        <v>22</v>
      </c>
      <c r="U100" s="511" t="s">
        <v>23</v>
      </c>
      <c r="V100" s="511" t="s">
        <v>24</v>
      </c>
      <c r="W100" s="510" t="s">
        <v>25</v>
      </c>
      <c r="X100" s="510" t="s">
        <v>26</v>
      </c>
      <c r="Y100" s="510" t="s">
        <v>27</v>
      </c>
      <c r="Z100" s="510" t="s">
        <v>28</v>
      </c>
    </row>
    <row r="101">
      <c r="A101" s="565" t="s">
        <v>733</v>
      </c>
      <c r="B101" s="527">
        <f>I122/E128</f>
        <v>0</v>
      </c>
      <c r="C101" s="512">
        <f>I101/E128</f>
        <v>0</v>
      </c>
      <c r="D101" s="601" t="s">
        <v>413</v>
      </c>
      <c r="E101" s="344" t="s">
        <v>185</v>
      </c>
      <c r="F101" s="195">
        <v>8.3</v>
      </c>
      <c r="G101" s="217" t="s">
        <v>128</v>
      </c>
      <c r="H101" s="217">
        <v>584070.0</v>
      </c>
      <c r="I101" s="217">
        <f t="shared" ref="I101:I103" si="46">H101+P101</f>
        <v>0</v>
      </c>
      <c r="J101" s="216">
        <v>58407.0</v>
      </c>
      <c r="K101" s="568"/>
      <c r="L101" s="452"/>
      <c r="M101" s="215"/>
      <c r="N101" s="595">
        <f t="shared" ref="N101:N121" si="47">L101-J101</f>
        <v>-58407</v>
      </c>
      <c r="O101" s="518">
        <f t="shared" ref="O101:O103" si="48">L101/J101-1</f>
        <v>-1</v>
      </c>
      <c r="P101" s="514">
        <f t="shared" ref="P101:P121" si="49">H101*O101</f>
        <v>-584070</v>
      </c>
      <c r="Q101" s="528"/>
      <c r="R101" s="528"/>
      <c r="S101" s="519"/>
      <c r="T101" s="520"/>
      <c r="U101" s="531"/>
      <c r="V101" s="522"/>
      <c r="W101" s="519"/>
      <c r="X101" s="520"/>
      <c r="Y101" s="522"/>
      <c r="Z101" s="522"/>
    </row>
    <row r="102">
      <c r="A102" s="528"/>
      <c r="B102" s="528"/>
      <c r="C102" s="512">
        <f>I102/E128</f>
        <v>0</v>
      </c>
      <c r="D102" s="344" t="s">
        <v>187</v>
      </c>
      <c r="E102" s="344" t="s">
        <v>188</v>
      </c>
      <c r="F102" s="528">
        <v>8.1</v>
      </c>
      <c r="G102" s="217" t="s">
        <v>128</v>
      </c>
      <c r="H102" s="217">
        <v>97800.0</v>
      </c>
      <c r="I102" s="217">
        <f t="shared" si="46"/>
        <v>0</v>
      </c>
      <c r="J102" s="216">
        <v>1897.8</v>
      </c>
      <c r="K102" s="568"/>
      <c r="L102" s="452"/>
      <c r="M102" s="215"/>
      <c r="N102" s="215">
        <f t="shared" si="47"/>
        <v>-1897.8</v>
      </c>
      <c r="O102" s="518">
        <f t="shared" si="48"/>
        <v>-1</v>
      </c>
      <c r="P102" s="514">
        <f t="shared" si="49"/>
        <v>-97800</v>
      </c>
      <c r="Q102" s="528"/>
      <c r="R102" s="528"/>
      <c r="S102" s="519"/>
      <c r="T102" s="520"/>
      <c r="U102" s="531"/>
      <c r="V102" s="522"/>
      <c r="W102" s="519"/>
      <c r="X102" s="520"/>
      <c r="Y102" s="531"/>
      <c r="Z102" s="522"/>
    </row>
    <row r="103">
      <c r="A103" s="528"/>
      <c r="B103" s="528"/>
      <c r="C103" s="512">
        <f>I103/E128</f>
        <v>0</v>
      </c>
      <c r="D103" s="104" t="s">
        <v>218</v>
      </c>
      <c r="E103" s="104" t="s">
        <v>219</v>
      </c>
      <c r="F103" s="195">
        <v>8.2</v>
      </c>
      <c r="G103" s="217" t="s">
        <v>128</v>
      </c>
      <c r="H103" s="217">
        <v>95000.0</v>
      </c>
      <c r="I103" s="217">
        <f t="shared" si="46"/>
        <v>0</v>
      </c>
      <c r="J103" s="216">
        <v>45.37</v>
      </c>
      <c r="K103" s="568"/>
      <c r="L103" s="452"/>
      <c r="M103" s="215"/>
      <c r="N103" s="595">
        <f t="shared" si="47"/>
        <v>-45.37</v>
      </c>
      <c r="O103" s="518">
        <f t="shared" si="48"/>
        <v>-1</v>
      </c>
      <c r="P103" s="514">
        <f t="shared" si="49"/>
        <v>-95000</v>
      </c>
      <c r="Q103" s="528"/>
      <c r="R103" s="528"/>
      <c r="S103" s="519"/>
      <c r="T103" s="520"/>
      <c r="U103" s="531"/>
      <c r="V103" s="522"/>
      <c r="W103" s="519" t="s">
        <v>220</v>
      </c>
      <c r="X103" s="520">
        <v>44335.0</v>
      </c>
      <c r="Y103" s="531">
        <v>45.37</v>
      </c>
      <c r="Z103" s="522">
        <v>95000.0</v>
      </c>
    </row>
    <row r="104">
      <c r="A104" s="528"/>
      <c r="B104" s="528"/>
      <c r="C104" s="512">
        <f>I104/E128</f>
        <v>0</v>
      </c>
      <c r="D104" s="104" t="s">
        <v>218</v>
      </c>
      <c r="E104" s="104" t="s">
        <v>219</v>
      </c>
      <c r="F104" s="195">
        <v>8.2</v>
      </c>
      <c r="G104" s="217" t="s">
        <v>128</v>
      </c>
      <c r="H104" s="217">
        <v>101270.0</v>
      </c>
      <c r="I104" s="217">
        <v>0.0</v>
      </c>
      <c r="J104" s="216">
        <v>13.49</v>
      </c>
      <c r="K104" s="568"/>
      <c r="L104" s="452"/>
      <c r="M104" s="215">
        <v>80.45</v>
      </c>
      <c r="N104" s="595">
        <f t="shared" si="47"/>
        <v>-13.49</v>
      </c>
      <c r="O104" s="518">
        <f>M104/J104-1</f>
        <v>4.963676798</v>
      </c>
      <c r="P104" s="514">
        <f t="shared" si="49"/>
        <v>502671.5493</v>
      </c>
      <c r="Q104" s="528"/>
      <c r="R104" s="528"/>
      <c r="S104" s="519" t="s">
        <v>220</v>
      </c>
      <c r="T104" s="520">
        <v>44321.0</v>
      </c>
      <c r="U104" s="531">
        <v>80.45</v>
      </c>
      <c r="V104" s="522">
        <v>603942.0</v>
      </c>
      <c r="W104" s="523"/>
      <c r="X104" s="524"/>
      <c r="Y104" s="526"/>
      <c r="Z104" s="526"/>
    </row>
    <row r="105">
      <c r="A105" s="528"/>
      <c r="B105" s="528"/>
      <c r="C105" s="512">
        <f>I105/E128</f>
        <v>0</v>
      </c>
      <c r="D105" s="104" t="s">
        <v>712</v>
      </c>
      <c r="E105" s="104" t="s">
        <v>713</v>
      </c>
      <c r="F105" s="569">
        <v>8.4</v>
      </c>
      <c r="G105" s="217" t="s">
        <v>128</v>
      </c>
      <c r="H105" s="217">
        <v>80000.0</v>
      </c>
      <c r="I105" s="217">
        <f t="shared" ref="I105:I114" si="50">H105+P105</f>
        <v>0</v>
      </c>
      <c r="J105" s="641">
        <v>0.1663</v>
      </c>
      <c r="K105" s="568"/>
      <c r="L105" s="452"/>
      <c r="M105" s="517"/>
      <c r="N105" s="595">
        <f t="shared" si="47"/>
        <v>-0.1663</v>
      </c>
      <c r="O105" s="518">
        <f t="shared" ref="O105:O114" si="51">L105/J105-1</f>
        <v>-1</v>
      </c>
      <c r="P105" s="514">
        <f t="shared" si="49"/>
        <v>-80000</v>
      </c>
      <c r="Q105" s="528"/>
      <c r="R105" s="528"/>
      <c r="S105" s="523"/>
      <c r="T105" s="524"/>
      <c r="U105" s="525"/>
      <c r="V105" s="525"/>
      <c r="W105" s="519" t="s">
        <v>724</v>
      </c>
      <c r="X105" s="520">
        <v>44334.0</v>
      </c>
      <c r="Y105" s="642">
        <v>0.1663</v>
      </c>
      <c r="Z105" s="522">
        <v>80000.0</v>
      </c>
    </row>
    <row r="106">
      <c r="A106" s="528"/>
      <c r="B106" s="528"/>
      <c r="C106" s="512">
        <f>I106/E128</f>
        <v>0</v>
      </c>
      <c r="D106" s="104" t="s">
        <v>712</v>
      </c>
      <c r="E106" s="104" t="s">
        <v>713</v>
      </c>
      <c r="F106" s="569">
        <v>8.4</v>
      </c>
      <c r="G106" s="217" t="s">
        <v>128</v>
      </c>
      <c r="H106" s="217">
        <v>91840.0</v>
      </c>
      <c r="I106" s="217">
        <f t="shared" si="50"/>
        <v>0</v>
      </c>
      <c r="J106" s="641">
        <v>0.0854</v>
      </c>
      <c r="K106" s="568"/>
      <c r="L106" s="452"/>
      <c r="M106" s="517"/>
      <c r="N106" s="595">
        <f t="shared" si="47"/>
        <v>-0.0854</v>
      </c>
      <c r="O106" s="518">
        <f t="shared" si="51"/>
        <v>-1</v>
      </c>
      <c r="P106" s="514">
        <f t="shared" si="49"/>
        <v>-91840</v>
      </c>
      <c r="Q106" s="528"/>
      <c r="R106" s="528"/>
      <c r="S106" s="523"/>
      <c r="T106" s="524"/>
      <c r="U106" s="525"/>
      <c r="V106" s="525"/>
      <c r="W106" s="519"/>
      <c r="X106" s="520"/>
      <c r="Y106" s="642"/>
      <c r="Z106" s="522"/>
    </row>
    <row r="107">
      <c r="A107" s="528"/>
      <c r="B107" s="528"/>
      <c r="C107" s="512">
        <f>I107/E128</f>
        <v>0</v>
      </c>
      <c r="D107" s="104" t="s">
        <v>197</v>
      </c>
      <c r="E107" s="344" t="s">
        <v>198</v>
      </c>
      <c r="F107" s="569">
        <v>8.5</v>
      </c>
      <c r="G107" s="217" t="s">
        <v>128</v>
      </c>
      <c r="H107" s="217">
        <v>76000.0</v>
      </c>
      <c r="I107" s="217">
        <f t="shared" si="50"/>
        <v>0</v>
      </c>
      <c r="J107" s="641">
        <v>0.1788</v>
      </c>
      <c r="K107" s="568"/>
      <c r="L107" s="452"/>
      <c r="M107" s="216"/>
      <c r="N107" s="595">
        <f t="shared" si="47"/>
        <v>-0.1788</v>
      </c>
      <c r="O107" s="518">
        <f t="shared" si="51"/>
        <v>-1</v>
      </c>
      <c r="P107" s="514">
        <f t="shared" si="49"/>
        <v>-76000</v>
      </c>
      <c r="Q107" s="528"/>
      <c r="R107" s="528"/>
      <c r="S107" s="519"/>
      <c r="T107" s="520"/>
      <c r="U107" s="521"/>
      <c r="V107" s="522"/>
      <c r="W107" s="519" t="s">
        <v>199</v>
      </c>
      <c r="X107" s="520">
        <v>44334.0</v>
      </c>
      <c r="Y107" s="642">
        <v>0.1788</v>
      </c>
      <c r="Z107" s="522">
        <v>76000.0</v>
      </c>
    </row>
    <row r="108">
      <c r="A108" s="528"/>
      <c r="B108" s="528"/>
      <c r="C108" s="512">
        <f>I108/E128</f>
        <v>0</v>
      </c>
      <c r="D108" s="104" t="s">
        <v>197</v>
      </c>
      <c r="E108" s="344" t="s">
        <v>198</v>
      </c>
      <c r="F108" s="569">
        <v>8.5</v>
      </c>
      <c r="G108" s="217" t="s">
        <v>128</v>
      </c>
      <c r="H108" s="217">
        <v>180900.0</v>
      </c>
      <c r="I108" s="217">
        <f t="shared" si="50"/>
        <v>0</v>
      </c>
      <c r="J108" s="641">
        <v>0.1744</v>
      </c>
      <c r="K108" s="568"/>
      <c r="L108" s="452"/>
      <c r="M108" s="216"/>
      <c r="N108" s="595">
        <f t="shared" si="47"/>
        <v>-0.1744</v>
      </c>
      <c r="O108" s="518">
        <f t="shared" si="51"/>
        <v>-1</v>
      </c>
      <c r="P108" s="514">
        <f t="shared" si="49"/>
        <v>-180900</v>
      </c>
      <c r="Q108" s="528"/>
      <c r="R108" s="528"/>
      <c r="S108" s="519"/>
      <c r="T108" s="520"/>
      <c r="U108" s="521"/>
      <c r="V108" s="522"/>
      <c r="W108" s="519"/>
      <c r="X108" s="520"/>
      <c r="Y108" s="642"/>
      <c r="Z108" s="522"/>
    </row>
    <row r="109">
      <c r="A109" s="528"/>
      <c r="B109" s="528"/>
      <c r="C109" s="512">
        <f>I109/E128</f>
        <v>0</v>
      </c>
      <c r="D109" s="344" t="s">
        <v>692</v>
      </c>
      <c r="E109" s="563" t="s">
        <v>418</v>
      </c>
      <c r="F109" s="195">
        <v>8.2</v>
      </c>
      <c r="G109" s="217" t="s">
        <v>128</v>
      </c>
      <c r="H109" s="217">
        <v>105000.0</v>
      </c>
      <c r="I109" s="217">
        <f t="shared" si="50"/>
        <v>0</v>
      </c>
      <c r="J109" s="216">
        <v>122.43</v>
      </c>
      <c r="K109" s="568"/>
      <c r="L109" s="452"/>
      <c r="M109" s="216"/>
      <c r="N109" s="595">
        <f t="shared" si="47"/>
        <v>-122.43</v>
      </c>
      <c r="O109" s="518">
        <f t="shared" si="51"/>
        <v>-1</v>
      </c>
      <c r="P109" s="514">
        <f t="shared" si="49"/>
        <v>-105000</v>
      </c>
      <c r="Q109" s="528"/>
      <c r="R109" s="528"/>
      <c r="S109" s="519"/>
      <c r="T109" s="520"/>
      <c r="U109" s="521"/>
      <c r="V109" s="522"/>
      <c r="W109" s="519" t="s">
        <v>419</v>
      </c>
      <c r="X109" s="520">
        <v>44335.0</v>
      </c>
      <c r="Y109" s="531">
        <v>122.43</v>
      </c>
      <c r="Z109" s="522">
        <v>105000.0</v>
      </c>
    </row>
    <row r="110">
      <c r="A110" s="528"/>
      <c r="B110" s="528"/>
      <c r="C110" s="512">
        <f>I110/E128</f>
        <v>0</v>
      </c>
      <c r="D110" s="344" t="s">
        <v>692</v>
      </c>
      <c r="E110" s="563" t="s">
        <v>418</v>
      </c>
      <c r="F110" s="195">
        <v>8.2</v>
      </c>
      <c r="G110" s="217" t="s">
        <v>128</v>
      </c>
      <c r="H110" s="217">
        <v>112440.0</v>
      </c>
      <c r="I110" s="217">
        <f t="shared" si="50"/>
        <v>0</v>
      </c>
      <c r="J110" s="216">
        <v>153.65</v>
      </c>
      <c r="K110" s="568"/>
      <c r="L110" s="452"/>
      <c r="M110" s="216"/>
      <c r="N110" s="595">
        <f t="shared" si="47"/>
        <v>-153.65</v>
      </c>
      <c r="O110" s="518">
        <f t="shared" si="51"/>
        <v>-1</v>
      </c>
      <c r="P110" s="514">
        <f t="shared" si="49"/>
        <v>-112440</v>
      </c>
      <c r="Q110" s="528"/>
      <c r="R110" s="528"/>
      <c r="S110" s="519"/>
      <c r="T110" s="520"/>
      <c r="U110" s="521"/>
      <c r="V110" s="522"/>
      <c r="W110" s="519"/>
      <c r="X110" s="520"/>
      <c r="Y110" s="531"/>
      <c r="Z110" s="522"/>
    </row>
    <row r="111">
      <c r="A111" s="528"/>
      <c r="B111" s="528"/>
      <c r="C111" s="512">
        <f>I111/E128</f>
        <v>0</v>
      </c>
      <c r="D111" s="104" t="s">
        <v>194</v>
      </c>
      <c r="E111" s="529" t="s">
        <v>195</v>
      </c>
      <c r="F111" s="195">
        <v>8.1</v>
      </c>
      <c r="G111" s="217" t="s">
        <v>128</v>
      </c>
      <c r="H111" s="217">
        <v>78600.0</v>
      </c>
      <c r="I111" s="217">
        <f t="shared" si="50"/>
        <v>0</v>
      </c>
      <c r="J111" s="216">
        <v>16.158</v>
      </c>
      <c r="K111" s="568"/>
      <c r="L111" s="452"/>
      <c r="M111" s="639"/>
      <c r="N111" s="595">
        <f t="shared" si="47"/>
        <v>-16.158</v>
      </c>
      <c r="O111" s="518">
        <f t="shared" si="51"/>
        <v>-1</v>
      </c>
      <c r="P111" s="514">
        <f t="shared" si="49"/>
        <v>-78600</v>
      </c>
      <c r="Q111" s="528"/>
      <c r="R111" s="528"/>
      <c r="S111" s="519"/>
      <c r="T111" s="520"/>
      <c r="U111" s="640"/>
      <c r="V111" s="522"/>
      <c r="W111" s="519" t="s">
        <v>196</v>
      </c>
      <c r="X111" s="520">
        <v>44340.0</v>
      </c>
      <c r="Y111" s="531">
        <v>16.16</v>
      </c>
      <c r="Z111" s="522">
        <v>78600.0</v>
      </c>
    </row>
    <row r="112">
      <c r="A112" s="528"/>
      <c r="B112" s="528"/>
      <c r="C112" s="512">
        <f>I112/E128</f>
        <v>0</v>
      </c>
      <c r="D112" s="104" t="s">
        <v>194</v>
      </c>
      <c r="E112" s="529" t="s">
        <v>195</v>
      </c>
      <c r="F112" s="195">
        <v>8.1</v>
      </c>
      <c r="G112" s="217" t="s">
        <v>128</v>
      </c>
      <c r="H112" s="217">
        <v>101740.0</v>
      </c>
      <c r="I112" s="217">
        <f t="shared" si="50"/>
        <v>0</v>
      </c>
      <c r="J112" s="216">
        <v>40.53</v>
      </c>
      <c r="K112" s="568"/>
      <c r="L112" s="452"/>
      <c r="M112" s="639"/>
      <c r="N112" s="595">
        <f t="shared" si="47"/>
        <v>-40.53</v>
      </c>
      <c r="O112" s="518">
        <f t="shared" si="51"/>
        <v>-1</v>
      </c>
      <c r="P112" s="514">
        <f t="shared" si="49"/>
        <v>-101740</v>
      </c>
      <c r="Q112" s="528"/>
      <c r="R112" s="528"/>
      <c r="S112" s="519"/>
      <c r="T112" s="520"/>
      <c r="U112" s="640"/>
      <c r="V112" s="522"/>
      <c r="W112" s="519" t="s">
        <v>196</v>
      </c>
      <c r="X112" s="520">
        <v>44334.0</v>
      </c>
      <c r="Y112" s="531">
        <v>40.53</v>
      </c>
      <c r="Z112" s="522">
        <v>101740.0</v>
      </c>
    </row>
    <row r="113">
      <c r="A113" s="528"/>
      <c r="B113" s="528"/>
      <c r="C113" s="512">
        <f>I113/E128</f>
        <v>0</v>
      </c>
      <c r="D113" s="344" t="s">
        <v>787</v>
      </c>
      <c r="E113" s="563" t="s">
        <v>788</v>
      </c>
      <c r="F113" s="195">
        <v>7.7</v>
      </c>
      <c r="G113" s="217" t="s">
        <v>128</v>
      </c>
      <c r="H113" s="217">
        <v>62000.0</v>
      </c>
      <c r="I113" s="217">
        <f t="shared" si="50"/>
        <v>0</v>
      </c>
      <c r="J113" s="216">
        <v>3.34</v>
      </c>
      <c r="K113" s="568"/>
      <c r="L113" s="452"/>
      <c r="M113" s="639"/>
      <c r="N113" s="595">
        <f t="shared" si="47"/>
        <v>-3.34</v>
      </c>
      <c r="O113" s="518">
        <f t="shared" si="51"/>
        <v>-1</v>
      </c>
      <c r="P113" s="514">
        <f t="shared" si="49"/>
        <v>-62000</v>
      </c>
      <c r="Q113" s="528"/>
      <c r="R113" s="528"/>
      <c r="S113" s="519"/>
      <c r="T113" s="520"/>
      <c r="U113" s="640"/>
      <c r="V113" s="522"/>
      <c r="W113" s="523"/>
      <c r="X113" s="524"/>
      <c r="Y113" s="526"/>
      <c r="Z113" s="526"/>
    </row>
    <row r="114">
      <c r="A114" s="528"/>
      <c r="B114" s="528"/>
      <c r="C114" s="512">
        <f>I114/E128</f>
        <v>0</v>
      </c>
      <c r="D114" s="344" t="s">
        <v>206</v>
      </c>
      <c r="E114" s="344" t="s">
        <v>207</v>
      </c>
      <c r="F114" s="651">
        <v>8.1</v>
      </c>
      <c r="G114" s="217" t="s">
        <v>128</v>
      </c>
      <c r="H114" s="217">
        <v>122000.0</v>
      </c>
      <c r="I114" s="217">
        <f t="shared" si="50"/>
        <v>0</v>
      </c>
      <c r="J114" s="216">
        <v>588.61</v>
      </c>
      <c r="K114" s="568"/>
      <c r="L114" s="452"/>
      <c r="M114" s="216"/>
      <c r="N114" s="595">
        <f t="shared" si="47"/>
        <v>-588.61</v>
      </c>
      <c r="O114" s="518">
        <f t="shared" si="51"/>
        <v>-1</v>
      </c>
      <c r="P114" s="514">
        <f t="shared" si="49"/>
        <v>-122000</v>
      </c>
      <c r="Q114" s="528"/>
      <c r="R114" s="528"/>
      <c r="S114" s="519"/>
      <c r="T114" s="520"/>
      <c r="U114" s="521"/>
      <c r="V114" s="522"/>
      <c r="W114" s="519" t="s">
        <v>208</v>
      </c>
      <c r="X114" s="520">
        <v>44335.0</v>
      </c>
      <c r="Y114" s="531">
        <v>588.61</v>
      </c>
      <c r="Z114" s="522">
        <v>122000.0</v>
      </c>
    </row>
    <row r="115">
      <c r="A115" s="528"/>
      <c r="B115" s="528"/>
      <c r="C115" s="512">
        <f>I115/E128</f>
        <v>0</v>
      </c>
      <c r="D115" s="344" t="s">
        <v>206</v>
      </c>
      <c r="E115" s="344" t="s">
        <v>207</v>
      </c>
      <c r="F115" s="651">
        <v>8.1</v>
      </c>
      <c r="G115" s="217" t="s">
        <v>128</v>
      </c>
      <c r="H115" s="217">
        <v>88623.0</v>
      </c>
      <c r="I115" s="217">
        <v>0.0</v>
      </c>
      <c r="J115" s="216">
        <v>525.81</v>
      </c>
      <c r="K115" s="568"/>
      <c r="L115" s="452"/>
      <c r="M115" s="216">
        <v>1425.0</v>
      </c>
      <c r="N115" s="595">
        <f t="shared" si="47"/>
        <v>-525.81</v>
      </c>
      <c r="O115" s="518">
        <f>M115/J115-1</f>
        <v>1.71010441</v>
      </c>
      <c r="P115" s="514">
        <f t="shared" si="49"/>
        <v>151554.5832</v>
      </c>
      <c r="Q115" s="528"/>
      <c r="R115" s="528"/>
      <c r="S115" s="519" t="s">
        <v>208</v>
      </c>
      <c r="T115" s="520">
        <v>44322.0</v>
      </c>
      <c r="U115" s="521">
        <v>1425.0</v>
      </c>
      <c r="V115" s="522">
        <v>240178.0</v>
      </c>
      <c r="W115" s="523"/>
      <c r="X115" s="524"/>
      <c r="Y115" s="526"/>
      <c r="Z115" s="526"/>
    </row>
    <row r="116">
      <c r="A116" s="528"/>
      <c r="B116" s="528"/>
      <c r="C116" s="512">
        <f>I116/E128</f>
        <v>0</v>
      </c>
      <c r="D116" s="344" t="s">
        <v>209</v>
      </c>
      <c r="E116" s="344" t="s">
        <v>210</v>
      </c>
      <c r="F116" s="195">
        <v>8.4</v>
      </c>
      <c r="G116" s="217" t="s">
        <v>128</v>
      </c>
      <c r="H116" s="217">
        <v>108450.0</v>
      </c>
      <c r="I116" s="217">
        <f t="shared" ref="I116:I121" si="52">H116+P116</f>
        <v>0</v>
      </c>
      <c r="J116" s="216">
        <v>17.43</v>
      </c>
      <c r="K116" s="568"/>
      <c r="L116" s="452"/>
      <c r="M116" s="216"/>
      <c r="N116" s="595">
        <f t="shared" si="47"/>
        <v>-17.43</v>
      </c>
      <c r="O116" s="518">
        <f t="shared" ref="O116:O121" si="53">L116/J116-1</f>
        <v>-1</v>
      </c>
      <c r="P116" s="514">
        <f t="shared" si="49"/>
        <v>-108450</v>
      </c>
      <c r="Q116" s="528"/>
      <c r="R116" s="528"/>
      <c r="S116" s="519"/>
      <c r="T116" s="520"/>
      <c r="U116" s="521"/>
      <c r="V116" s="522"/>
      <c r="W116" s="519" t="s">
        <v>211</v>
      </c>
      <c r="X116" s="520">
        <v>44340.0</v>
      </c>
      <c r="Y116" s="531">
        <v>17.43</v>
      </c>
      <c r="Z116" s="522">
        <v>108450.0</v>
      </c>
    </row>
    <row r="117">
      <c r="A117" s="528"/>
      <c r="B117" s="528"/>
      <c r="C117" s="512">
        <f>I117/E128</f>
        <v>0</v>
      </c>
      <c r="D117" s="344" t="s">
        <v>209</v>
      </c>
      <c r="E117" s="344" t="s">
        <v>210</v>
      </c>
      <c r="F117" s="195">
        <v>8.4</v>
      </c>
      <c r="G117" s="217" t="s">
        <v>128</v>
      </c>
      <c r="H117" s="217">
        <v>99780.0</v>
      </c>
      <c r="I117" s="217">
        <f t="shared" si="52"/>
        <v>0</v>
      </c>
      <c r="J117" s="216">
        <v>27.91</v>
      </c>
      <c r="K117" s="568"/>
      <c r="L117" s="452"/>
      <c r="M117" s="216"/>
      <c r="N117" s="595">
        <f t="shared" si="47"/>
        <v>-27.91</v>
      </c>
      <c r="O117" s="518">
        <f t="shared" si="53"/>
        <v>-1</v>
      </c>
      <c r="P117" s="514">
        <f t="shared" si="49"/>
        <v>-99780</v>
      </c>
      <c r="Q117" s="528"/>
      <c r="R117" s="528"/>
      <c r="S117" s="519"/>
      <c r="T117" s="520"/>
      <c r="U117" s="521"/>
      <c r="V117" s="522"/>
      <c r="W117" s="523"/>
      <c r="X117" s="524"/>
      <c r="Y117" s="526"/>
      <c r="Z117" s="526"/>
    </row>
    <row r="118">
      <c r="A118" s="528"/>
      <c r="B118" s="528"/>
      <c r="C118" s="512">
        <f>I118/E128</f>
        <v>0</v>
      </c>
      <c r="D118" s="344" t="s">
        <v>513</v>
      </c>
      <c r="E118" s="344" t="s">
        <v>514</v>
      </c>
      <c r="F118" s="195">
        <v>8.2</v>
      </c>
      <c r="G118" s="217" t="s">
        <v>128</v>
      </c>
      <c r="H118" s="217">
        <v>114300.0</v>
      </c>
      <c r="I118" s="217">
        <f t="shared" si="52"/>
        <v>0</v>
      </c>
      <c r="J118" s="216">
        <v>197.6</v>
      </c>
      <c r="K118" s="568"/>
      <c r="L118" s="452"/>
      <c r="M118" s="517"/>
      <c r="N118" s="595">
        <f t="shared" si="47"/>
        <v>-197.6</v>
      </c>
      <c r="O118" s="518">
        <f t="shared" si="53"/>
        <v>-1</v>
      </c>
      <c r="P118" s="514">
        <f t="shared" si="49"/>
        <v>-114300</v>
      </c>
      <c r="Q118" s="528"/>
      <c r="R118" s="528"/>
      <c r="S118" s="523"/>
      <c r="T118" s="524"/>
      <c r="U118" s="525"/>
      <c r="V118" s="525"/>
      <c r="W118" s="519" t="s">
        <v>515</v>
      </c>
      <c r="X118" s="520">
        <v>44340.0</v>
      </c>
      <c r="Y118" s="531">
        <v>197.6</v>
      </c>
      <c r="Z118" s="522">
        <v>114300.0</v>
      </c>
    </row>
    <row r="119">
      <c r="A119" s="528"/>
      <c r="B119" s="528"/>
      <c r="C119" s="512">
        <f>I119/E128</f>
        <v>0</v>
      </c>
      <c r="D119" s="344" t="s">
        <v>513</v>
      </c>
      <c r="E119" s="344" t="s">
        <v>514</v>
      </c>
      <c r="F119" s="195">
        <v>8.2</v>
      </c>
      <c r="G119" s="217" t="s">
        <v>128</v>
      </c>
      <c r="H119" s="217">
        <v>73880.0</v>
      </c>
      <c r="I119" s="217">
        <f t="shared" si="52"/>
        <v>0</v>
      </c>
      <c r="J119" s="216">
        <v>242.31</v>
      </c>
      <c r="K119" s="568"/>
      <c r="L119" s="452"/>
      <c r="M119" s="517"/>
      <c r="N119" s="595">
        <f t="shared" si="47"/>
        <v>-242.31</v>
      </c>
      <c r="O119" s="518">
        <f t="shared" si="53"/>
        <v>-1</v>
      </c>
      <c r="P119" s="514">
        <f t="shared" si="49"/>
        <v>-73880</v>
      </c>
      <c r="Q119" s="528"/>
      <c r="R119" s="528"/>
      <c r="S119" s="523"/>
      <c r="T119" s="524"/>
      <c r="U119" s="525"/>
      <c r="V119" s="525"/>
      <c r="W119" s="523"/>
      <c r="X119" s="524"/>
      <c r="Y119" s="526"/>
      <c r="Z119" s="526"/>
    </row>
    <row r="120">
      <c r="A120" s="528"/>
      <c r="B120" s="528"/>
      <c r="C120" s="512">
        <f>I120/E128</f>
        <v>0</v>
      </c>
      <c r="D120" s="104" t="s">
        <v>789</v>
      </c>
      <c r="E120" s="529" t="s">
        <v>790</v>
      </c>
      <c r="F120" s="195">
        <v>8.1</v>
      </c>
      <c r="G120" s="217" t="s">
        <v>128</v>
      </c>
      <c r="H120" s="217">
        <v>64645.0</v>
      </c>
      <c r="I120" s="217">
        <f t="shared" si="52"/>
        <v>0</v>
      </c>
      <c r="J120" s="215">
        <v>47.89</v>
      </c>
      <c r="K120" s="568"/>
      <c r="L120" s="452"/>
      <c r="M120" s="216"/>
      <c r="N120" s="595">
        <f t="shared" si="47"/>
        <v>-47.89</v>
      </c>
      <c r="O120" s="518">
        <f t="shared" si="53"/>
        <v>-1</v>
      </c>
      <c r="P120" s="514">
        <f t="shared" si="49"/>
        <v>-64645</v>
      </c>
      <c r="Q120" s="528"/>
      <c r="R120" s="528"/>
      <c r="S120" s="519"/>
      <c r="T120" s="520"/>
      <c r="U120" s="521"/>
      <c r="V120" s="522"/>
      <c r="W120" s="519"/>
      <c r="X120" s="520"/>
      <c r="Y120" s="642"/>
      <c r="Z120" s="522"/>
    </row>
    <row r="121">
      <c r="A121" s="528"/>
      <c r="B121" s="528"/>
      <c r="C121" s="512">
        <f>I121/E128</f>
        <v>0</v>
      </c>
      <c r="D121" s="344" t="s">
        <v>359</v>
      </c>
      <c r="E121" s="563" t="s">
        <v>360</v>
      </c>
      <c r="F121" s="195">
        <v>8.1</v>
      </c>
      <c r="G121" s="217" t="s">
        <v>128</v>
      </c>
      <c r="H121" s="217">
        <v>71250.0</v>
      </c>
      <c r="I121" s="217">
        <f t="shared" si="52"/>
        <v>0</v>
      </c>
      <c r="J121" s="216">
        <v>213.27</v>
      </c>
      <c r="K121" s="568"/>
      <c r="L121" s="452"/>
      <c r="M121" s="216"/>
      <c r="N121" s="595">
        <f t="shared" si="47"/>
        <v>-213.27</v>
      </c>
      <c r="O121" s="518">
        <f t="shared" si="53"/>
        <v>-1</v>
      </c>
      <c r="P121" s="514">
        <f t="shared" si="49"/>
        <v>-71250</v>
      </c>
      <c r="Q121" s="528"/>
      <c r="R121" s="528"/>
      <c r="S121" s="519"/>
      <c r="T121" s="520"/>
      <c r="U121" s="521"/>
      <c r="V121" s="522"/>
      <c r="W121" s="523"/>
      <c r="X121" s="524"/>
      <c r="Y121" s="526"/>
      <c r="Z121" s="526"/>
    </row>
    <row r="122">
      <c r="A122" s="13"/>
      <c r="B122" s="13"/>
      <c r="C122" s="173"/>
      <c r="D122" s="173"/>
      <c r="E122" s="173"/>
      <c r="F122" s="173"/>
      <c r="G122" s="509"/>
      <c r="H122" s="509">
        <f t="shared" ref="H122:I122" si="54">SUM(H101:H121)</f>
        <v>2509588</v>
      </c>
      <c r="I122" s="509">
        <f t="shared" si="54"/>
        <v>0</v>
      </c>
      <c r="J122" s="607"/>
      <c r="K122" s="173"/>
      <c r="L122" s="13"/>
      <c r="M122" s="173"/>
      <c r="N122" s="173"/>
      <c r="O122" s="541">
        <f>F126</f>
        <v>0.01488058321</v>
      </c>
      <c r="P122" s="193">
        <v>24233.0</v>
      </c>
      <c r="Q122" s="173"/>
      <c r="R122" s="173"/>
      <c r="S122" s="510" t="s">
        <v>89</v>
      </c>
      <c r="T122" s="542"/>
      <c r="U122" s="543"/>
      <c r="V122" s="570">
        <f>SUM(V101:V121)</f>
        <v>844120</v>
      </c>
      <c r="W122" s="510" t="s">
        <v>89</v>
      </c>
      <c r="X122" s="542"/>
      <c r="Y122" s="608"/>
      <c r="Z122" s="570">
        <f>SUM(Z101:Z121)</f>
        <v>881090</v>
      </c>
    </row>
    <row r="123">
      <c r="A123" s="13" t="s">
        <v>227</v>
      </c>
      <c r="B123" s="13" t="s">
        <v>228</v>
      </c>
      <c r="C123" s="173"/>
      <c r="D123" s="504" t="s">
        <v>230</v>
      </c>
      <c r="E123" s="504" t="s">
        <v>791</v>
      </c>
      <c r="F123" s="13" t="s">
        <v>792</v>
      </c>
      <c r="G123" s="504" t="s">
        <v>793</v>
      </c>
      <c r="H123" s="13" t="s">
        <v>233</v>
      </c>
      <c r="I123" s="13" t="s">
        <v>234</v>
      </c>
      <c r="J123" s="652" t="s">
        <v>794</v>
      </c>
      <c r="K123" s="13"/>
      <c r="L123" s="173"/>
      <c r="M123" s="173"/>
      <c r="N123" s="173"/>
      <c r="O123" s="173"/>
      <c r="P123" s="173"/>
      <c r="Q123" s="173"/>
      <c r="R123" s="610"/>
      <c r="S123" s="610"/>
      <c r="T123" s="610"/>
      <c r="U123" s="610"/>
      <c r="V123" s="610"/>
      <c r="W123" s="610"/>
      <c r="X123" s="610"/>
      <c r="Y123" s="610"/>
      <c r="Z123" s="610"/>
    </row>
    <row r="124">
      <c r="A124" s="344" t="s">
        <v>374</v>
      </c>
      <c r="B124" s="512">
        <f>E124/E128</f>
        <v>0.4825637701</v>
      </c>
      <c r="C124" s="514"/>
      <c r="D124" s="611">
        <v>3283518.0</v>
      </c>
      <c r="E124" s="217">
        <v>3776961.0</v>
      </c>
      <c r="F124" s="518">
        <f t="shared" ref="F124:F126" si="55">G124/D124</f>
        <v>0.08995626033</v>
      </c>
      <c r="G124" s="612">
        <v>295373.0</v>
      </c>
      <c r="H124" s="612">
        <v>49856.0</v>
      </c>
      <c r="I124" s="612">
        <f>R99+R72+R62+R48+R36+R25</f>
        <v>19522</v>
      </c>
      <c r="J124" s="648">
        <f>H124+I124+G124</f>
        <v>364751</v>
      </c>
      <c r="K124" s="584"/>
      <c r="L124" s="528"/>
      <c r="M124" s="528"/>
      <c r="N124" s="528"/>
      <c r="O124" s="528"/>
      <c r="P124" s="528"/>
      <c r="Q124" s="528"/>
      <c r="R124" s="610"/>
      <c r="S124" s="610"/>
      <c r="T124" s="610"/>
      <c r="U124" s="610"/>
      <c r="V124" s="610"/>
      <c r="W124" s="610"/>
      <c r="X124" s="610"/>
      <c r="Y124" s="610"/>
      <c r="Z124" s="610"/>
    </row>
    <row r="125">
      <c r="A125" s="344" t="s">
        <v>409</v>
      </c>
      <c r="B125" s="512">
        <f>E125/E128</f>
        <v>0.2244830113</v>
      </c>
      <c r="C125" s="514"/>
      <c r="D125" s="217">
        <v>1906341.0</v>
      </c>
      <c r="E125" s="217">
        <v>1756998.0</v>
      </c>
      <c r="F125" s="518">
        <f t="shared" si="55"/>
        <v>0.08522189892</v>
      </c>
      <c r="G125" s="612">
        <v>162462.0</v>
      </c>
      <c r="H125" s="613">
        <f>H124/E128</f>
        <v>0.006369856433</v>
      </c>
      <c r="I125" s="518">
        <f>I124/E128</f>
        <v>0.002494230128</v>
      </c>
      <c r="J125" s="613">
        <v>0.1111</v>
      </c>
      <c r="K125" s="653"/>
      <c r="L125" s="528"/>
      <c r="M125" s="528"/>
      <c r="N125" s="528"/>
      <c r="O125" s="528"/>
      <c r="P125" s="528"/>
      <c r="Q125" s="528"/>
      <c r="R125" s="610"/>
      <c r="S125" s="610"/>
      <c r="T125" s="610"/>
      <c r="U125" s="610"/>
      <c r="V125" s="610"/>
      <c r="W125" s="610"/>
      <c r="X125" s="610"/>
      <c r="Y125" s="610"/>
      <c r="Z125" s="610"/>
    </row>
    <row r="126">
      <c r="A126" s="344" t="s">
        <v>240</v>
      </c>
      <c r="B126" s="512">
        <f>E126/E128</f>
        <v>0.2158849317</v>
      </c>
      <c r="C126" s="514"/>
      <c r="D126" s="217">
        <v>1628498.0</v>
      </c>
      <c r="E126" s="217">
        <v>1689702.0</v>
      </c>
      <c r="F126" s="518">
        <f t="shared" si="55"/>
        <v>0.01488058321</v>
      </c>
      <c r="G126" s="612">
        <v>24233.0</v>
      </c>
      <c r="H126" s="614"/>
      <c r="I126" s="614"/>
      <c r="J126" s="614"/>
      <c r="K126" s="574"/>
      <c r="L126" s="528"/>
      <c r="M126" s="528"/>
      <c r="N126" s="528"/>
      <c r="O126" s="528"/>
      <c r="P126" s="528"/>
      <c r="Q126" s="528"/>
      <c r="R126" s="610"/>
      <c r="S126" s="610"/>
      <c r="T126" s="610"/>
      <c r="U126" s="610"/>
      <c r="V126" s="610"/>
      <c r="W126" s="610"/>
      <c r="X126" s="610"/>
      <c r="Y126" s="610"/>
      <c r="Z126" s="610"/>
    </row>
    <row r="127">
      <c r="A127" s="344" t="s">
        <v>461</v>
      </c>
      <c r="B127" s="512">
        <f>E127/E128</f>
        <v>0.07706828686</v>
      </c>
      <c r="C127" s="514"/>
      <c r="D127" s="217">
        <v>496780.0</v>
      </c>
      <c r="E127" s="217">
        <v>603203.0</v>
      </c>
      <c r="F127" s="588" t="s">
        <v>128</v>
      </c>
      <c r="G127" s="612">
        <f>H124+I124</f>
        <v>69378</v>
      </c>
      <c r="H127" s="224"/>
      <c r="I127" s="224"/>
      <c r="J127" s="224"/>
      <c r="K127" s="528"/>
      <c r="L127" s="528"/>
      <c r="M127" s="528"/>
      <c r="N127" s="528"/>
      <c r="O127" s="528"/>
      <c r="P127" s="528"/>
      <c r="Q127" s="528"/>
      <c r="R127" s="610"/>
      <c r="S127" s="610"/>
      <c r="T127" s="610"/>
      <c r="U127" s="610"/>
      <c r="V127" s="610"/>
      <c r="W127" s="610"/>
      <c r="X127" s="610"/>
      <c r="Y127" s="610"/>
      <c r="Z127" s="610"/>
    </row>
    <row r="128">
      <c r="A128" s="13" t="s">
        <v>246</v>
      </c>
      <c r="B128" s="654"/>
      <c r="C128" s="655"/>
      <c r="D128" s="616">
        <v>7315136.0</v>
      </c>
      <c r="E128" s="193">
        <f>SUM(E124:E127)</f>
        <v>7826864</v>
      </c>
      <c r="F128" s="518">
        <f>G128/D128</f>
        <v>0.07538424439</v>
      </c>
      <c r="G128" s="193">
        <f>SUM(G124:G127)</f>
        <v>551446</v>
      </c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610"/>
      <c r="S128" s="610"/>
      <c r="T128" s="610"/>
      <c r="U128" s="610"/>
      <c r="V128" s="610"/>
      <c r="W128" s="610"/>
      <c r="X128" s="610"/>
      <c r="Y128" s="610"/>
      <c r="Z128" s="610"/>
    </row>
    <row r="130">
      <c r="A130" s="201" t="s">
        <v>248</v>
      </c>
      <c r="B130" s="617"/>
      <c r="C130" s="618" t="s">
        <v>795</v>
      </c>
      <c r="D130" s="618" t="s">
        <v>796</v>
      </c>
      <c r="E130" s="619" t="s">
        <v>15</v>
      </c>
      <c r="F130" s="620" t="s">
        <v>578</v>
      </c>
    </row>
    <row r="131">
      <c r="A131" s="89" t="s">
        <v>265</v>
      </c>
      <c r="B131" s="16" t="s">
        <v>266</v>
      </c>
      <c r="C131" s="645">
        <v>33030.0</v>
      </c>
      <c r="D131" s="621">
        <v>34282.0</v>
      </c>
      <c r="E131" s="206">
        <f t="shared" ref="E131:E135" si="56">D131-C131</f>
        <v>1252</v>
      </c>
      <c r="F131" s="622">
        <f t="shared" ref="F131:F135" si="57">D131/C131-1</f>
        <v>0.03790493491</v>
      </c>
    </row>
    <row r="132">
      <c r="A132" s="89" t="s">
        <v>267</v>
      </c>
      <c r="B132" s="16" t="s">
        <v>268</v>
      </c>
      <c r="C132" s="645">
        <v>3973.0</v>
      </c>
      <c r="D132" s="621">
        <v>4298.0</v>
      </c>
      <c r="E132" s="206">
        <f t="shared" si="56"/>
        <v>325</v>
      </c>
      <c r="F132" s="622">
        <f t="shared" si="57"/>
        <v>0.08180216461</v>
      </c>
    </row>
    <row r="133">
      <c r="A133" s="89" t="s">
        <v>269</v>
      </c>
      <c r="B133" s="16" t="s">
        <v>270</v>
      </c>
      <c r="C133" s="645">
        <v>13250.0</v>
      </c>
      <c r="D133" s="621">
        <v>14504.0</v>
      </c>
      <c r="E133" s="206">
        <f t="shared" si="56"/>
        <v>1254</v>
      </c>
      <c r="F133" s="622">
        <f t="shared" si="57"/>
        <v>0.09464150943</v>
      </c>
    </row>
    <row r="134">
      <c r="A134" s="89" t="s">
        <v>271</v>
      </c>
      <c r="B134" s="16" t="s">
        <v>272</v>
      </c>
      <c r="C134" s="645">
        <v>2222.0</v>
      </c>
      <c r="D134" s="621">
        <v>2339.0</v>
      </c>
      <c r="E134" s="206">
        <f t="shared" si="56"/>
        <v>117</v>
      </c>
      <c r="F134" s="622">
        <f t="shared" si="57"/>
        <v>0.05265526553</v>
      </c>
    </row>
    <row r="135">
      <c r="A135" s="89" t="s">
        <v>273</v>
      </c>
      <c r="B135" s="16" t="s">
        <v>274</v>
      </c>
      <c r="C135" s="645">
        <v>15611.0</v>
      </c>
      <c r="D135" s="621">
        <v>16555.0</v>
      </c>
      <c r="E135" s="206">
        <f t="shared" si="56"/>
        <v>944</v>
      </c>
      <c r="F135" s="622">
        <f t="shared" si="57"/>
        <v>0.06047018128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2.63"/>
    <col customWidth="1" min="3" max="3" width="18.75"/>
    <col customWidth="1" min="4" max="4" width="21.75"/>
    <col customWidth="1" min="5" max="5" width="24.13"/>
    <col customWidth="1" min="6" max="6" width="11.25"/>
    <col customWidth="1" min="7" max="7" width="19.88"/>
    <col customWidth="1" min="8" max="8" width="23.25"/>
    <col customWidth="1" min="9" max="9" width="18.75"/>
    <col customWidth="1" min="10" max="10" width="16.5"/>
    <col customWidth="1" min="11" max="11" width="11.25"/>
    <col customWidth="1" min="12" max="12" width="8.63"/>
    <col customWidth="1" min="13" max="13" width="11.13"/>
    <col customWidth="1" min="14" max="14" width="12.5"/>
    <col customWidth="1" min="15" max="15" width="11.5"/>
    <col customWidth="1" min="16" max="16" width="7.75"/>
    <col customWidth="1" min="17" max="17" width="9.63"/>
    <col customWidth="1" min="18" max="18" width="13.25"/>
    <col customWidth="1" min="19" max="19" width="7.63"/>
    <col customWidth="1" min="20" max="20" width="9.13"/>
    <col customWidth="1" min="21" max="21" width="11.38"/>
    <col customWidth="1" min="22" max="22" width="13.0"/>
    <col customWidth="1" min="23" max="23" width="9.75"/>
    <col customWidth="1" min="24" max="24" width="10.25"/>
    <col customWidth="1" min="25" max="25" width="10.88"/>
  </cols>
  <sheetData>
    <row r="1">
      <c r="A1" s="502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9"/>
      <c r="S1" s="229"/>
      <c r="T1" s="229"/>
      <c r="U1" s="229"/>
      <c r="V1" s="229"/>
      <c r="W1" s="229"/>
      <c r="X1" s="229"/>
      <c r="Y1" s="229"/>
    </row>
    <row r="2">
      <c r="A2" s="13" t="s">
        <v>374</v>
      </c>
      <c r="B2" s="13" t="s">
        <v>797</v>
      </c>
      <c r="C2" s="13" t="s">
        <v>729</v>
      </c>
      <c r="D2" s="13" t="s">
        <v>3</v>
      </c>
      <c r="E2" s="13" t="s">
        <v>4</v>
      </c>
      <c r="F2" s="13" t="s">
        <v>5</v>
      </c>
      <c r="G2" s="13" t="s">
        <v>229</v>
      </c>
      <c r="H2" s="649" t="s">
        <v>730</v>
      </c>
      <c r="I2" s="649" t="s">
        <v>798</v>
      </c>
      <c r="J2" s="506" t="s">
        <v>10</v>
      </c>
      <c r="K2" s="506" t="s">
        <v>11</v>
      </c>
      <c r="L2" s="507" t="s">
        <v>476</v>
      </c>
      <c r="M2" s="507" t="s">
        <v>13</v>
      </c>
      <c r="N2" s="13" t="s">
        <v>799</v>
      </c>
      <c r="O2" s="507" t="s">
        <v>800</v>
      </c>
      <c r="P2" s="13" t="s">
        <v>16</v>
      </c>
      <c r="Q2" s="509" t="s">
        <v>17</v>
      </c>
      <c r="R2" s="238" t="s">
        <v>21</v>
      </c>
      <c r="S2" s="238" t="s">
        <v>22</v>
      </c>
      <c r="T2" s="656" t="s">
        <v>23</v>
      </c>
      <c r="U2" s="656" t="s">
        <v>24</v>
      </c>
      <c r="V2" s="238" t="s">
        <v>25</v>
      </c>
      <c r="W2" s="238" t="s">
        <v>26</v>
      </c>
      <c r="X2" s="238" t="s">
        <v>27</v>
      </c>
      <c r="Y2" s="238" t="s">
        <v>28</v>
      </c>
    </row>
    <row r="3">
      <c r="A3" s="565" t="s">
        <v>733</v>
      </c>
      <c r="B3" s="565" t="s">
        <v>733</v>
      </c>
      <c r="C3" s="512">
        <f>H3/E170</f>
        <v>0</v>
      </c>
      <c r="D3" s="344" t="s">
        <v>346</v>
      </c>
      <c r="E3" s="344" t="s">
        <v>347</v>
      </c>
      <c r="F3" s="195">
        <v>8.3</v>
      </c>
      <c r="G3" s="217">
        <v>34302.0</v>
      </c>
      <c r="H3" s="217">
        <v>0.0</v>
      </c>
      <c r="I3" s="216">
        <v>228.68</v>
      </c>
      <c r="J3" s="515">
        <f>IFERROR(__xludf.DUMMYFUNCTION("GOOGLEFINANCE(E3,""changepct"")"),-1.09)</f>
        <v>-1.09</v>
      </c>
      <c r="K3" s="516">
        <f>IFERROR(__xludf.DUMMYFUNCTION("googlefinance(E3,""price"")"),84.13)</f>
        <v>84.13</v>
      </c>
      <c r="L3" s="216">
        <v>228.84</v>
      </c>
      <c r="M3" s="517">
        <f t="shared" ref="M3:M32" si="1">K3-I3</f>
        <v>-144.55</v>
      </c>
      <c r="N3" s="518">
        <f>L3/I3-1</f>
        <v>0.0006996676579</v>
      </c>
      <c r="O3" s="514">
        <f t="shared" ref="O3:O32" si="2">G3*N3</f>
        <v>24</v>
      </c>
      <c r="P3" s="528"/>
      <c r="Q3" s="528"/>
      <c r="R3" s="210" t="s">
        <v>347</v>
      </c>
      <c r="S3" s="211">
        <v>44512.0</v>
      </c>
      <c r="T3" s="212">
        <v>228.84</v>
      </c>
      <c r="U3" s="213">
        <v>34326.0</v>
      </c>
      <c r="V3" s="657"/>
      <c r="W3" s="257"/>
      <c r="X3" s="258"/>
      <c r="Y3" s="658"/>
    </row>
    <row r="4">
      <c r="A4" s="527">
        <f>B165</f>
        <v>0.3573229534</v>
      </c>
      <c r="B4" s="527" t="str">
        <f>H33/E170</f>
        <v>#N/A</v>
      </c>
      <c r="C4" s="512">
        <f>H4/E170</f>
        <v>0.002297975048</v>
      </c>
      <c r="D4" s="344" t="s">
        <v>530</v>
      </c>
      <c r="E4" s="344" t="s">
        <v>34</v>
      </c>
      <c r="F4" s="195">
        <v>8.1</v>
      </c>
      <c r="G4" s="217">
        <v>44432.0</v>
      </c>
      <c r="H4" s="514">
        <f t="shared" ref="H4:H13" si="3">G4+O4</f>
        <v>16810</v>
      </c>
      <c r="I4" s="216">
        <v>222.16</v>
      </c>
      <c r="J4" s="515">
        <f>IFERROR(__xludf.DUMMYFUNCTION("GOOGLEFINANCE(E4,""changepct"")"),-2.94)</f>
        <v>-2.94</v>
      </c>
      <c r="K4" s="516">
        <f>IFERROR(__xludf.DUMMYFUNCTION("googlefinance(E4,""price"")"),84.05)</f>
        <v>84.05</v>
      </c>
      <c r="L4" s="517"/>
      <c r="M4" s="517">
        <f t="shared" si="1"/>
        <v>-138.11</v>
      </c>
      <c r="N4" s="518">
        <f t="shared" ref="N4:N13" si="4">K4/I4-1</f>
        <v>-0.6216690673</v>
      </c>
      <c r="O4" s="514">
        <f t="shared" si="2"/>
        <v>-27622</v>
      </c>
      <c r="P4" s="528"/>
      <c r="Q4" s="528"/>
      <c r="R4" s="657"/>
      <c r="S4" s="257"/>
      <c r="T4" s="258"/>
      <c r="U4" s="658"/>
      <c r="V4" s="657"/>
      <c r="W4" s="257"/>
      <c r="X4" s="258"/>
      <c r="Y4" s="658"/>
    </row>
    <row r="5">
      <c r="A5" s="344"/>
      <c r="B5" s="344"/>
      <c r="C5" s="512">
        <f>H5/E170</f>
        <v>0.002300162294</v>
      </c>
      <c r="D5" s="344" t="s">
        <v>346</v>
      </c>
      <c r="E5" s="344" t="s">
        <v>347</v>
      </c>
      <c r="F5" s="195">
        <v>8.3</v>
      </c>
      <c r="G5" s="217">
        <v>47298.0</v>
      </c>
      <c r="H5" s="514">
        <f t="shared" si="3"/>
        <v>16826</v>
      </c>
      <c r="I5" s="216">
        <v>236.49</v>
      </c>
      <c r="J5" s="515">
        <f>IFERROR(__xludf.DUMMYFUNCTION("GOOGLEFINANCE(E5,""changepct"")"),-1.09)</f>
        <v>-1.09</v>
      </c>
      <c r="K5" s="516">
        <f>IFERROR(__xludf.DUMMYFUNCTION("googlefinance(E5,""price"")"),84.13)</f>
        <v>84.13</v>
      </c>
      <c r="L5" s="517"/>
      <c r="M5" s="517">
        <f t="shared" si="1"/>
        <v>-152.36</v>
      </c>
      <c r="N5" s="518">
        <f t="shared" si="4"/>
        <v>-0.6442555711</v>
      </c>
      <c r="O5" s="514">
        <f t="shared" si="2"/>
        <v>-30472</v>
      </c>
      <c r="P5" s="538"/>
      <c r="Q5" s="528"/>
      <c r="R5" s="657"/>
      <c r="S5" s="257"/>
      <c r="T5" s="258"/>
      <c r="U5" s="658"/>
      <c r="V5" s="210" t="s">
        <v>347</v>
      </c>
      <c r="W5" s="211">
        <v>44273.0</v>
      </c>
      <c r="X5" s="212">
        <v>236.49</v>
      </c>
      <c r="Y5" s="213">
        <v>47298.0</v>
      </c>
    </row>
    <row r="6">
      <c r="A6" s="344"/>
      <c r="B6" s="344"/>
      <c r="C6" s="512">
        <f>H6/E170</f>
        <v>0.008711321293</v>
      </c>
      <c r="D6" s="104" t="s">
        <v>734</v>
      </c>
      <c r="E6" s="104" t="s">
        <v>74</v>
      </c>
      <c r="F6" s="195">
        <v>7.8</v>
      </c>
      <c r="G6" s="217">
        <v>34218.0</v>
      </c>
      <c r="H6" s="514">
        <f t="shared" si="3"/>
        <v>63724.5</v>
      </c>
      <c r="I6" s="216">
        <v>228.12</v>
      </c>
      <c r="J6" s="515">
        <f>IFERROR(__xludf.DUMMYFUNCTION("GOOGLEFINANCE(E6,""changepct"")"),-1.32)</f>
        <v>-1.32</v>
      </c>
      <c r="K6" s="516">
        <f>IFERROR(__xludf.DUMMYFUNCTION("googlefinance(E6,""price"")"),424.83)</f>
        <v>424.83</v>
      </c>
      <c r="L6" s="517"/>
      <c r="M6" s="517">
        <f t="shared" si="1"/>
        <v>196.71</v>
      </c>
      <c r="N6" s="518">
        <f t="shared" si="4"/>
        <v>0.8623093109</v>
      </c>
      <c r="O6" s="514">
        <f t="shared" si="2"/>
        <v>29506.5</v>
      </c>
      <c r="P6" s="538">
        <v>0.01</v>
      </c>
      <c r="Q6" s="528"/>
      <c r="R6" s="657"/>
      <c r="S6" s="257"/>
      <c r="T6" s="258"/>
      <c r="U6" s="658"/>
      <c r="V6" s="210" t="s">
        <v>74</v>
      </c>
      <c r="W6" s="211">
        <v>44221.0</v>
      </c>
      <c r="X6" s="212">
        <v>228.12</v>
      </c>
      <c r="Y6" s="213">
        <v>34218.0</v>
      </c>
    </row>
    <row r="7">
      <c r="A7" s="344"/>
      <c r="B7" s="344"/>
      <c r="C7" s="512">
        <f>H7/E170</f>
        <v>0.0005268164944</v>
      </c>
      <c r="D7" s="344" t="s">
        <v>30</v>
      </c>
      <c r="E7" s="344" t="s">
        <v>31</v>
      </c>
      <c r="F7" s="195">
        <v>8.1</v>
      </c>
      <c r="G7" s="217">
        <v>35196.0</v>
      </c>
      <c r="H7" s="514">
        <f t="shared" si="3"/>
        <v>3853.734304</v>
      </c>
      <c r="I7" s="216">
        <v>1759.83</v>
      </c>
      <c r="J7" s="515">
        <f>IFERROR(__xludf.DUMMYFUNCTION("GOOGLEFINANCE(E7,""changepct"")"),-0.7)</f>
        <v>-0.7</v>
      </c>
      <c r="K7" s="516">
        <f>IFERROR(__xludf.DUMMYFUNCTION("googlefinance(E7,""price"")"),192.69)</f>
        <v>192.69</v>
      </c>
      <c r="L7" s="517"/>
      <c r="M7" s="517">
        <f t="shared" si="1"/>
        <v>-1567.14</v>
      </c>
      <c r="N7" s="518">
        <f t="shared" si="4"/>
        <v>-0.8905064694</v>
      </c>
      <c r="O7" s="514">
        <f t="shared" si="2"/>
        <v>-31342.2657</v>
      </c>
      <c r="P7" s="528"/>
      <c r="Q7" s="528"/>
      <c r="R7" s="657"/>
      <c r="S7" s="257"/>
      <c r="T7" s="258"/>
      <c r="U7" s="658"/>
      <c r="V7" s="657"/>
      <c r="W7" s="257"/>
      <c r="X7" s="258"/>
      <c r="Y7" s="658"/>
    </row>
    <row r="8">
      <c r="A8" s="528"/>
      <c r="B8" s="528"/>
      <c r="C8" s="512">
        <f>H8/E170</f>
        <v>0.0009397637993</v>
      </c>
      <c r="D8" s="631" t="s">
        <v>380</v>
      </c>
      <c r="E8" s="631" t="s">
        <v>53</v>
      </c>
      <c r="F8" s="659">
        <v>7.6</v>
      </c>
      <c r="G8" s="217">
        <v>26275.0</v>
      </c>
      <c r="H8" s="514">
        <f t="shared" si="3"/>
        <v>6874.5</v>
      </c>
      <c r="I8" s="216">
        <v>525.5</v>
      </c>
      <c r="J8" s="515">
        <f>IFERROR(__xludf.DUMMYFUNCTION("GOOGLEFINANCE(E8,""changepct"")"),0.35)</f>
        <v>0.35</v>
      </c>
      <c r="K8" s="516">
        <f>IFERROR(__xludf.DUMMYFUNCTION("googlefinance(E8,""price"")"),137.49)</f>
        <v>137.49</v>
      </c>
      <c r="L8" s="517"/>
      <c r="M8" s="517">
        <f t="shared" si="1"/>
        <v>-388.01</v>
      </c>
      <c r="N8" s="518">
        <f t="shared" si="4"/>
        <v>-0.7383634634</v>
      </c>
      <c r="O8" s="514">
        <f t="shared" si="2"/>
        <v>-19400.5</v>
      </c>
      <c r="P8" s="528"/>
      <c r="Q8" s="528"/>
      <c r="R8" s="657"/>
      <c r="S8" s="257"/>
      <c r="T8" s="258"/>
      <c r="U8" s="658"/>
      <c r="V8" s="657"/>
      <c r="W8" s="257"/>
      <c r="X8" s="258"/>
      <c r="Y8" s="658"/>
    </row>
    <row r="9">
      <c r="A9" s="528"/>
      <c r="B9" s="528"/>
      <c r="C9" s="512">
        <f>H9/E170</f>
        <v>0.002532557153</v>
      </c>
      <c r="D9" s="344" t="s">
        <v>632</v>
      </c>
      <c r="E9" s="344" t="s">
        <v>674</v>
      </c>
      <c r="F9" s="195">
        <v>8.2</v>
      </c>
      <c r="G9" s="217">
        <v>27400.0</v>
      </c>
      <c r="H9" s="514">
        <f t="shared" si="3"/>
        <v>18526</v>
      </c>
      <c r="I9" s="216">
        <v>274.0</v>
      </c>
      <c r="J9" s="515">
        <f>IFERROR(__xludf.DUMMYFUNCTION("GOOGLEFINANCE(E9,""changepct"")"),0.0)</f>
        <v>0</v>
      </c>
      <c r="K9" s="516">
        <f>IFERROR(__xludf.DUMMYFUNCTION("googlefinance(E9,""price"")"),185.26)</f>
        <v>185.26</v>
      </c>
      <c r="L9" s="517"/>
      <c r="M9" s="517">
        <f t="shared" si="1"/>
        <v>-88.74</v>
      </c>
      <c r="N9" s="518">
        <f t="shared" si="4"/>
        <v>-0.3238686131</v>
      </c>
      <c r="O9" s="514">
        <f t="shared" si="2"/>
        <v>-8874</v>
      </c>
      <c r="P9" s="528"/>
      <c r="Q9" s="528"/>
      <c r="R9" s="657"/>
      <c r="S9" s="257"/>
      <c r="T9" s="258"/>
      <c r="U9" s="658"/>
      <c r="V9" s="657"/>
      <c r="W9" s="257"/>
      <c r="X9" s="258"/>
      <c r="Y9" s="658"/>
    </row>
    <row r="10">
      <c r="A10" s="528"/>
      <c r="B10" s="528"/>
      <c r="C10" s="512">
        <f>H10/E170</f>
        <v>0.005200176729</v>
      </c>
      <c r="D10" s="529" t="s">
        <v>735</v>
      </c>
      <c r="E10" s="529" t="s">
        <v>736</v>
      </c>
      <c r="F10" s="530">
        <v>8.1</v>
      </c>
      <c r="G10" s="217">
        <v>68020.0</v>
      </c>
      <c r="H10" s="514">
        <f t="shared" si="3"/>
        <v>38040</v>
      </c>
      <c r="I10" s="216">
        <v>34.01</v>
      </c>
      <c r="J10" s="515">
        <f>IFERROR(__xludf.DUMMYFUNCTION("GOOGLEFINANCE(E10,""changepct"")"),-1.99)</f>
        <v>-1.99</v>
      </c>
      <c r="K10" s="516">
        <f>IFERROR(__xludf.DUMMYFUNCTION("googlefinance(E10,""price"")"),19.02)</f>
        <v>19.02</v>
      </c>
      <c r="L10" s="216"/>
      <c r="M10" s="517">
        <f t="shared" si="1"/>
        <v>-14.99</v>
      </c>
      <c r="N10" s="518">
        <f t="shared" si="4"/>
        <v>-0.4407527198</v>
      </c>
      <c r="O10" s="514">
        <f t="shared" si="2"/>
        <v>-29980</v>
      </c>
      <c r="P10" s="528"/>
      <c r="Q10" s="528"/>
      <c r="R10" s="210"/>
      <c r="S10" s="211"/>
      <c r="T10" s="212"/>
      <c r="U10" s="213"/>
      <c r="V10" s="210" t="s">
        <v>736</v>
      </c>
      <c r="W10" s="211">
        <v>44263.0</v>
      </c>
      <c r="X10" s="212">
        <v>34.01</v>
      </c>
      <c r="Y10" s="213">
        <v>68020.0</v>
      </c>
    </row>
    <row r="11">
      <c r="A11" s="528"/>
      <c r="B11" s="528"/>
      <c r="C11" s="512" t="str">
        <f>H11/E170</f>
        <v>#N/A</v>
      </c>
      <c r="D11" s="529" t="s">
        <v>737</v>
      </c>
      <c r="E11" s="529" t="s">
        <v>738</v>
      </c>
      <c r="F11" s="530">
        <v>7.5</v>
      </c>
      <c r="G11" s="217">
        <v>29780.0</v>
      </c>
      <c r="H11" s="514" t="str">
        <f t="shared" si="3"/>
        <v>#N/A</v>
      </c>
      <c r="I11" s="216">
        <v>29.78</v>
      </c>
      <c r="J11" s="515" t="str">
        <f>IFERROR(__xludf.DUMMYFUNCTION("GOOGLEFINANCE(E11,""changepct"")"),"#N/A")</f>
        <v>#N/A</v>
      </c>
      <c r="K11" s="516" t="str">
        <f>IFERROR(__xludf.DUMMYFUNCTION("googlefinance(E11,""price"")"),"#N/A")</f>
        <v>#N/A</v>
      </c>
      <c r="L11" s="216"/>
      <c r="M11" s="528" t="str">
        <f t="shared" si="1"/>
        <v>#N/A</v>
      </c>
      <c r="N11" s="518" t="str">
        <f t="shared" si="4"/>
        <v>#N/A</v>
      </c>
      <c r="O11" s="528" t="str">
        <f t="shared" si="2"/>
        <v>#N/A</v>
      </c>
      <c r="P11" s="528"/>
      <c r="Q11" s="528"/>
      <c r="R11" s="210"/>
      <c r="S11" s="211"/>
      <c r="T11" s="212"/>
      <c r="U11" s="213"/>
      <c r="V11" s="210" t="s">
        <v>738</v>
      </c>
      <c r="W11" s="211">
        <v>44253.0</v>
      </c>
      <c r="X11" s="212">
        <v>29.78</v>
      </c>
      <c r="Y11" s="213">
        <v>29780.0</v>
      </c>
    </row>
    <row r="12">
      <c r="A12" s="528"/>
      <c r="B12" s="528"/>
      <c r="C12" s="512">
        <f>H12/E170</f>
        <v>0.005706114008</v>
      </c>
      <c r="D12" s="529" t="s">
        <v>648</v>
      </c>
      <c r="E12" s="529" t="s">
        <v>36</v>
      </c>
      <c r="F12" s="530">
        <v>7.7</v>
      </c>
      <c r="G12" s="217">
        <v>58871.0</v>
      </c>
      <c r="H12" s="217">
        <f t="shared" si="3"/>
        <v>41741</v>
      </c>
      <c r="I12" s="216">
        <v>588.71</v>
      </c>
      <c r="J12" s="515">
        <f>IFERROR(__xludf.DUMMYFUNCTION("GOOGLEFINANCE(E12,""changepct"")"),-3.3)</f>
        <v>-3.3</v>
      </c>
      <c r="K12" s="516">
        <f>IFERROR(__xludf.DUMMYFUNCTION("googlefinance(E12,""price"")"),417.41)</f>
        <v>417.41</v>
      </c>
      <c r="L12" s="216"/>
      <c r="M12" s="517">
        <f t="shared" si="1"/>
        <v>-171.3</v>
      </c>
      <c r="N12" s="518">
        <f t="shared" si="4"/>
        <v>-0.290975183</v>
      </c>
      <c r="O12" s="514">
        <f t="shared" si="2"/>
        <v>-17130</v>
      </c>
      <c r="P12" s="528"/>
      <c r="Q12" s="528"/>
      <c r="R12" s="210"/>
      <c r="S12" s="211"/>
      <c r="T12" s="212"/>
      <c r="U12" s="213"/>
      <c r="V12" s="210" t="s">
        <v>36</v>
      </c>
      <c r="W12" s="211">
        <v>44260.0</v>
      </c>
      <c r="X12" s="212">
        <v>588.71</v>
      </c>
      <c r="Y12" s="213">
        <v>58871.0</v>
      </c>
    </row>
    <row r="13">
      <c r="A13" s="528"/>
      <c r="B13" s="528"/>
      <c r="C13" s="512">
        <f>H13/E170</f>
        <v>0.0005987585193</v>
      </c>
      <c r="D13" s="563" t="s">
        <v>490</v>
      </c>
      <c r="E13" s="563" t="s">
        <v>349</v>
      </c>
      <c r="F13" s="530">
        <v>7.5</v>
      </c>
      <c r="G13" s="217">
        <v>36810.0</v>
      </c>
      <c r="H13" s="217">
        <f t="shared" si="3"/>
        <v>4380</v>
      </c>
      <c r="I13" s="216">
        <v>36.81</v>
      </c>
      <c r="J13" s="515">
        <f>IFERROR(__xludf.DUMMYFUNCTION("GOOGLEFINANCE(E13,""changepct"")"),-2.23)</f>
        <v>-2.23</v>
      </c>
      <c r="K13" s="516">
        <f>IFERROR(__xludf.DUMMYFUNCTION("googlefinance(E13,""price"")"),4.38)</f>
        <v>4.38</v>
      </c>
      <c r="L13" s="216"/>
      <c r="M13" s="517">
        <f t="shared" si="1"/>
        <v>-32.43</v>
      </c>
      <c r="N13" s="518">
        <f t="shared" si="4"/>
        <v>-0.8810105949</v>
      </c>
      <c r="O13" s="514">
        <f t="shared" si="2"/>
        <v>-32430</v>
      </c>
      <c r="P13" s="528"/>
      <c r="Q13" s="528"/>
      <c r="R13" s="210"/>
      <c r="S13" s="211"/>
      <c r="T13" s="212"/>
      <c r="U13" s="213"/>
      <c r="V13" s="210" t="s">
        <v>349</v>
      </c>
      <c r="W13" s="211">
        <v>44260.0</v>
      </c>
      <c r="X13" s="212">
        <v>36.81</v>
      </c>
      <c r="Y13" s="213">
        <v>36810.0</v>
      </c>
    </row>
    <row r="14">
      <c r="A14" s="528"/>
      <c r="B14" s="528"/>
      <c r="C14" s="512">
        <f>H14/E170</f>
        <v>0</v>
      </c>
      <c r="D14" s="563" t="s">
        <v>490</v>
      </c>
      <c r="E14" s="563" t="s">
        <v>349</v>
      </c>
      <c r="F14" s="530">
        <v>7.5</v>
      </c>
      <c r="G14" s="217">
        <v>24850.0</v>
      </c>
      <c r="H14" s="217">
        <v>0.0</v>
      </c>
      <c r="I14" s="216">
        <v>49.7</v>
      </c>
      <c r="J14" s="515">
        <f>IFERROR(__xludf.DUMMYFUNCTION("GOOGLEFINANCE(E14,""changepct"")"),-2.23)</f>
        <v>-2.23</v>
      </c>
      <c r="K14" s="516">
        <f>IFERROR(__xludf.DUMMYFUNCTION("googlefinance(E14,""price"")"),4.38)</f>
        <v>4.38</v>
      </c>
      <c r="L14" s="216">
        <v>64.16</v>
      </c>
      <c r="M14" s="517">
        <f t="shared" si="1"/>
        <v>-45.32</v>
      </c>
      <c r="N14" s="518">
        <f t="shared" ref="N14:N15" si="5">L14/I14-1</f>
        <v>0.290945674</v>
      </c>
      <c r="O14" s="514">
        <f t="shared" si="2"/>
        <v>7230</v>
      </c>
      <c r="P14" s="528"/>
      <c r="Q14" s="528"/>
      <c r="R14" s="210" t="s">
        <v>349</v>
      </c>
      <c r="S14" s="211">
        <v>44207.0</v>
      </c>
      <c r="T14" s="212">
        <v>64.16</v>
      </c>
      <c r="U14" s="213">
        <v>32080.0</v>
      </c>
      <c r="V14" s="657"/>
      <c r="W14" s="257"/>
      <c r="X14" s="258"/>
      <c r="Y14" s="658"/>
    </row>
    <row r="15">
      <c r="A15" s="528"/>
      <c r="B15" s="528"/>
      <c r="C15" s="512">
        <f>H15/E170</f>
        <v>0</v>
      </c>
      <c r="D15" s="344" t="s">
        <v>801</v>
      </c>
      <c r="E15" s="344" t="s">
        <v>802</v>
      </c>
      <c r="F15" s="569">
        <v>6.5</v>
      </c>
      <c r="G15" s="217">
        <v>35400.0</v>
      </c>
      <c r="H15" s="217">
        <v>0.0</v>
      </c>
      <c r="I15" s="216">
        <v>17.7</v>
      </c>
      <c r="J15" s="515">
        <f>IFERROR(__xludf.DUMMYFUNCTION("GOOGLEFINANCE(E15,""changepct"")"),-2.88)</f>
        <v>-2.88</v>
      </c>
      <c r="K15" s="516">
        <f>IFERROR(__xludf.DUMMYFUNCTION("googlefinance(E15,""price"")"),2.02)</f>
        <v>2.02</v>
      </c>
      <c r="L15" s="216">
        <v>24.96</v>
      </c>
      <c r="M15" s="517">
        <f t="shared" si="1"/>
        <v>-15.68</v>
      </c>
      <c r="N15" s="518">
        <f t="shared" si="5"/>
        <v>0.4101694915</v>
      </c>
      <c r="O15" s="514">
        <f t="shared" si="2"/>
        <v>14520</v>
      </c>
      <c r="P15" s="528"/>
      <c r="Q15" s="528"/>
      <c r="R15" s="210" t="s">
        <v>802</v>
      </c>
      <c r="S15" s="211">
        <v>44236.0</v>
      </c>
      <c r="T15" s="212">
        <v>24.96</v>
      </c>
      <c r="U15" s="213">
        <v>49920.0</v>
      </c>
      <c r="V15" s="657"/>
      <c r="W15" s="257"/>
      <c r="X15" s="258"/>
      <c r="Y15" s="658"/>
    </row>
    <row r="16">
      <c r="A16" s="528"/>
      <c r="B16" s="528"/>
      <c r="C16" s="512">
        <f>H16/E170</f>
        <v>0.0023626355</v>
      </c>
      <c r="D16" s="104" t="s">
        <v>378</v>
      </c>
      <c r="E16" s="344" t="s">
        <v>379</v>
      </c>
      <c r="F16" s="569">
        <v>7.8</v>
      </c>
      <c r="G16" s="217">
        <v>43023.0</v>
      </c>
      <c r="H16" s="514">
        <f>G16+O16</f>
        <v>17283</v>
      </c>
      <c r="I16" s="216">
        <v>143.41</v>
      </c>
      <c r="J16" s="515">
        <f>IFERROR(__xludf.DUMMYFUNCTION("GOOGLEFINANCE(E16,""changepct"")"),-2.8)</f>
        <v>-2.8</v>
      </c>
      <c r="K16" s="516">
        <f>IFERROR(__xludf.DUMMYFUNCTION("googlefinance(E16,""price"")"),57.61)</f>
        <v>57.61</v>
      </c>
      <c r="L16" s="216"/>
      <c r="M16" s="517">
        <f t="shared" si="1"/>
        <v>-85.8</v>
      </c>
      <c r="N16" s="518">
        <f>K16/I16-1</f>
        <v>-0.5982846384</v>
      </c>
      <c r="O16" s="514">
        <f t="shared" si="2"/>
        <v>-25740</v>
      </c>
      <c r="P16" s="528"/>
      <c r="Q16" s="528"/>
      <c r="R16" s="210"/>
      <c r="S16" s="211"/>
      <c r="T16" s="212"/>
      <c r="U16" s="213"/>
      <c r="V16" s="210" t="s">
        <v>379</v>
      </c>
      <c r="W16" s="211">
        <v>44210.0</v>
      </c>
      <c r="X16" s="212">
        <v>143.41</v>
      </c>
      <c r="Y16" s="213">
        <v>43023.0</v>
      </c>
    </row>
    <row r="17">
      <c r="A17" s="528"/>
      <c r="B17" s="528"/>
      <c r="C17" s="512">
        <f>H17/E170</f>
        <v>0</v>
      </c>
      <c r="D17" s="104" t="s">
        <v>378</v>
      </c>
      <c r="E17" s="344" t="s">
        <v>379</v>
      </c>
      <c r="F17" s="569">
        <v>7.8</v>
      </c>
      <c r="G17" s="217">
        <v>25386.0</v>
      </c>
      <c r="H17" s="217">
        <v>0.0</v>
      </c>
      <c r="I17" s="216">
        <v>126.93</v>
      </c>
      <c r="J17" s="515">
        <f>IFERROR(__xludf.DUMMYFUNCTION("GOOGLEFINANCE(E17,""changepct"")"),-2.8)</f>
        <v>-2.8</v>
      </c>
      <c r="K17" s="516">
        <f>IFERROR(__xludf.DUMMYFUNCTION("googlefinance(E17,""price"")"),57.61)</f>
        <v>57.61</v>
      </c>
      <c r="L17" s="216">
        <v>140.02</v>
      </c>
      <c r="M17" s="517">
        <f t="shared" si="1"/>
        <v>-69.32</v>
      </c>
      <c r="N17" s="518">
        <f>L17/I17-1</f>
        <v>0.1031277082</v>
      </c>
      <c r="O17" s="514">
        <f t="shared" si="2"/>
        <v>2618</v>
      </c>
      <c r="P17" s="528"/>
      <c r="Q17" s="528"/>
      <c r="R17" s="210" t="s">
        <v>379</v>
      </c>
      <c r="S17" s="211">
        <v>44207.0</v>
      </c>
      <c r="T17" s="212">
        <v>140.02</v>
      </c>
      <c r="U17" s="213">
        <v>28004.0</v>
      </c>
      <c r="V17" s="657"/>
      <c r="W17" s="257"/>
      <c r="X17" s="258"/>
      <c r="Y17" s="658"/>
    </row>
    <row r="18">
      <c r="A18" s="528"/>
      <c r="B18" s="528"/>
      <c r="C18" s="512">
        <f>H18/E170</f>
        <v>0.003749417646</v>
      </c>
      <c r="D18" s="344" t="s">
        <v>739</v>
      </c>
      <c r="E18" s="344" t="s">
        <v>334</v>
      </c>
      <c r="F18" s="569">
        <v>7.9</v>
      </c>
      <c r="G18" s="217">
        <v>40287.5</v>
      </c>
      <c r="H18" s="217">
        <f>G18+O18</f>
        <v>27427.5</v>
      </c>
      <c r="I18" s="216">
        <v>161.15</v>
      </c>
      <c r="J18" s="515">
        <f>IFERROR(__xludf.DUMMYFUNCTION("GOOGLEFINANCE(E18,""changepct"")"),-1.76)</f>
        <v>-1.76</v>
      </c>
      <c r="K18" s="516">
        <f>IFERROR(__xludf.DUMMYFUNCTION("googlefinance(E18,""price"")"),109.71)</f>
        <v>109.71</v>
      </c>
      <c r="L18" s="216"/>
      <c r="M18" s="517">
        <f t="shared" si="1"/>
        <v>-51.44</v>
      </c>
      <c r="N18" s="518">
        <f>K18/I18-1</f>
        <v>-0.319205709</v>
      </c>
      <c r="O18" s="514">
        <f t="shared" si="2"/>
        <v>-12860</v>
      </c>
      <c r="P18" s="528"/>
      <c r="Q18" s="528"/>
      <c r="R18" s="210"/>
      <c r="S18" s="211"/>
      <c r="T18" s="212"/>
      <c r="U18" s="213"/>
      <c r="V18" s="210" t="s">
        <v>334</v>
      </c>
      <c r="W18" s="211">
        <v>44210.0</v>
      </c>
      <c r="X18" s="212">
        <v>161.15</v>
      </c>
      <c r="Y18" s="213">
        <v>40287.5</v>
      </c>
    </row>
    <row r="19">
      <c r="A19" s="528"/>
      <c r="B19" s="528"/>
      <c r="C19" s="512">
        <f>H19/E170</f>
        <v>0</v>
      </c>
      <c r="D19" s="344" t="s">
        <v>739</v>
      </c>
      <c r="E19" s="344" t="s">
        <v>334</v>
      </c>
      <c r="F19" s="569">
        <v>7.9</v>
      </c>
      <c r="G19" s="217">
        <v>29580.0</v>
      </c>
      <c r="H19" s="217">
        <v>0.0</v>
      </c>
      <c r="I19" s="216">
        <v>147.9</v>
      </c>
      <c r="J19" s="515">
        <f>IFERROR(__xludf.DUMMYFUNCTION("GOOGLEFINANCE(E19,""changepct"")"),-1.76)</f>
        <v>-1.76</v>
      </c>
      <c r="K19" s="516">
        <f>IFERROR(__xludf.DUMMYFUNCTION("googlefinance(E19,""price"")"),109.71)</f>
        <v>109.71</v>
      </c>
      <c r="L19" s="216">
        <v>156.82</v>
      </c>
      <c r="M19" s="517">
        <f t="shared" si="1"/>
        <v>-38.19</v>
      </c>
      <c r="N19" s="518">
        <f>L19/I19-1</f>
        <v>0.06031102096</v>
      </c>
      <c r="O19" s="514">
        <f t="shared" si="2"/>
        <v>1784</v>
      </c>
      <c r="P19" s="528"/>
      <c r="Q19" s="528"/>
      <c r="R19" s="210" t="s">
        <v>334</v>
      </c>
      <c r="S19" s="211">
        <v>44207.0</v>
      </c>
      <c r="T19" s="212">
        <v>156.82</v>
      </c>
      <c r="U19" s="213">
        <v>31364.0</v>
      </c>
      <c r="V19" s="657"/>
      <c r="W19" s="257"/>
      <c r="X19" s="258"/>
      <c r="Y19" s="658"/>
    </row>
    <row r="20">
      <c r="A20" s="528"/>
      <c r="B20" s="528"/>
      <c r="C20" s="512">
        <f>H20/E170</f>
        <v>0.005369004759</v>
      </c>
      <c r="D20" s="344" t="s">
        <v>740</v>
      </c>
      <c r="E20" s="344" t="s">
        <v>377</v>
      </c>
      <c r="F20" s="569">
        <v>7.8</v>
      </c>
      <c r="G20" s="217">
        <v>43520.0</v>
      </c>
      <c r="H20" s="217">
        <f>G20+O20</f>
        <v>39275</v>
      </c>
      <c r="I20" s="216">
        <v>87.04</v>
      </c>
      <c r="J20" s="515">
        <f>IFERROR(__xludf.DUMMYFUNCTION("GOOGLEFINANCE(E20,""changepct"")"),-2.29)</f>
        <v>-2.29</v>
      </c>
      <c r="K20" s="516">
        <f>IFERROR(__xludf.DUMMYFUNCTION("googlefinance(E20,""price"")"),78.55)</f>
        <v>78.55</v>
      </c>
      <c r="L20" s="216"/>
      <c r="M20" s="517">
        <f t="shared" si="1"/>
        <v>-8.49</v>
      </c>
      <c r="N20" s="518">
        <f>K20/I20-1</f>
        <v>-0.09754136029</v>
      </c>
      <c r="O20" s="514">
        <f t="shared" si="2"/>
        <v>-4245</v>
      </c>
      <c r="P20" s="528"/>
      <c r="Q20" s="528"/>
      <c r="R20" s="210"/>
      <c r="S20" s="211"/>
      <c r="T20" s="212"/>
      <c r="U20" s="213"/>
      <c r="V20" s="210" t="s">
        <v>377</v>
      </c>
      <c r="W20" s="211">
        <v>44210.0</v>
      </c>
      <c r="X20" s="212">
        <v>87.04</v>
      </c>
      <c r="Y20" s="213">
        <v>43520.0</v>
      </c>
    </row>
    <row r="21">
      <c r="A21" s="528"/>
      <c r="B21" s="528"/>
      <c r="C21" s="512">
        <f>H21/E170</f>
        <v>0</v>
      </c>
      <c r="D21" s="344" t="s">
        <v>740</v>
      </c>
      <c r="E21" s="344" t="s">
        <v>377</v>
      </c>
      <c r="F21" s="569">
        <v>7.8</v>
      </c>
      <c r="G21" s="217">
        <v>30604.0</v>
      </c>
      <c r="H21" s="217">
        <v>0.0</v>
      </c>
      <c r="I21" s="216">
        <v>76.51</v>
      </c>
      <c r="J21" s="515">
        <f>IFERROR(__xludf.DUMMYFUNCTION("GOOGLEFINANCE(E21,""changepct"")"),-2.29)</f>
        <v>-2.29</v>
      </c>
      <c r="K21" s="516">
        <f>IFERROR(__xludf.DUMMYFUNCTION("googlefinance(E21,""price"")"),78.55)</f>
        <v>78.55</v>
      </c>
      <c r="L21" s="216">
        <v>85.24</v>
      </c>
      <c r="M21" s="517">
        <f t="shared" si="1"/>
        <v>2.04</v>
      </c>
      <c r="N21" s="518">
        <f>L21/I21-1</f>
        <v>0.1141027317</v>
      </c>
      <c r="O21" s="514">
        <f t="shared" si="2"/>
        <v>3492</v>
      </c>
      <c r="P21" s="528"/>
      <c r="Q21" s="528"/>
      <c r="R21" s="210" t="s">
        <v>377</v>
      </c>
      <c r="S21" s="211">
        <v>44207.0</v>
      </c>
      <c r="T21" s="212">
        <v>85.24</v>
      </c>
      <c r="U21" s="213">
        <v>34096.0</v>
      </c>
      <c r="V21" s="657"/>
      <c r="W21" s="257"/>
      <c r="X21" s="258"/>
      <c r="Y21" s="658"/>
    </row>
    <row r="22">
      <c r="A22" s="528"/>
      <c r="B22" s="528"/>
      <c r="C22" s="512">
        <f>H22/E170</f>
        <v>0.008208323126</v>
      </c>
      <c r="D22" s="344" t="s">
        <v>741</v>
      </c>
      <c r="E22" s="344" t="s">
        <v>742</v>
      </c>
      <c r="F22" s="195">
        <v>7.7</v>
      </c>
      <c r="G22" s="217">
        <v>48750.0</v>
      </c>
      <c r="H22" s="217">
        <f>G22+O22</f>
        <v>60045</v>
      </c>
      <c r="I22" s="216">
        <v>97.5</v>
      </c>
      <c r="J22" s="515">
        <f>IFERROR(__xludf.DUMMYFUNCTION("GOOGLEFINANCE(E22,""changepct"")"),-1.31)</f>
        <v>-1.31</v>
      </c>
      <c r="K22" s="516">
        <f>IFERROR(__xludf.DUMMYFUNCTION("googlefinance(E22,""price"")"),120.09)</f>
        <v>120.09</v>
      </c>
      <c r="L22" s="216"/>
      <c r="M22" s="517">
        <f t="shared" si="1"/>
        <v>22.59</v>
      </c>
      <c r="N22" s="518">
        <f>K22/I22-1</f>
        <v>0.2316923077</v>
      </c>
      <c r="O22" s="514">
        <f t="shared" si="2"/>
        <v>11295</v>
      </c>
      <c r="P22" s="528"/>
      <c r="Q22" s="528"/>
      <c r="R22" s="210"/>
      <c r="S22" s="211"/>
      <c r="T22" s="212"/>
      <c r="U22" s="213"/>
      <c r="V22" s="210" t="s">
        <v>742</v>
      </c>
      <c r="W22" s="211">
        <v>44210.0</v>
      </c>
      <c r="X22" s="212">
        <v>97.5</v>
      </c>
      <c r="Y22" s="213">
        <v>48750.0</v>
      </c>
    </row>
    <row r="23">
      <c r="A23" s="528"/>
      <c r="B23" s="528"/>
      <c r="C23" s="512">
        <f>H23/E170</f>
        <v>0</v>
      </c>
      <c r="D23" s="344" t="s">
        <v>741</v>
      </c>
      <c r="E23" s="344" t="s">
        <v>742</v>
      </c>
      <c r="F23" s="195">
        <v>7.7</v>
      </c>
      <c r="G23" s="217">
        <v>28509.0</v>
      </c>
      <c r="H23" s="217">
        <v>0.0</v>
      </c>
      <c r="I23" s="216">
        <v>95.03</v>
      </c>
      <c r="J23" s="515">
        <f>IFERROR(__xludf.DUMMYFUNCTION("GOOGLEFINANCE(E23,""changepct"")"),-1.31)</f>
        <v>-1.31</v>
      </c>
      <c r="K23" s="516">
        <f>IFERROR(__xludf.DUMMYFUNCTION("googlefinance(E23,""price"")"),120.09)</f>
        <v>120.09</v>
      </c>
      <c r="L23" s="216">
        <v>96.6</v>
      </c>
      <c r="M23" s="517">
        <f t="shared" si="1"/>
        <v>25.06</v>
      </c>
      <c r="N23" s="518">
        <f>L23/I23-1</f>
        <v>0.0165210986</v>
      </c>
      <c r="O23" s="514">
        <f t="shared" si="2"/>
        <v>471</v>
      </c>
      <c r="P23" s="528"/>
      <c r="Q23" s="528"/>
      <c r="R23" s="210" t="s">
        <v>742</v>
      </c>
      <c r="S23" s="211">
        <v>44207.0</v>
      </c>
      <c r="T23" s="212">
        <v>96.6</v>
      </c>
      <c r="U23" s="213">
        <v>28980.0</v>
      </c>
      <c r="V23" s="657"/>
      <c r="W23" s="257"/>
      <c r="X23" s="258"/>
      <c r="Y23" s="658"/>
    </row>
    <row r="24">
      <c r="A24" s="528"/>
      <c r="B24" s="528"/>
      <c r="C24" s="512">
        <f>H24/E170</f>
        <v>0.001886499444</v>
      </c>
      <c r="D24" s="600" t="s">
        <v>803</v>
      </c>
      <c r="E24" s="344" t="s">
        <v>804</v>
      </c>
      <c r="F24" s="195">
        <v>7.5</v>
      </c>
      <c r="G24" s="217">
        <v>27711.0</v>
      </c>
      <c r="H24" s="514">
        <f>G24+O24</f>
        <v>13800</v>
      </c>
      <c r="I24" s="216">
        <v>92.37</v>
      </c>
      <c r="J24" s="515">
        <f>IFERROR(__xludf.DUMMYFUNCTION("GOOGLEFINANCE(E24,""changepct"")"),0.78)</f>
        <v>0.78</v>
      </c>
      <c r="K24" s="516">
        <f>IFERROR(__xludf.DUMMYFUNCTION("googlefinance(E24,""price"")"),46.0)</f>
        <v>46</v>
      </c>
      <c r="L24" s="517"/>
      <c r="M24" s="517">
        <f t="shared" si="1"/>
        <v>-46.37</v>
      </c>
      <c r="N24" s="518">
        <f>K24/I24-1</f>
        <v>-0.5020028148</v>
      </c>
      <c r="O24" s="514">
        <f t="shared" si="2"/>
        <v>-13911</v>
      </c>
      <c r="P24" s="528"/>
      <c r="Q24" s="528"/>
      <c r="R24" s="657"/>
      <c r="S24" s="257"/>
      <c r="T24" s="258"/>
      <c r="U24" s="658"/>
      <c r="V24" s="657"/>
      <c r="W24" s="257"/>
      <c r="X24" s="258"/>
      <c r="Y24" s="658"/>
    </row>
    <row r="25">
      <c r="A25" s="528"/>
      <c r="B25" s="528"/>
      <c r="C25" s="512">
        <f>H25/E170</f>
        <v>0</v>
      </c>
      <c r="D25" s="600" t="s">
        <v>743</v>
      </c>
      <c r="E25" s="344" t="s">
        <v>744</v>
      </c>
      <c r="F25" s="195">
        <v>7.4</v>
      </c>
      <c r="G25" s="217">
        <v>26628.0</v>
      </c>
      <c r="H25" s="217">
        <v>0.0</v>
      </c>
      <c r="I25" s="216">
        <v>44.38</v>
      </c>
      <c r="J25" s="515">
        <f>IFERROR(__xludf.DUMMYFUNCTION("GOOGLEFINANCE(E25,""changepct"")"),-1.13)</f>
        <v>-1.13</v>
      </c>
      <c r="K25" s="516">
        <f>IFERROR(__xludf.DUMMYFUNCTION("googlefinance(E25,""price"")"),63.81)</f>
        <v>63.81</v>
      </c>
      <c r="L25" s="216">
        <v>45.07</v>
      </c>
      <c r="M25" s="517">
        <f t="shared" si="1"/>
        <v>19.43</v>
      </c>
      <c r="N25" s="518">
        <f>L25/I25-1</f>
        <v>0.01554754394</v>
      </c>
      <c r="O25" s="514">
        <f t="shared" si="2"/>
        <v>414</v>
      </c>
      <c r="P25" s="528"/>
      <c r="Q25" s="528"/>
      <c r="R25" s="210" t="s">
        <v>744</v>
      </c>
      <c r="S25" s="211">
        <v>44207.0</v>
      </c>
      <c r="T25" s="212">
        <v>45.07</v>
      </c>
      <c r="U25" s="213">
        <v>27042.0</v>
      </c>
      <c r="V25" s="657"/>
      <c r="W25" s="257"/>
      <c r="X25" s="258"/>
      <c r="Y25" s="658"/>
    </row>
    <row r="26">
      <c r="A26" s="528"/>
      <c r="B26" s="528"/>
      <c r="C26" s="512">
        <f>H26/E170</f>
        <v>0.003918997542</v>
      </c>
      <c r="D26" s="104" t="s">
        <v>745</v>
      </c>
      <c r="E26" s="104" t="s">
        <v>746</v>
      </c>
      <c r="F26" s="569">
        <v>7.2</v>
      </c>
      <c r="G26" s="217">
        <v>30642.0</v>
      </c>
      <c r="H26" s="514">
        <f t="shared" ref="H26:H31" si="6">G26+O26</f>
        <v>28668</v>
      </c>
      <c r="I26" s="216">
        <v>102.14</v>
      </c>
      <c r="J26" s="515">
        <f>IFERROR(__xludf.DUMMYFUNCTION("GOOGLEFINANCE(E26,""changepct"")"),-1.45)</f>
        <v>-1.45</v>
      </c>
      <c r="K26" s="516">
        <f>IFERROR(__xludf.DUMMYFUNCTION("googlefinance(E26,""price"")"),95.56)</f>
        <v>95.56</v>
      </c>
      <c r="L26" s="517"/>
      <c r="M26" s="517">
        <f t="shared" si="1"/>
        <v>-6.58</v>
      </c>
      <c r="N26" s="518">
        <f t="shared" ref="N26:N31" si="7">K26/I26-1</f>
        <v>-0.06442138242</v>
      </c>
      <c r="O26" s="514">
        <f t="shared" si="2"/>
        <v>-1974</v>
      </c>
      <c r="P26" s="528"/>
      <c r="Q26" s="528"/>
      <c r="R26" s="657"/>
      <c r="S26" s="257"/>
      <c r="T26" s="258"/>
      <c r="U26" s="658"/>
      <c r="V26" s="210" t="s">
        <v>746</v>
      </c>
      <c r="W26" s="211">
        <v>44513.0</v>
      </c>
      <c r="X26" s="212">
        <v>102.14</v>
      </c>
      <c r="Y26" s="213">
        <v>30642.0</v>
      </c>
    </row>
    <row r="27">
      <c r="A27" s="528"/>
      <c r="B27" s="528"/>
      <c r="C27" s="512">
        <f>H27/E170</f>
        <v>0.005021369391</v>
      </c>
      <c r="D27" s="104" t="s">
        <v>558</v>
      </c>
      <c r="E27" s="104" t="s">
        <v>40</v>
      </c>
      <c r="F27" s="569">
        <v>7.5</v>
      </c>
      <c r="G27" s="217">
        <v>27522.0</v>
      </c>
      <c r="H27" s="514">
        <f t="shared" si="6"/>
        <v>36732</v>
      </c>
      <c r="I27" s="216">
        <v>91.74</v>
      </c>
      <c r="J27" s="515">
        <f>IFERROR(__xludf.DUMMYFUNCTION("GOOGLEFINANCE(E27,""changepct"")"),-2.2)</f>
        <v>-2.2</v>
      </c>
      <c r="K27" s="516">
        <f>IFERROR(__xludf.DUMMYFUNCTION("googlefinance(E27,""price"")"),122.44)</f>
        <v>122.44</v>
      </c>
      <c r="L27" s="517"/>
      <c r="M27" s="517">
        <f t="shared" si="1"/>
        <v>30.7</v>
      </c>
      <c r="N27" s="518">
        <f t="shared" si="7"/>
        <v>0.3346413778</v>
      </c>
      <c r="O27" s="514">
        <f t="shared" si="2"/>
        <v>9210</v>
      </c>
      <c r="P27" s="528"/>
      <c r="Q27" s="528"/>
      <c r="R27" s="657"/>
      <c r="S27" s="257"/>
      <c r="T27" s="258"/>
      <c r="U27" s="658"/>
      <c r="V27" s="210" t="s">
        <v>40</v>
      </c>
      <c r="W27" s="211">
        <v>44513.0</v>
      </c>
      <c r="X27" s="212">
        <v>91.74</v>
      </c>
      <c r="Y27" s="213">
        <v>27522.0</v>
      </c>
    </row>
    <row r="28">
      <c r="A28" s="528"/>
      <c r="B28" s="528"/>
      <c r="C28" s="512">
        <f>H28/E170</f>
        <v>0.0003025243457</v>
      </c>
      <c r="D28" s="104" t="s">
        <v>44</v>
      </c>
      <c r="E28" s="104" t="s">
        <v>43</v>
      </c>
      <c r="F28" s="569">
        <v>7.7</v>
      </c>
      <c r="G28" s="217">
        <v>32871.0</v>
      </c>
      <c r="H28" s="514">
        <f t="shared" si="6"/>
        <v>2213.006732</v>
      </c>
      <c r="I28" s="216">
        <v>3287.09</v>
      </c>
      <c r="J28" s="515">
        <f>IFERROR(__xludf.DUMMYFUNCTION("GOOGLEFINANCE(E28,""changepct"")"),-1.09)</f>
        <v>-1.09</v>
      </c>
      <c r="K28" s="516">
        <f>IFERROR(__xludf.DUMMYFUNCTION("googlefinance(E28,""price"")"),221.3)</f>
        <v>221.3</v>
      </c>
      <c r="L28" s="517"/>
      <c r="M28" s="517">
        <f t="shared" si="1"/>
        <v>-3065.79</v>
      </c>
      <c r="N28" s="518">
        <f t="shared" si="7"/>
        <v>-0.9326760143</v>
      </c>
      <c r="O28" s="514">
        <f t="shared" si="2"/>
        <v>-30657.99327</v>
      </c>
      <c r="P28" s="528"/>
      <c r="Q28" s="528"/>
      <c r="R28" s="657"/>
      <c r="S28" s="257"/>
      <c r="T28" s="258"/>
      <c r="U28" s="658"/>
      <c r="V28" s="210" t="s">
        <v>43</v>
      </c>
      <c r="W28" s="211">
        <v>44228.0</v>
      </c>
      <c r="X28" s="212">
        <v>3287.09</v>
      </c>
      <c r="Y28" s="213">
        <v>32871.0</v>
      </c>
    </row>
    <row r="29">
      <c r="A29" s="528"/>
      <c r="B29" s="528"/>
      <c r="C29" s="512" t="str">
        <f>H29/E170</f>
        <v>#N/A</v>
      </c>
      <c r="D29" s="344" t="s">
        <v>805</v>
      </c>
      <c r="E29" s="344" t="s">
        <v>806</v>
      </c>
      <c r="F29" s="569">
        <v>7.9</v>
      </c>
      <c r="G29" s="217">
        <v>35575.0</v>
      </c>
      <c r="H29" s="514" t="str">
        <f t="shared" si="6"/>
        <v>#N/A</v>
      </c>
      <c r="I29" s="216">
        <v>71.15</v>
      </c>
      <c r="J29" s="515" t="str">
        <f>IFERROR(__xludf.DUMMYFUNCTION("GOOGLEFINANCE(E29,""changepct"")"),"#N/A")</f>
        <v>#N/A</v>
      </c>
      <c r="K29" s="516" t="str">
        <f>IFERROR(__xludf.DUMMYFUNCTION("googlefinance(E29,""price"")"),"#N/A")</f>
        <v>#N/A</v>
      </c>
      <c r="L29" s="517"/>
      <c r="M29" s="528" t="str">
        <f t="shared" si="1"/>
        <v>#N/A</v>
      </c>
      <c r="N29" s="518" t="str">
        <f t="shared" si="7"/>
        <v>#N/A</v>
      </c>
      <c r="O29" s="528" t="str">
        <f t="shared" si="2"/>
        <v>#N/A</v>
      </c>
      <c r="P29" s="528"/>
      <c r="Q29" s="528"/>
      <c r="R29" s="657"/>
      <c r="S29" s="257"/>
      <c r="T29" s="258"/>
      <c r="U29" s="658"/>
      <c r="V29" s="657"/>
      <c r="W29" s="257"/>
      <c r="X29" s="258"/>
      <c r="Y29" s="658"/>
    </row>
    <row r="30">
      <c r="A30" s="528"/>
      <c r="B30" s="528"/>
      <c r="C30" s="512">
        <f>H30/E170</f>
        <v>0.004220150233</v>
      </c>
      <c r="D30" s="104" t="s">
        <v>440</v>
      </c>
      <c r="E30" s="104" t="s">
        <v>77</v>
      </c>
      <c r="F30" s="569">
        <v>7.4</v>
      </c>
      <c r="G30" s="217">
        <v>31538.0</v>
      </c>
      <c r="H30" s="514">
        <f t="shared" si="6"/>
        <v>30870.9729</v>
      </c>
      <c r="I30" s="216">
        <v>157.92</v>
      </c>
      <c r="J30" s="515">
        <f>IFERROR(__xludf.DUMMYFUNCTION("GOOGLEFINANCE(E30,""changepct"")"),-1.69)</f>
        <v>-1.69</v>
      </c>
      <c r="K30" s="516">
        <f>IFERROR(__xludf.DUMMYFUNCTION("googlefinance(E30,""price"")"),154.58)</f>
        <v>154.58</v>
      </c>
      <c r="L30" s="216"/>
      <c r="M30" s="517">
        <f t="shared" si="1"/>
        <v>-3.34</v>
      </c>
      <c r="N30" s="518">
        <f t="shared" si="7"/>
        <v>-0.02114994934</v>
      </c>
      <c r="O30" s="514">
        <f t="shared" si="2"/>
        <v>-667.0271023</v>
      </c>
      <c r="P30" s="538">
        <v>0.0166</v>
      </c>
      <c r="Q30" s="528"/>
      <c r="R30" s="210"/>
      <c r="S30" s="211"/>
      <c r="T30" s="212"/>
      <c r="U30" s="213"/>
      <c r="V30" s="210" t="s">
        <v>77</v>
      </c>
      <c r="W30" s="211">
        <v>44228.0</v>
      </c>
      <c r="X30" s="212">
        <v>157.92</v>
      </c>
      <c r="Y30" s="213">
        <v>31538.0</v>
      </c>
    </row>
    <row r="31">
      <c r="A31" s="528"/>
      <c r="B31" s="528"/>
      <c r="C31" s="512">
        <f>H31/E170</f>
        <v>0.008616348895</v>
      </c>
      <c r="D31" s="344" t="s">
        <v>749</v>
      </c>
      <c r="E31" s="344" t="s">
        <v>582</v>
      </c>
      <c r="F31" s="569">
        <v>7.5</v>
      </c>
      <c r="G31" s="217">
        <v>37517.0</v>
      </c>
      <c r="H31" s="514">
        <f t="shared" si="6"/>
        <v>63029.76399</v>
      </c>
      <c r="I31" s="216">
        <v>535.96</v>
      </c>
      <c r="J31" s="515">
        <f>IFERROR(__xludf.DUMMYFUNCTION("GOOGLEFINANCE(E31,""changepct"")"),-0.78)</f>
        <v>-0.78</v>
      </c>
      <c r="K31" s="516">
        <f>IFERROR(__xludf.DUMMYFUNCTION("googlefinance(E31,""price"")"),900.43)</f>
        <v>900.43</v>
      </c>
      <c r="L31" s="216"/>
      <c r="M31" s="517">
        <f t="shared" si="1"/>
        <v>364.47</v>
      </c>
      <c r="N31" s="518">
        <f t="shared" si="7"/>
        <v>0.6800320919</v>
      </c>
      <c r="O31" s="514">
        <f t="shared" si="2"/>
        <v>25512.76399</v>
      </c>
      <c r="P31" s="528"/>
      <c r="Q31" s="528"/>
      <c r="R31" s="210"/>
      <c r="S31" s="211"/>
      <c r="T31" s="212"/>
      <c r="U31" s="213"/>
      <c r="V31" s="210" t="s">
        <v>582</v>
      </c>
      <c r="W31" s="211">
        <v>44228.0</v>
      </c>
      <c r="X31" s="212">
        <v>535.96</v>
      </c>
      <c r="Y31" s="213">
        <v>37517.0</v>
      </c>
    </row>
    <row r="32">
      <c r="A32" s="528"/>
      <c r="B32" s="528"/>
      <c r="C32" s="512">
        <f>H32/E170</f>
        <v>0</v>
      </c>
      <c r="D32" s="344" t="s">
        <v>749</v>
      </c>
      <c r="E32" s="344" t="s">
        <v>582</v>
      </c>
      <c r="F32" s="569">
        <v>7.5</v>
      </c>
      <c r="G32" s="217">
        <v>26875.0</v>
      </c>
      <c r="H32" s="217">
        <v>0.0</v>
      </c>
      <c r="I32" s="216">
        <v>537.5</v>
      </c>
      <c r="J32" s="515">
        <f>IFERROR(__xludf.DUMMYFUNCTION("GOOGLEFINANCE(E32,""changepct"")"),-0.78)</f>
        <v>-0.78</v>
      </c>
      <c r="K32" s="516">
        <f>IFERROR(__xludf.DUMMYFUNCTION("googlefinance(E32,""price"")"),900.43)</f>
        <v>900.43</v>
      </c>
      <c r="L32" s="216">
        <v>502.77</v>
      </c>
      <c r="M32" s="517">
        <f t="shared" si="1"/>
        <v>362.93</v>
      </c>
      <c r="N32" s="518">
        <f>L32/I32-1</f>
        <v>-0.06461395349</v>
      </c>
      <c r="O32" s="514">
        <f t="shared" si="2"/>
        <v>-1736.5</v>
      </c>
      <c r="P32" s="528"/>
      <c r="Q32" s="528"/>
      <c r="R32" s="210" t="s">
        <v>582</v>
      </c>
      <c r="S32" s="211">
        <v>44207.0</v>
      </c>
      <c r="T32" s="212">
        <v>502.77</v>
      </c>
      <c r="U32" s="213">
        <v>25139.0</v>
      </c>
      <c r="V32" s="657"/>
      <c r="W32" s="257"/>
      <c r="X32" s="258"/>
      <c r="Y32" s="658"/>
    </row>
    <row r="33">
      <c r="A33" s="173"/>
      <c r="B33" s="13"/>
      <c r="C33" s="13"/>
      <c r="D33" s="13"/>
      <c r="E33" s="13"/>
      <c r="F33" s="13"/>
      <c r="G33" s="509">
        <f t="shared" ref="G33:H33" si="8">SUM(G3:G32)</f>
        <v>1069390.5</v>
      </c>
      <c r="H33" s="539" t="str">
        <f t="shared" si="8"/>
        <v>#N/A</v>
      </c>
      <c r="I33" s="506"/>
      <c r="J33" s="506"/>
      <c r="K33" s="506"/>
      <c r="L33" s="507"/>
      <c r="M33" s="507"/>
      <c r="N33" s="540" t="str">
        <f>O33/G33</f>
        <v>#N/A</v>
      </c>
      <c r="O33" s="507" t="str">
        <f>SUM(O3:O32)</f>
        <v>#N/A</v>
      </c>
      <c r="P33" s="13"/>
      <c r="Q33" s="13"/>
      <c r="R33" s="238" t="s">
        <v>89</v>
      </c>
      <c r="S33" s="239"/>
      <c r="T33" s="241"/>
      <c r="U33" s="240">
        <f>SUM(U3:U32)</f>
        <v>290951</v>
      </c>
      <c r="V33" s="238" t="s">
        <v>89</v>
      </c>
      <c r="W33" s="239"/>
      <c r="X33" s="241"/>
      <c r="Y33" s="240">
        <f>SUM(Y3:Y32)</f>
        <v>610667.5</v>
      </c>
    </row>
    <row r="34">
      <c r="A34" s="173"/>
      <c r="B34" s="13" t="s">
        <v>807</v>
      </c>
      <c r="C34" s="13" t="s">
        <v>729</v>
      </c>
      <c r="D34" s="13" t="s">
        <v>3</v>
      </c>
      <c r="E34" s="13" t="s">
        <v>4</v>
      </c>
      <c r="F34" s="13" t="s">
        <v>5</v>
      </c>
      <c r="G34" s="13" t="s">
        <v>229</v>
      </c>
      <c r="H34" s="649" t="s">
        <v>730</v>
      </c>
      <c r="I34" s="649" t="s">
        <v>798</v>
      </c>
      <c r="J34" s="506" t="s">
        <v>10</v>
      </c>
      <c r="K34" s="506" t="s">
        <v>11</v>
      </c>
      <c r="L34" s="507" t="s">
        <v>476</v>
      </c>
      <c r="M34" s="507" t="s">
        <v>13</v>
      </c>
      <c r="N34" s="660" t="s">
        <v>799</v>
      </c>
      <c r="O34" s="507" t="s">
        <v>800</v>
      </c>
      <c r="P34" s="13" t="s">
        <v>16</v>
      </c>
      <c r="Q34" s="13" t="s">
        <v>17</v>
      </c>
      <c r="R34" s="238" t="s">
        <v>21</v>
      </c>
      <c r="S34" s="238" t="s">
        <v>22</v>
      </c>
      <c r="T34" s="656" t="s">
        <v>23</v>
      </c>
      <c r="U34" s="656" t="s">
        <v>24</v>
      </c>
      <c r="V34" s="238" t="s">
        <v>25</v>
      </c>
      <c r="W34" s="238" t="s">
        <v>26</v>
      </c>
      <c r="X34" s="238" t="s">
        <v>27</v>
      </c>
      <c r="Y34" s="238" t="s">
        <v>28</v>
      </c>
    </row>
    <row r="35">
      <c r="A35" s="565" t="s">
        <v>733</v>
      </c>
      <c r="B35" s="527" t="str">
        <f>H47/E170</f>
        <v>#N/A</v>
      </c>
      <c r="C35" s="512">
        <f>H35/E170</f>
        <v>0.01257802999</v>
      </c>
      <c r="D35" s="344" t="s">
        <v>677</v>
      </c>
      <c r="E35" s="344" t="s">
        <v>315</v>
      </c>
      <c r="F35" s="569">
        <v>7.7</v>
      </c>
      <c r="G35" s="217">
        <v>58350.0</v>
      </c>
      <c r="H35" s="514">
        <f t="shared" ref="H35:H46" si="9">G35+O35</f>
        <v>92010</v>
      </c>
      <c r="I35" s="216">
        <v>58.35</v>
      </c>
      <c r="J35" s="568">
        <f>IFERROR(__xludf.DUMMYFUNCTION("GOOGLEFINANCE(E35,""changepct"")"),-2.23)</f>
        <v>-2.23</v>
      </c>
      <c r="K35" s="516">
        <f>IFERROR(__xludf.DUMMYFUNCTION("googlefinance(E35,""price"")"),92.01)</f>
        <v>92.01</v>
      </c>
      <c r="L35" s="528"/>
      <c r="M35" s="517">
        <f t="shared" ref="M35:M46" si="10">K35-I35</f>
        <v>33.66</v>
      </c>
      <c r="N35" s="518">
        <f t="shared" ref="N35:N46" si="11">K35/I35-1</f>
        <v>0.5768637532</v>
      </c>
      <c r="O35" s="661">
        <f t="shared" ref="O35:O46" si="12">G35*N35</f>
        <v>33660</v>
      </c>
      <c r="P35" s="538">
        <v>0.0467</v>
      </c>
      <c r="Q35" s="528"/>
      <c r="R35" s="257"/>
      <c r="S35" s="257"/>
      <c r="T35" s="257"/>
      <c r="U35" s="257"/>
      <c r="V35" s="657"/>
      <c r="W35" s="257"/>
      <c r="X35" s="258"/>
      <c r="Y35" s="658"/>
    </row>
    <row r="36">
      <c r="A36" s="528"/>
      <c r="B36" s="528"/>
      <c r="C36" s="512">
        <f>H36/E170</f>
        <v>0.006130849789</v>
      </c>
      <c r="D36" s="344" t="s">
        <v>750</v>
      </c>
      <c r="E36" s="344" t="s">
        <v>317</v>
      </c>
      <c r="F36" s="195">
        <v>7.5</v>
      </c>
      <c r="G36" s="217">
        <v>50240.0</v>
      </c>
      <c r="H36" s="514">
        <f t="shared" si="9"/>
        <v>44848</v>
      </c>
      <c r="I36" s="216">
        <v>62.8</v>
      </c>
      <c r="J36" s="515">
        <f>IFERROR(__xludf.DUMMYFUNCTION("GOOGLEFINANCE(E36,""changepct"")"),-2.81)</f>
        <v>-2.81</v>
      </c>
      <c r="K36" s="516">
        <f>IFERROR(__xludf.DUMMYFUNCTION("googlefinance(E36,""price"")"),56.06)</f>
        <v>56.06</v>
      </c>
      <c r="L36" s="528"/>
      <c r="M36" s="517">
        <f t="shared" si="10"/>
        <v>-6.74</v>
      </c>
      <c r="N36" s="518">
        <f t="shared" si="11"/>
        <v>-0.1073248408</v>
      </c>
      <c r="O36" s="514">
        <f t="shared" si="12"/>
        <v>-5392</v>
      </c>
      <c r="P36" s="538">
        <v>0.0317</v>
      </c>
      <c r="Q36" s="528"/>
      <c r="R36" s="257"/>
      <c r="S36" s="257"/>
      <c r="T36" s="257"/>
      <c r="U36" s="257"/>
      <c r="V36" s="657"/>
      <c r="W36" s="257"/>
      <c r="X36" s="258"/>
      <c r="Y36" s="658"/>
    </row>
    <row r="37">
      <c r="A37" s="528"/>
      <c r="B37" s="528"/>
      <c r="C37" s="512">
        <f>H37/E170</f>
        <v>0.004499975747</v>
      </c>
      <c r="D37" s="631" t="s">
        <v>751</v>
      </c>
      <c r="E37" s="344" t="s">
        <v>752</v>
      </c>
      <c r="F37" s="195">
        <v>7.6</v>
      </c>
      <c r="G37" s="217">
        <v>37873.0</v>
      </c>
      <c r="H37" s="514">
        <f t="shared" si="9"/>
        <v>32917.93458</v>
      </c>
      <c r="I37" s="216">
        <v>151.49</v>
      </c>
      <c r="J37" s="515">
        <f>IFERROR(__xludf.DUMMYFUNCTION("GOOGLEFINANCE(E37,""changepct"")"),-1.39)</f>
        <v>-1.39</v>
      </c>
      <c r="K37" s="516">
        <f>IFERROR(__xludf.DUMMYFUNCTION("googlefinance(E37,""price"")"),131.67)</f>
        <v>131.67</v>
      </c>
      <c r="L37" s="528"/>
      <c r="M37" s="517">
        <f t="shared" si="10"/>
        <v>-19.82</v>
      </c>
      <c r="N37" s="518">
        <f t="shared" si="11"/>
        <v>-0.1308337184</v>
      </c>
      <c r="O37" s="514">
        <f t="shared" si="12"/>
        <v>-4955.065417</v>
      </c>
      <c r="P37" s="538">
        <v>0.0021</v>
      </c>
      <c r="Q37" s="528"/>
      <c r="R37" s="257"/>
      <c r="S37" s="257"/>
      <c r="T37" s="257"/>
      <c r="U37" s="257"/>
      <c r="V37" s="657"/>
      <c r="W37" s="257"/>
      <c r="X37" s="258"/>
      <c r="Y37" s="658"/>
    </row>
    <row r="38">
      <c r="A38" s="528"/>
      <c r="B38" s="528"/>
      <c r="C38" s="512" t="str">
        <f>H38/E170</f>
        <v>#N/A</v>
      </c>
      <c r="D38" s="344" t="s">
        <v>753</v>
      </c>
      <c r="E38" s="344" t="s">
        <v>705</v>
      </c>
      <c r="F38" s="569">
        <v>7.3</v>
      </c>
      <c r="G38" s="217">
        <v>31100.0</v>
      </c>
      <c r="H38" s="514" t="str">
        <f t="shared" si="9"/>
        <v>#N/A</v>
      </c>
      <c r="I38" s="216">
        <v>31.1</v>
      </c>
      <c r="J38" s="515" t="str">
        <f>IFERROR(__xludf.DUMMYFUNCTION("GOOGLEFINANCE(E38,""changepct"")"),"#N/A")</f>
        <v>#N/A</v>
      </c>
      <c r="K38" s="516" t="str">
        <f>IFERROR(__xludf.DUMMYFUNCTION("googlefinance(E38,""price"")"),"#N/A")</f>
        <v>#N/A</v>
      </c>
      <c r="L38" s="528"/>
      <c r="M38" s="528" t="str">
        <f t="shared" si="10"/>
        <v>#N/A</v>
      </c>
      <c r="N38" s="518" t="str">
        <f t="shared" si="11"/>
        <v>#N/A</v>
      </c>
      <c r="O38" s="528" t="str">
        <f t="shared" si="12"/>
        <v>#N/A</v>
      </c>
      <c r="P38" s="528"/>
      <c r="Q38" s="528"/>
      <c r="R38" s="257"/>
      <c r="S38" s="257"/>
      <c r="T38" s="257"/>
      <c r="U38" s="257"/>
      <c r="V38" s="657"/>
      <c r="W38" s="257"/>
      <c r="X38" s="258"/>
      <c r="Y38" s="658"/>
    </row>
    <row r="39">
      <c r="A39" s="528"/>
      <c r="B39" s="528"/>
      <c r="C39" s="512">
        <f>H39/E170</f>
        <v>0.001615007568</v>
      </c>
      <c r="D39" s="631" t="s">
        <v>654</v>
      </c>
      <c r="E39" s="344" t="s">
        <v>655</v>
      </c>
      <c r="F39" s="195">
        <v>7.5</v>
      </c>
      <c r="G39" s="217">
        <v>32400.0</v>
      </c>
      <c r="H39" s="514">
        <f t="shared" si="9"/>
        <v>11814</v>
      </c>
      <c r="I39" s="216">
        <v>108.0</v>
      </c>
      <c r="J39" s="515">
        <f>IFERROR(__xludf.DUMMYFUNCTION("GOOGLEFINANCE(E39,""changepct"")"),-1.87)</f>
        <v>-1.87</v>
      </c>
      <c r="K39" s="516">
        <f>IFERROR(__xludf.DUMMYFUNCTION("googlefinance(E39,""price"")"),39.38)</f>
        <v>39.38</v>
      </c>
      <c r="L39" s="528"/>
      <c r="M39" s="517">
        <f t="shared" si="10"/>
        <v>-68.62</v>
      </c>
      <c r="N39" s="518">
        <f t="shared" si="11"/>
        <v>-0.6353703704</v>
      </c>
      <c r="O39" s="514">
        <f t="shared" si="12"/>
        <v>-20586</v>
      </c>
      <c r="P39" s="528"/>
      <c r="Q39" s="528"/>
      <c r="R39" s="257"/>
      <c r="S39" s="257"/>
      <c r="T39" s="257"/>
      <c r="U39" s="257"/>
      <c r="V39" s="657"/>
      <c r="W39" s="257"/>
      <c r="X39" s="258"/>
      <c r="Y39" s="658"/>
    </row>
    <row r="40">
      <c r="A40" s="528"/>
      <c r="B40" s="528"/>
      <c r="C40" s="512">
        <f>H40/E170</f>
        <v>0.003611689516</v>
      </c>
      <c r="D40" s="344" t="s">
        <v>105</v>
      </c>
      <c r="E40" s="344" t="s">
        <v>106</v>
      </c>
      <c r="F40" s="195">
        <v>7.1</v>
      </c>
      <c r="G40" s="217">
        <v>37160.0</v>
      </c>
      <c r="H40" s="514">
        <f t="shared" si="9"/>
        <v>26420</v>
      </c>
      <c r="I40" s="216">
        <v>37.16</v>
      </c>
      <c r="J40" s="515">
        <f>IFERROR(__xludf.DUMMYFUNCTION("GOOGLEFINANCE(E40,""changepct"")"),-0.75)</f>
        <v>-0.75</v>
      </c>
      <c r="K40" s="516">
        <f>IFERROR(__xludf.DUMMYFUNCTION("googlefinance(E40,""price"")"),26.42)</f>
        <v>26.42</v>
      </c>
      <c r="L40" s="528"/>
      <c r="M40" s="517">
        <f t="shared" si="10"/>
        <v>-10.74</v>
      </c>
      <c r="N40" s="518">
        <f t="shared" si="11"/>
        <v>-0.2890204521</v>
      </c>
      <c r="O40" s="514">
        <f t="shared" si="12"/>
        <v>-10740</v>
      </c>
      <c r="P40" s="538">
        <v>0.0424</v>
      </c>
      <c r="Q40" s="528"/>
      <c r="R40" s="257"/>
      <c r="S40" s="257"/>
      <c r="T40" s="257"/>
      <c r="U40" s="257"/>
      <c r="V40" s="657"/>
      <c r="W40" s="257"/>
      <c r="X40" s="258"/>
      <c r="Y40" s="658"/>
    </row>
    <row r="41">
      <c r="A41" s="528"/>
      <c r="B41" s="528"/>
      <c r="C41" s="512">
        <f>H41/E170</f>
        <v>0.007710041208</v>
      </c>
      <c r="D41" s="104" t="s">
        <v>808</v>
      </c>
      <c r="E41" s="104" t="s">
        <v>809</v>
      </c>
      <c r="F41" s="569">
        <v>7.7</v>
      </c>
      <c r="G41" s="217">
        <v>56400.0</v>
      </c>
      <c r="H41" s="514">
        <f t="shared" si="9"/>
        <v>56400</v>
      </c>
      <c r="I41" s="216">
        <v>112.8</v>
      </c>
      <c r="J41" s="515">
        <f>IFERROR(__xludf.DUMMYFUNCTION("GOOGLEFINANCE(E41,""changepct"")"),-1.9)</f>
        <v>-1.9</v>
      </c>
      <c r="K41" s="516">
        <f>IFERROR(__xludf.DUMMYFUNCTION("googlefinance(E41,""price"")"),112.8)</f>
        <v>112.8</v>
      </c>
      <c r="L41" s="528"/>
      <c r="M41" s="517">
        <f t="shared" si="10"/>
        <v>0</v>
      </c>
      <c r="N41" s="518">
        <f t="shared" si="11"/>
        <v>0</v>
      </c>
      <c r="O41" s="514">
        <f t="shared" si="12"/>
        <v>0</v>
      </c>
      <c r="P41" s="538">
        <v>0.016</v>
      </c>
      <c r="Q41" s="528"/>
      <c r="R41" s="257"/>
      <c r="S41" s="257"/>
      <c r="T41" s="257"/>
      <c r="U41" s="257"/>
      <c r="V41" s="210" t="s">
        <v>809</v>
      </c>
      <c r="W41" s="211">
        <v>44221.0</v>
      </c>
      <c r="X41" s="212">
        <v>112.8</v>
      </c>
      <c r="Y41" s="213">
        <v>56400.0</v>
      </c>
    </row>
    <row r="42">
      <c r="A42" s="528"/>
      <c r="B42" s="528"/>
      <c r="C42" s="512">
        <f>H42/E170</f>
        <v>0.008963606418</v>
      </c>
      <c r="D42" s="104" t="s">
        <v>591</v>
      </c>
      <c r="E42" s="104" t="s">
        <v>592</v>
      </c>
      <c r="F42" s="569">
        <v>7.1</v>
      </c>
      <c r="G42" s="217">
        <v>50860.0</v>
      </c>
      <c r="H42" s="514">
        <f t="shared" si="9"/>
        <v>65570</v>
      </c>
      <c r="I42" s="216">
        <v>50.86</v>
      </c>
      <c r="J42" s="515">
        <f>IFERROR(__xludf.DUMMYFUNCTION("GOOGLEFINANCE(E42,""changepct"")"),-1.04)</f>
        <v>-1.04</v>
      </c>
      <c r="K42" s="516">
        <f>IFERROR(__xludf.DUMMYFUNCTION("googlefinance(E42,""price"")"),65.57)</f>
        <v>65.57</v>
      </c>
      <c r="L42" s="528"/>
      <c r="M42" s="517">
        <f t="shared" si="10"/>
        <v>14.71</v>
      </c>
      <c r="N42" s="518">
        <f t="shared" si="11"/>
        <v>0.2892253244</v>
      </c>
      <c r="O42" s="514">
        <f t="shared" si="12"/>
        <v>14710</v>
      </c>
      <c r="P42" s="538">
        <v>0.0278</v>
      </c>
      <c r="Q42" s="528"/>
      <c r="R42" s="257"/>
      <c r="S42" s="257"/>
      <c r="T42" s="257"/>
      <c r="U42" s="257"/>
      <c r="V42" s="210" t="s">
        <v>592</v>
      </c>
      <c r="W42" s="211">
        <v>44209.0</v>
      </c>
      <c r="X42" s="212">
        <v>50.86</v>
      </c>
      <c r="Y42" s="213">
        <v>50860.0</v>
      </c>
    </row>
    <row r="43">
      <c r="A43" s="528"/>
      <c r="B43" s="528"/>
      <c r="C43" s="512">
        <f>H43/E170</f>
        <v>0.01204352182</v>
      </c>
      <c r="D43" s="104" t="s">
        <v>111</v>
      </c>
      <c r="E43" s="104" t="s">
        <v>112</v>
      </c>
      <c r="F43" s="569">
        <v>7.7</v>
      </c>
      <c r="G43" s="217">
        <v>55470.0</v>
      </c>
      <c r="H43" s="514">
        <f t="shared" si="9"/>
        <v>88100</v>
      </c>
      <c r="I43" s="216">
        <v>110.94</v>
      </c>
      <c r="J43" s="515">
        <f>IFERROR(__xludf.DUMMYFUNCTION("GOOGLEFINANCE(E43,""changepct"")"),-1.02)</f>
        <v>-1.02</v>
      </c>
      <c r="K43" s="516">
        <f>IFERROR(__xludf.DUMMYFUNCTION("googlefinance(E43,""price"")"),176.2)</f>
        <v>176.2</v>
      </c>
      <c r="L43" s="528"/>
      <c r="M43" s="517">
        <f t="shared" si="10"/>
        <v>65.26</v>
      </c>
      <c r="N43" s="518">
        <f t="shared" si="11"/>
        <v>0.5882458987</v>
      </c>
      <c r="O43" s="514">
        <f t="shared" si="12"/>
        <v>32630</v>
      </c>
      <c r="P43" s="538">
        <v>0.0474</v>
      </c>
      <c r="Q43" s="528"/>
      <c r="R43" s="257"/>
      <c r="S43" s="257"/>
      <c r="T43" s="257"/>
      <c r="U43" s="257"/>
      <c r="V43" s="210" t="s">
        <v>112</v>
      </c>
      <c r="W43" s="211">
        <v>44209.0</v>
      </c>
      <c r="X43" s="212">
        <v>110.94</v>
      </c>
      <c r="Y43" s="213">
        <v>55470.0</v>
      </c>
    </row>
    <row r="44">
      <c r="A44" s="528"/>
      <c r="B44" s="528"/>
      <c r="C44" s="512">
        <f>H44/E170</f>
        <v>0.005878496312</v>
      </c>
      <c r="D44" s="104" t="s">
        <v>754</v>
      </c>
      <c r="E44" s="104" t="s">
        <v>755</v>
      </c>
      <c r="F44" s="569">
        <v>7.2</v>
      </c>
      <c r="G44" s="217">
        <v>48042.0</v>
      </c>
      <c r="H44" s="514">
        <f t="shared" si="9"/>
        <v>43002</v>
      </c>
      <c r="I44" s="216">
        <v>160.14</v>
      </c>
      <c r="J44" s="515">
        <f>IFERROR(__xludf.DUMMYFUNCTION("GOOGLEFINANCE(E44,""changepct"")"),-1.18)</f>
        <v>-1.18</v>
      </c>
      <c r="K44" s="516">
        <f>IFERROR(__xludf.DUMMYFUNCTION("googlefinance(E44,""price"")"),143.34)</f>
        <v>143.34</v>
      </c>
      <c r="L44" s="528"/>
      <c r="M44" s="517">
        <f t="shared" si="10"/>
        <v>-16.8</v>
      </c>
      <c r="N44" s="518">
        <f t="shared" si="11"/>
        <v>-0.1049082053</v>
      </c>
      <c r="O44" s="514">
        <f t="shared" si="12"/>
        <v>-5040</v>
      </c>
      <c r="P44" s="538">
        <v>0.0255</v>
      </c>
      <c r="Q44" s="528"/>
      <c r="R44" s="257"/>
      <c r="S44" s="257"/>
      <c r="T44" s="257"/>
      <c r="U44" s="257"/>
      <c r="V44" s="210" t="s">
        <v>755</v>
      </c>
      <c r="W44" s="211">
        <v>44210.0</v>
      </c>
      <c r="X44" s="212">
        <v>160.14</v>
      </c>
      <c r="Y44" s="213">
        <v>48042.0</v>
      </c>
    </row>
    <row r="45">
      <c r="A45" s="528"/>
      <c r="B45" s="528"/>
      <c r="C45" s="512">
        <f>H45/E170</f>
        <v>0.005317057673</v>
      </c>
      <c r="D45" s="104" t="s">
        <v>590</v>
      </c>
      <c r="E45" s="104" t="s">
        <v>104</v>
      </c>
      <c r="F45" s="569">
        <v>7.1</v>
      </c>
      <c r="G45" s="217">
        <v>36129.0</v>
      </c>
      <c r="H45" s="514">
        <f t="shared" si="9"/>
        <v>38895</v>
      </c>
      <c r="I45" s="216">
        <v>240.86</v>
      </c>
      <c r="J45" s="515">
        <f>IFERROR(__xludf.DUMMYFUNCTION("GOOGLEFINANCE(E45,""changepct"")"),-1.28)</f>
        <v>-1.28</v>
      </c>
      <c r="K45" s="516">
        <f>IFERROR(__xludf.DUMMYFUNCTION("googlefinance(E45,""price"")"),259.3)</f>
        <v>259.3</v>
      </c>
      <c r="L45" s="528"/>
      <c r="M45" s="517">
        <f t="shared" si="10"/>
        <v>18.44</v>
      </c>
      <c r="N45" s="518">
        <f t="shared" si="11"/>
        <v>0.07655899693</v>
      </c>
      <c r="O45" s="514">
        <f t="shared" si="12"/>
        <v>2766</v>
      </c>
      <c r="P45" s="538">
        <v>0.0292</v>
      </c>
      <c r="Q45" s="528"/>
      <c r="R45" s="257"/>
      <c r="S45" s="257"/>
      <c r="T45" s="257"/>
      <c r="U45" s="257"/>
      <c r="V45" s="210" t="s">
        <v>104</v>
      </c>
      <c r="W45" s="211">
        <v>44228.0</v>
      </c>
      <c r="X45" s="212">
        <v>240.86</v>
      </c>
      <c r="Y45" s="213">
        <v>36129.0</v>
      </c>
    </row>
    <row r="46">
      <c r="A46" s="528"/>
      <c r="B46" s="528"/>
      <c r="C46" s="512">
        <f>H46/E170</f>
        <v>0.007568553749</v>
      </c>
      <c r="D46" s="344" t="s">
        <v>810</v>
      </c>
      <c r="E46" s="344" t="s">
        <v>811</v>
      </c>
      <c r="F46" s="569">
        <v>7.4</v>
      </c>
      <c r="G46" s="217">
        <v>37740.0</v>
      </c>
      <c r="H46" s="514">
        <f t="shared" si="9"/>
        <v>55365</v>
      </c>
      <c r="I46" s="216">
        <v>25.16</v>
      </c>
      <c r="J46" s="515">
        <f>IFERROR(__xludf.DUMMYFUNCTION("GOOGLEFINANCE(E46,""changepct"")"),-0.73)</f>
        <v>-0.73</v>
      </c>
      <c r="K46" s="516">
        <f>IFERROR(__xludf.DUMMYFUNCTION("googlefinance(E46,""price"")"),36.91)</f>
        <v>36.91</v>
      </c>
      <c r="L46" s="528"/>
      <c r="M46" s="517">
        <f t="shared" si="10"/>
        <v>11.75</v>
      </c>
      <c r="N46" s="518">
        <f t="shared" si="11"/>
        <v>0.4670111288</v>
      </c>
      <c r="O46" s="514">
        <f t="shared" si="12"/>
        <v>17625</v>
      </c>
      <c r="P46" s="528"/>
      <c r="Q46" s="528"/>
      <c r="R46" s="257"/>
      <c r="S46" s="257"/>
      <c r="T46" s="257"/>
      <c r="U46" s="257"/>
      <c r="V46" s="657"/>
      <c r="W46" s="257"/>
      <c r="X46" s="258"/>
      <c r="Y46" s="658"/>
    </row>
    <row r="47">
      <c r="A47" s="173"/>
      <c r="B47" s="13"/>
      <c r="C47" s="13"/>
      <c r="D47" s="13"/>
      <c r="E47" s="13"/>
      <c r="F47" s="13"/>
      <c r="G47" s="509">
        <f t="shared" ref="G47:H47" si="13">SUM(G35:G46)</f>
        <v>531764</v>
      </c>
      <c r="H47" s="539" t="str">
        <f t="shared" si="13"/>
        <v>#N/A</v>
      </c>
      <c r="I47" s="506"/>
      <c r="J47" s="506"/>
      <c r="K47" s="506"/>
      <c r="L47" s="507"/>
      <c r="M47" s="507"/>
      <c r="N47" s="540" t="str">
        <f>O47/G47</f>
        <v>#N/A</v>
      </c>
      <c r="O47" s="507" t="str">
        <f>SUM(O35:O46)</f>
        <v>#N/A</v>
      </c>
      <c r="P47" s="13"/>
      <c r="Q47" s="13"/>
      <c r="R47" s="238" t="s">
        <v>89</v>
      </c>
      <c r="S47" s="239"/>
      <c r="T47" s="239"/>
      <c r="U47" s="240"/>
      <c r="V47" s="238" t="s">
        <v>89</v>
      </c>
      <c r="W47" s="239"/>
      <c r="X47" s="241"/>
      <c r="Y47" s="240">
        <f>SUM(Y35:Y46)</f>
        <v>246901</v>
      </c>
    </row>
    <row r="48">
      <c r="A48" s="173"/>
      <c r="B48" s="13" t="s">
        <v>812</v>
      </c>
      <c r="C48" s="13" t="s">
        <v>729</v>
      </c>
      <c r="D48" s="13" t="s">
        <v>3</v>
      </c>
      <c r="E48" s="13" t="s">
        <v>4</v>
      </c>
      <c r="F48" s="13" t="s">
        <v>5</v>
      </c>
      <c r="G48" s="13" t="s">
        <v>229</v>
      </c>
      <c r="H48" s="649" t="s">
        <v>730</v>
      </c>
      <c r="I48" s="649" t="s">
        <v>798</v>
      </c>
      <c r="J48" s="506" t="s">
        <v>10</v>
      </c>
      <c r="K48" s="506" t="s">
        <v>11</v>
      </c>
      <c r="L48" s="507" t="s">
        <v>476</v>
      </c>
      <c r="M48" s="507" t="s">
        <v>13</v>
      </c>
      <c r="N48" s="660" t="s">
        <v>799</v>
      </c>
      <c r="O48" s="507" t="s">
        <v>800</v>
      </c>
      <c r="P48" s="13" t="s">
        <v>16</v>
      </c>
      <c r="Q48" s="13" t="s">
        <v>17</v>
      </c>
      <c r="R48" s="238" t="s">
        <v>21</v>
      </c>
      <c r="S48" s="238" t="s">
        <v>22</v>
      </c>
      <c r="T48" s="656" t="s">
        <v>23</v>
      </c>
      <c r="U48" s="656" t="s">
        <v>24</v>
      </c>
      <c r="V48" s="238" t="s">
        <v>25</v>
      </c>
      <c r="W48" s="238" t="s">
        <v>26</v>
      </c>
      <c r="X48" s="238" t="s">
        <v>27</v>
      </c>
      <c r="Y48" s="238" t="s">
        <v>28</v>
      </c>
    </row>
    <row r="49">
      <c r="A49" s="565" t="s">
        <v>733</v>
      </c>
      <c r="B49" s="527">
        <f>H67/E170</f>
        <v>0.05656227632</v>
      </c>
      <c r="C49" s="512">
        <f>H49/E170</f>
        <v>0</v>
      </c>
      <c r="D49" s="631" t="s">
        <v>813</v>
      </c>
      <c r="E49" s="631" t="s">
        <v>307</v>
      </c>
      <c r="F49" s="195">
        <v>7.5</v>
      </c>
      <c r="G49" s="217">
        <v>29200.0</v>
      </c>
      <c r="H49" s="217">
        <v>0.0</v>
      </c>
      <c r="I49" s="216">
        <v>29.2</v>
      </c>
      <c r="J49" s="568">
        <f>IFERROR(__xludf.DUMMYFUNCTION("GOOGLEFINANCE(E49,""changepct"")"),-0.87)</f>
        <v>-0.87</v>
      </c>
      <c r="K49" s="516">
        <f>IFERROR(__xludf.DUMMYFUNCTION("googlefinance(E49,""price"")"),11.43)</f>
        <v>11.43</v>
      </c>
      <c r="L49" s="216">
        <v>32.16</v>
      </c>
      <c r="M49" s="517">
        <f t="shared" ref="M49:M66" si="14">K49-I49</f>
        <v>-17.77</v>
      </c>
      <c r="N49" s="518">
        <f t="shared" ref="N49:N50" si="15">L49/I49-1</f>
        <v>0.101369863</v>
      </c>
      <c r="O49" s="661">
        <f t="shared" ref="O49:O66" si="16">G49*N49</f>
        <v>2960</v>
      </c>
      <c r="P49" s="538">
        <v>0.0057</v>
      </c>
      <c r="Q49" s="528"/>
      <c r="R49" s="210" t="s">
        <v>307</v>
      </c>
      <c r="S49" s="211">
        <v>44207.0</v>
      </c>
      <c r="T49" s="212">
        <v>32.16</v>
      </c>
      <c r="U49" s="213">
        <v>32160.0</v>
      </c>
      <c r="V49" s="657"/>
      <c r="W49" s="257"/>
      <c r="X49" s="258"/>
      <c r="Y49" s="658"/>
    </row>
    <row r="50">
      <c r="A50" s="528"/>
      <c r="B50" s="528"/>
      <c r="C50" s="512">
        <f>H50/E170</f>
        <v>0</v>
      </c>
      <c r="D50" s="344" t="s">
        <v>814</v>
      </c>
      <c r="E50" s="344" t="s">
        <v>305</v>
      </c>
      <c r="F50" s="195">
        <v>7.7</v>
      </c>
      <c r="G50" s="217">
        <v>31491.0</v>
      </c>
      <c r="H50" s="217">
        <v>0.0</v>
      </c>
      <c r="I50" s="216">
        <v>104.97</v>
      </c>
      <c r="J50" s="515">
        <f>IFERROR(__xludf.DUMMYFUNCTION("GOOGLEFINANCE(E50,""changepct"")"),-0.97)</f>
        <v>-0.97</v>
      </c>
      <c r="K50" s="517">
        <f>IFERROR(__xludf.DUMMYFUNCTION("googlefinance(E50,""price"")"),33.62)</f>
        <v>33.62</v>
      </c>
      <c r="L50" s="216">
        <v>116.0</v>
      </c>
      <c r="M50" s="517">
        <f t="shared" si="14"/>
        <v>-71.35</v>
      </c>
      <c r="N50" s="518">
        <f t="shared" si="15"/>
        <v>0.1050776412</v>
      </c>
      <c r="O50" s="514">
        <f t="shared" si="16"/>
        <v>3309</v>
      </c>
      <c r="P50" s="538">
        <v>0.0011</v>
      </c>
      <c r="Q50" s="528"/>
      <c r="R50" s="210" t="s">
        <v>305</v>
      </c>
      <c r="S50" s="211">
        <v>44207.0</v>
      </c>
      <c r="T50" s="212">
        <v>116.0</v>
      </c>
      <c r="U50" s="213">
        <v>34800.0</v>
      </c>
      <c r="V50" s="657"/>
      <c r="W50" s="257"/>
      <c r="X50" s="258"/>
      <c r="Y50" s="658"/>
    </row>
    <row r="51">
      <c r="A51" s="528"/>
      <c r="B51" s="528"/>
      <c r="C51" s="512">
        <f>H51/E170</f>
        <v>0.001148987524</v>
      </c>
      <c r="D51" s="344" t="s">
        <v>814</v>
      </c>
      <c r="E51" s="344" t="s">
        <v>305</v>
      </c>
      <c r="F51" s="195">
        <v>7.7</v>
      </c>
      <c r="G51" s="217">
        <v>30950.0</v>
      </c>
      <c r="H51" s="217">
        <f t="shared" ref="H51:H55" si="17">G51+O51</f>
        <v>8405</v>
      </c>
      <c r="I51" s="216">
        <v>123.8</v>
      </c>
      <c r="J51" s="515">
        <f>IFERROR(__xludf.DUMMYFUNCTION("GOOGLEFINANCE(E51,""changepct"")"),-0.97)</f>
        <v>-0.97</v>
      </c>
      <c r="K51" s="517">
        <f>IFERROR(__xludf.DUMMYFUNCTION("googlefinance(E51,""price"")"),33.62)</f>
        <v>33.62</v>
      </c>
      <c r="L51" s="216"/>
      <c r="M51" s="517">
        <f t="shared" si="14"/>
        <v>-90.18</v>
      </c>
      <c r="N51" s="518">
        <f t="shared" ref="N51:N55" si="18">K51/I51-1</f>
        <v>-0.7284329564</v>
      </c>
      <c r="O51" s="514">
        <f t="shared" si="16"/>
        <v>-22545</v>
      </c>
      <c r="P51" s="538"/>
      <c r="Q51" s="528"/>
      <c r="R51" s="210"/>
      <c r="S51" s="211"/>
      <c r="T51" s="212"/>
      <c r="U51" s="213"/>
      <c r="V51" s="210" t="s">
        <v>305</v>
      </c>
      <c r="W51" s="211">
        <v>44221.0</v>
      </c>
      <c r="X51" s="212">
        <v>123.8</v>
      </c>
      <c r="Y51" s="213">
        <v>30950.0</v>
      </c>
    </row>
    <row r="52">
      <c r="A52" s="528"/>
      <c r="B52" s="528"/>
      <c r="C52" s="512">
        <f>H52/E170</f>
        <v>0.002091211975</v>
      </c>
      <c r="D52" s="104" t="s">
        <v>756</v>
      </c>
      <c r="E52" s="104" t="s">
        <v>757</v>
      </c>
      <c r="F52" s="195">
        <v>7.8</v>
      </c>
      <c r="G52" s="217">
        <v>35687.5</v>
      </c>
      <c r="H52" s="217">
        <f t="shared" si="17"/>
        <v>15297.5</v>
      </c>
      <c r="I52" s="216">
        <v>142.75</v>
      </c>
      <c r="J52" s="515">
        <f>IFERROR(__xludf.DUMMYFUNCTION("GOOGLEFINANCE(E52,""changepct"")"),-0.79)</f>
        <v>-0.79</v>
      </c>
      <c r="K52" s="517">
        <f>IFERROR(__xludf.DUMMYFUNCTION("googlefinance(E52,""price"")"),61.19)</f>
        <v>61.19</v>
      </c>
      <c r="L52" s="216"/>
      <c r="M52" s="517">
        <f t="shared" si="14"/>
        <v>-81.56</v>
      </c>
      <c r="N52" s="518">
        <f t="shared" si="18"/>
        <v>-0.5713485114</v>
      </c>
      <c r="O52" s="514">
        <f t="shared" si="16"/>
        <v>-20390</v>
      </c>
      <c r="P52" s="538"/>
      <c r="Q52" s="528"/>
      <c r="R52" s="210"/>
      <c r="S52" s="211"/>
      <c r="T52" s="212"/>
      <c r="U52" s="213"/>
      <c r="V52" s="210" t="s">
        <v>757</v>
      </c>
      <c r="W52" s="211">
        <v>44221.0</v>
      </c>
      <c r="X52" s="212">
        <v>142.75</v>
      </c>
      <c r="Y52" s="213">
        <v>35687.5</v>
      </c>
    </row>
    <row r="53">
      <c r="A53" s="528"/>
      <c r="B53" s="528"/>
      <c r="C53" s="512">
        <f>H53/E170</f>
        <v>0.0006852756452</v>
      </c>
      <c r="D53" s="104" t="s">
        <v>758</v>
      </c>
      <c r="E53" s="104" t="s">
        <v>759</v>
      </c>
      <c r="F53" s="195">
        <v>7.8</v>
      </c>
      <c r="G53" s="217">
        <v>32192.5</v>
      </c>
      <c r="H53" s="217">
        <f t="shared" si="17"/>
        <v>5012.884542</v>
      </c>
      <c r="I53" s="216">
        <v>131.65</v>
      </c>
      <c r="J53" s="515">
        <f>IFERROR(__xludf.DUMMYFUNCTION("GOOGLEFINANCE(E53,""changepct"")"),-2.1)</f>
        <v>-2.1</v>
      </c>
      <c r="K53" s="517">
        <f>IFERROR(__xludf.DUMMYFUNCTION("googlefinance(E53,""price"")"),20.5)</f>
        <v>20.5</v>
      </c>
      <c r="L53" s="216"/>
      <c r="M53" s="517">
        <f t="shared" si="14"/>
        <v>-111.15</v>
      </c>
      <c r="N53" s="518">
        <f t="shared" si="18"/>
        <v>-0.8442840866</v>
      </c>
      <c r="O53" s="514">
        <f t="shared" si="16"/>
        <v>-27179.61546</v>
      </c>
      <c r="P53" s="538"/>
      <c r="Q53" s="528"/>
      <c r="R53" s="210"/>
      <c r="S53" s="211"/>
      <c r="T53" s="212"/>
      <c r="U53" s="213"/>
      <c r="V53" s="210" t="s">
        <v>759</v>
      </c>
      <c r="W53" s="211">
        <v>44221.0</v>
      </c>
      <c r="X53" s="212">
        <v>131.65</v>
      </c>
      <c r="Y53" s="213">
        <v>32192.5</v>
      </c>
    </row>
    <row r="54">
      <c r="A54" s="528"/>
      <c r="B54" s="528"/>
      <c r="C54" s="512">
        <f>H54/E170</f>
        <v>0.001794908529</v>
      </c>
      <c r="D54" s="344" t="s">
        <v>678</v>
      </c>
      <c r="E54" s="344" t="s">
        <v>679</v>
      </c>
      <c r="F54" s="195">
        <v>7.7</v>
      </c>
      <c r="G54" s="217">
        <v>40210.0</v>
      </c>
      <c r="H54" s="217">
        <f t="shared" si="17"/>
        <v>13130</v>
      </c>
      <c r="I54" s="216">
        <v>80.42</v>
      </c>
      <c r="J54" s="515">
        <f>IFERROR(__xludf.DUMMYFUNCTION("GOOGLEFINANCE(E54,""changepct"")"),-1.57)</f>
        <v>-1.57</v>
      </c>
      <c r="K54" s="517">
        <f>IFERROR(__xludf.DUMMYFUNCTION("googlefinance(E54,""price"")"),26.26)</f>
        <v>26.26</v>
      </c>
      <c r="L54" s="216"/>
      <c r="M54" s="517">
        <f t="shared" si="14"/>
        <v>-54.16</v>
      </c>
      <c r="N54" s="518">
        <f t="shared" si="18"/>
        <v>-0.6734643124</v>
      </c>
      <c r="O54" s="514">
        <f t="shared" si="16"/>
        <v>-27080</v>
      </c>
      <c r="P54" s="538"/>
      <c r="Q54" s="528"/>
      <c r="R54" s="210"/>
      <c r="S54" s="211"/>
      <c r="T54" s="212"/>
      <c r="U54" s="213"/>
      <c r="V54" s="210" t="s">
        <v>679</v>
      </c>
      <c r="W54" s="211">
        <v>44253.0</v>
      </c>
      <c r="X54" s="212">
        <v>80.42</v>
      </c>
      <c r="Y54" s="213">
        <v>40210.0</v>
      </c>
    </row>
    <row r="55">
      <c r="A55" s="528"/>
      <c r="B55" s="528"/>
      <c r="C55" s="512">
        <f>H55/E170</f>
        <v>0.001076945118</v>
      </c>
      <c r="D55" s="344" t="s">
        <v>678</v>
      </c>
      <c r="E55" s="344" t="s">
        <v>679</v>
      </c>
      <c r="F55" s="195">
        <v>7.7</v>
      </c>
      <c r="G55" s="217">
        <v>29862.0</v>
      </c>
      <c r="H55" s="217">
        <f t="shared" si="17"/>
        <v>7878</v>
      </c>
      <c r="I55" s="216">
        <v>99.54</v>
      </c>
      <c r="J55" s="515">
        <f>IFERROR(__xludf.DUMMYFUNCTION("GOOGLEFINANCE(E55,""changepct"")"),-1.57)</f>
        <v>-1.57</v>
      </c>
      <c r="K55" s="517">
        <f>IFERROR(__xludf.DUMMYFUNCTION("googlefinance(E55,""price"")"),26.26)</f>
        <v>26.26</v>
      </c>
      <c r="L55" s="216"/>
      <c r="M55" s="517">
        <f t="shared" si="14"/>
        <v>-73.28</v>
      </c>
      <c r="N55" s="518">
        <f t="shared" si="18"/>
        <v>-0.7361864577</v>
      </c>
      <c r="O55" s="514">
        <f t="shared" si="16"/>
        <v>-21984</v>
      </c>
      <c r="P55" s="538"/>
      <c r="Q55" s="528"/>
      <c r="R55" s="210"/>
      <c r="S55" s="211"/>
      <c r="T55" s="212"/>
      <c r="U55" s="213"/>
      <c r="V55" s="210" t="s">
        <v>679</v>
      </c>
      <c r="W55" s="211">
        <v>44221.0</v>
      </c>
      <c r="X55" s="212">
        <v>99.54</v>
      </c>
      <c r="Y55" s="213">
        <v>29862.0</v>
      </c>
    </row>
    <row r="56">
      <c r="A56" s="528"/>
      <c r="B56" s="528"/>
      <c r="C56" s="512">
        <f>H56/E170</f>
        <v>0</v>
      </c>
      <c r="D56" s="344" t="s">
        <v>678</v>
      </c>
      <c r="E56" s="344" t="s">
        <v>679</v>
      </c>
      <c r="F56" s="195">
        <v>7.7</v>
      </c>
      <c r="G56" s="217">
        <v>32060.0</v>
      </c>
      <c r="H56" s="217">
        <v>0.0</v>
      </c>
      <c r="I56" s="216">
        <v>80.15</v>
      </c>
      <c r="J56" s="515">
        <f>IFERROR(__xludf.DUMMYFUNCTION("GOOGLEFINANCE(E56,""changepct"")"),-1.57)</f>
        <v>-1.57</v>
      </c>
      <c r="K56" s="517">
        <f>IFERROR(__xludf.DUMMYFUNCTION("googlefinance(E56,""price"")"),26.26)</f>
        <v>26.26</v>
      </c>
      <c r="L56" s="216">
        <v>94.32</v>
      </c>
      <c r="M56" s="517">
        <f t="shared" si="14"/>
        <v>-53.89</v>
      </c>
      <c r="N56" s="518">
        <f>L56/I56-1</f>
        <v>0.1767935122</v>
      </c>
      <c r="O56" s="514">
        <f t="shared" si="16"/>
        <v>5668</v>
      </c>
      <c r="P56" s="538">
        <v>0.0092</v>
      </c>
      <c r="Q56" s="528"/>
      <c r="R56" s="210" t="s">
        <v>679</v>
      </c>
      <c r="S56" s="211">
        <v>44207.0</v>
      </c>
      <c r="T56" s="212">
        <v>94.32</v>
      </c>
      <c r="U56" s="213">
        <v>37728.0</v>
      </c>
      <c r="V56" s="657"/>
      <c r="W56" s="257"/>
      <c r="X56" s="258"/>
      <c r="Y56" s="658"/>
    </row>
    <row r="57">
      <c r="A57" s="528"/>
      <c r="B57" s="528"/>
      <c r="C57" s="512">
        <f>H57/E170</f>
        <v>0.007302803393</v>
      </c>
      <c r="D57" s="600" t="s">
        <v>350</v>
      </c>
      <c r="E57" s="631" t="s">
        <v>351</v>
      </c>
      <c r="F57" s="195">
        <v>7.3</v>
      </c>
      <c r="G57" s="217">
        <v>29676.0</v>
      </c>
      <c r="H57" s="514">
        <f>G57+O57</f>
        <v>53421</v>
      </c>
      <c r="I57" s="216">
        <v>98.92</v>
      </c>
      <c r="J57" s="515">
        <f>IFERROR(__xludf.DUMMYFUNCTION("GOOGLEFINANCE(E57,""changepct"")"),-2.5)</f>
        <v>-2.5</v>
      </c>
      <c r="K57" s="517">
        <f>IFERROR(__xludf.DUMMYFUNCTION("googlefinance(E57,""price"")"),178.07)</f>
        <v>178.07</v>
      </c>
      <c r="L57" s="517"/>
      <c r="M57" s="517">
        <f t="shared" si="14"/>
        <v>79.15</v>
      </c>
      <c r="N57" s="518">
        <f>K57/I57-1</f>
        <v>0.8001415285</v>
      </c>
      <c r="O57" s="514">
        <f t="shared" si="16"/>
        <v>23745</v>
      </c>
      <c r="P57" s="528"/>
      <c r="Q57" s="528"/>
      <c r="R57" s="657"/>
      <c r="S57" s="257"/>
      <c r="T57" s="258"/>
      <c r="U57" s="658"/>
      <c r="V57" s="657"/>
      <c r="W57" s="257"/>
      <c r="X57" s="258"/>
      <c r="Y57" s="658"/>
    </row>
    <row r="58">
      <c r="A58" s="528"/>
      <c r="B58" s="528"/>
      <c r="C58" s="512">
        <f>H58/E170</f>
        <v>0</v>
      </c>
      <c r="D58" s="631" t="s">
        <v>391</v>
      </c>
      <c r="E58" s="631" t="s">
        <v>392</v>
      </c>
      <c r="F58" s="195">
        <v>7.3</v>
      </c>
      <c r="G58" s="217">
        <v>25890.0</v>
      </c>
      <c r="H58" s="217">
        <v>0.0</v>
      </c>
      <c r="I58" s="216">
        <v>43.15</v>
      </c>
      <c r="J58" s="515">
        <f>IFERROR(__xludf.DUMMYFUNCTION("GOOGLEFINANCE(E58,""changepct"")"),-0.52)</f>
        <v>-0.52</v>
      </c>
      <c r="K58" s="517">
        <f>IFERROR(__xludf.DUMMYFUNCTION("googlefinance(E58,""price"")"),22.94)</f>
        <v>22.94</v>
      </c>
      <c r="L58" s="216">
        <v>47.68</v>
      </c>
      <c r="M58" s="517">
        <f t="shared" si="14"/>
        <v>-20.21</v>
      </c>
      <c r="N58" s="518">
        <f>L58/I58-1</f>
        <v>0.1049826188</v>
      </c>
      <c r="O58" s="514">
        <f t="shared" si="16"/>
        <v>2718</v>
      </c>
      <c r="P58" s="538">
        <v>0.0268</v>
      </c>
      <c r="Q58" s="528"/>
      <c r="R58" s="210" t="s">
        <v>392</v>
      </c>
      <c r="S58" s="211">
        <v>44207.0</v>
      </c>
      <c r="T58" s="212">
        <v>47.68</v>
      </c>
      <c r="U58" s="213">
        <v>28608.0</v>
      </c>
      <c r="V58" s="657"/>
      <c r="W58" s="257"/>
      <c r="X58" s="258"/>
      <c r="Y58" s="658"/>
    </row>
    <row r="59">
      <c r="A59" s="528"/>
      <c r="B59" s="528"/>
      <c r="C59" s="512">
        <f>H59/E170</f>
        <v>0.001045776866</v>
      </c>
      <c r="D59" s="567" t="s">
        <v>760</v>
      </c>
      <c r="E59" s="567" t="s">
        <v>761</v>
      </c>
      <c r="F59" s="195">
        <v>7.1</v>
      </c>
      <c r="G59" s="217">
        <v>34850.0</v>
      </c>
      <c r="H59" s="217">
        <f t="shared" ref="H59:H63" si="19">G59+O59</f>
        <v>7650</v>
      </c>
      <c r="I59" s="216">
        <v>6.97</v>
      </c>
      <c r="J59" s="515">
        <f>IFERROR(__xludf.DUMMYFUNCTION("GOOGLEFINANCE(E59,""changepct"")"),-8.93)</f>
        <v>-8.93</v>
      </c>
      <c r="K59" s="517">
        <f>IFERROR(__xludf.DUMMYFUNCTION("googlefinance(E59,""price"")"),1.53)</f>
        <v>1.53</v>
      </c>
      <c r="L59" s="216"/>
      <c r="M59" s="517">
        <f t="shared" si="14"/>
        <v>-5.44</v>
      </c>
      <c r="N59" s="518">
        <f t="shared" ref="N59:N63" si="20">K59/I59-1</f>
        <v>-0.7804878049</v>
      </c>
      <c r="O59" s="514">
        <f t="shared" si="16"/>
        <v>-27200</v>
      </c>
      <c r="P59" s="538"/>
      <c r="Q59" s="528"/>
      <c r="R59" s="210"/>
      <c r="S59" s="211"/>
      <c r="T59" s="212"/>
      <c r="U59" s="213"/>
      <c r="V59" s="210" t="s">
        <v>761</v>
      </c>
      <c r="W59" s="211">
        <v>44263.0</v>
      </c>
      <c r="X59" s="212">
        <v>6.97</v>
      </c>
      <c r="Y59" s="213">
        <v>34850.0</v>
      </c>
    </row>
    <row r="60">
      <c r="A60" s="528"/>
      <c r="B60" s="528"/>
      <c r="C60" s="512">
        <f>H60/E170</f>
        <v>0.007950140531</v>
      </c>
      <c r="D60" s="567" t="s">
        <v>493</v>
      </c>
      <c r="E60" s="567" t="s">
        <v>494</v>
      </c>
      <c r="F60" s="195">
        <v>7.2</v>
      </c>
      <c r="G60" s="217">
        <v>49200.0</v>
      </c>
      <c r="H60" s="217">
        <f t="shared" si="19"/>
        <v>58156.3592</v>
      </c>
      <c r="I60" s="216">
        <v>24.61</v>
      </c>
      <c r="J60" s="515">
        <f>IFERROR(__xludf.DUMMYFUNCTION("GOOGLEFINANCE(E60,""changepct"")"),0.45)</f>
        <v>0.45</v>
      </c>
      <c r="K60" s="517">
        <f>IFERROR(__xludf.DUMMYFUNCTION("googlefinance(E60,""price"")"),29.09)</f>
        <v>29.09</v>
      </c>
      <c r="L60" s="216"/>
      <c r="M60" s="517">
        <f t="shared" si="14"/>
        <v>4.48</v>
      </c>
      <c r="N60" s="518">
        <f t="shared" si="20"/>
        <v>0.1820398212</v>
      </c>
      <c r="O60" s="514">
        <f t="shared" si="16"/>
        <v>8956.359204</v>
      </c>
      <c r="P60" s="538">
        <v>0.05</v>
      </c>
      <c r="Q60" s="528"/>
      <c r="R60" s="210"/>
      <c r="S60" s="211"/>
      <c r="T60" s="212"/>
      <c r="U60" s="213"/>
      <c r="V60" s="210" t="s">
        <v>494</v>
      </c>
      <c r="W60" s="211">
        <v>44279.0</v>
      </c>
      <c r="X60" s="212">
        <v>24.61</v>
      </c>
      <c r="Y60" s="213">
        <v>49200.0</v>
      </c>
    </row>
    <row r="61">
      <c r="A61" s="528"/>
      <c r="B61" s="528"/>
      <c r="C61" s="512">
        <f>H61/E170</f>
        <v>0.01307863586</v>
      </c>
      <c r="D61" s="567" t="s">
        <v>566</v>
      </c>
      <c r="E61" s="567" t="s">
        <v>567</v>
      </c>
      <c r="F61" s="195">
        <v>7.6</v>
      </c>
      <c r="G61" s="217">
        <v>57688.0</v>
      </c>
      <c r="H61" s="217">
        <f t="shared" si="19"/>
        <v>95672</v>
      </c>
      <c r="I61" s="216">
        <v>72.11</v>
      </c>
      <c r="J61" s="515">
        <f>IFERROR(__xludf.DUMMYFUNCTION("GOOGLEFINANCE(E61,""changepct"")"),0.01)</f>
        <v>0.01</v>
      </c>
      <c r="K61" s="517">
        <f>IFERROR(__xludf.DUMMYFUNCTION("googlefinance(E61,""price"")"),119.59)</f>
        <v>119.59</v>
      </c>
      <c r="L61" s="216"/>
      <c r="M61" s="517">
        <f t="shared" si="14"/>
        <v>47.48</v>
      </c>
      <c r="N61" s="518">
        <f t="shared" si="20"/>
        <v>0.6584384967</v>
      </c>
      <c r="O61" s="514">
        <f t="shared" si="16"/>
        <v>37984</v>
      </c>
      <c r="P61" s="538">
        <v>0.0542</v>
      </c>
      <c r="Q61" s="528"/>
      <c r="R61" s="210"/>
      <c r="S61" s="211"/>
      <c r="T61" s="212"/>
      <c r="U61" s="213"/>
      <c r="V61" s="210" t="s">
        <v>567</v>
      </c>
      <c r="W61" s="211">
        <v>44279.0</v>
      </c>
      <c r="X61" s="212">
        <v>72.11</v>
      </c>
      <c r="Y61" s="213">
        <v>57688.0</v>
      </c>
    </row>
    <row r="62">
      <c r="A62" s="528"/>
      <c r="B62" s="528"/>
      <c r="C62" s="512">
        <f>H62/E170</f>
        <v>0.01445769429</v>
      </c>
      <c r="D62" s="567" t="s">
        <v>491</v>
      </c>
      <c r="E62" s="567" t="s">
        <v>492</v>
      </c>
      <c r="F62" s="195">
        <v>7.5</v>
      </c>
      <c r="G62" s="217">
        <v>56440.0</v>
      </c>
      <c r="H62" s="217">
        <f t="shared" si="19"/>
        <v>105760</v>
      </c>
      <c r="I62" s="216">
        <v>56.44</v>
      </c>
      <c r="J62" s="515">
        <f>IFERROR(__xludf.DUMMYFUNCTION("GOOGLEFINANCE(E62,""changepct"")"),-0.68)</f>
        <v>-0.68</v>
      </c>
      <c r="K62" s="517">
        <f>IFERROR(__xludf.DUMMYFUNCTION("googlefinance(E62,""price"")"),105.76)</f>
        <v>105.76</v>
      </c>
      <c r="L62" s="216"/>
      <c r="M62" s="517">
        <f t="shared" si="14"/>
        <v>49.32</v>
      </c>
      <c r="N62" s="518">
        <f t="shared" si="20"/>
        <v>0.8738483345</v>
      </c>
      <c r="O62" s="514">
        <f t="shared" si="16"/>
        <v>49320</v>
      </c>
      <c r="P62" s="538">
        <v>0.0622</v>
      </c>
      <c r="Q62" s="528"/>
      <c r="R62" s="210"/>
      <c r="S62" s="211"/>
      <c r="T62" s="212"/>
      <c r="U62" s="213"/>
      <c r="V62" s="210" t="s">
        <v>492</v>
      </c>
      <c r="W62" s="211">
        <v>44279.0</v>
      </c>
      <c r="X62" s="212">
        <v>56.44</v>
      </c>
      <c r="Y62" s="213">
        <v>56440.0</v>
      </c>
    </row>
    <row r="63">
      <c r="A63" s="528"/>
      <c r="B63" s="528"/>
      <c r="C63" s="512">
        <f>H63/E170</f>
        <v>0.005168735072</v>
      </c>
      <c r="D63" s="567" t="s">
        <v>94</v>
      </c>
      <c r="E63" s="567" t="s">
        <v>95</v>
      </c>
      <c r="F63" s="195">
        <v>7.4</v>
      </c>
      <c r="G63" s="217">
        <v>27650.0</v>
      </c>
      <c r="H63" s="217">
        <f t="shared" si="19"/>
        <v>37810</v>
      </c>
      <c r="I63" s="216">
        <v>27.65</v>
      </c>
      <c r="J63" s="515">
        <f>IFERROR(__xludf.DUMMYFUNCTION("GOOGLEFINANCE(E63,""changepct"")"),0.03)</f>
        <v>0.03</v>
      </c>
      <c r="K63" s="517">
        <f>IFERROR(__xludf.DUMMYFUNCTION("googlefinance(E63,""price"")"),37.81)</f>
        <v>37.81</v>
      </c>
      <c r="L63" s="216"/>
      <c r="M63" s="517">
        <f t="shared" si="14"/>
        <v>10.16</v>
      </c>
      <c r="N63" s="518">
        <f t="shared" si="20"/>
        <v>0.3674502712</v>
      </c>
      <c r="O63" s="514">
        <f t="shared" si="16"/>
        <v>10160</v>
      </c>
      <c r="P63" s="538">
        <v>0.02</v>
      </c>
      <c r="Q63" s="528"/>
      <c r="R63" s="210"/>
      <c r="S63" s="211"/>
      <c r="T63" s="212"/>
      <c r="U63" s="213"/>
      <c r="V63" s="210" t="s">
        <v>95</v>
      </c>
      <c r="W63" s="211">
        <v>44253.0</v>
      </c>
      <c r="X63" s="212">
        <v>27.65</v>
      </c>
      <c r="Y63" s="213">
        <v>27650.0</v>
      </c>
    </row>
    <row r="64">
      <c r="A64" s="528"/>
      <c r="B64" s="528"/>
      <c r="C64" s="512">
        <f>H64/E170</f>
        <v>0</v>
      </c>
      <c r="D64" s="631" t="s">
        <v>815</v>
      </c>
      <c r="E64" s="631" t="s">
        <v>816</v>
      </c>
      <c r="F64" s="528">
        <v>7.2</v>
      </c>
      <c r="G64" s="217">
        <v>44800.0</v>
      </c>
      <c r="H64" s="217">
        <v>0.0</v>
      </c>
      <c r="I64" s="216">
        <v>5.6</v>
      </c>
      <c r="J64" s="515" t="str">
        <f>IFERROR(__xludf.DUMMYFUNCTION("GOOGLEFINANCE(E64,""changepct"")"),"#N/A")</f>
        <v>#N/A</v>
      </c>
      <c r="K64" s="517" t="str">
        <f>IFERROR(__xludf.DUMMYFUNCTION("googlefinance(E64,""price"")"),"#N/A")</f>
        <v>#N/A</v>
      </c>
      <c r="L64" s="216">
        <v>6.04</v>
      </c>
      <c r="M64" s="528" t="str">
        <f t="shared" si="14"/>
        <v>#N/A</v>
      </c>
      <c r="N64" s="518">
        <f>L64/I64-1</f>
        <v>0.07857142857</v>
      </c>
      <c r="O64" s="514">
        <f t="shared" si="16"/>
        <v>3520</v>
      </c>
      <c r="P64" s="538">
        <v>0.0737</v>
      </c>
      <c r="Q64" s="528"/>
      <c r="R64" s="210" t="s">
        <v>816</v>
      </c>
      <c r="S64" s="211">
        <v>44207.0</v>
      </c>
      <c r="T64" s="212">
        <v>6.04</v>
      </c>
      <c r="U64" s="213">
        <v>48320.0</v>
      </c>
      <c r="V64" s="657"/>
      <c r="W64" s="257"/>
      <c r="X64" s="258"/>
      <c r="Y64" s="658"/>
    </row>
    <row r="65">
      <c r="A65" s="528"/>
      <c r="B65" s="528"/>
      <c r="C65" s="512">
        <f>H65/E170</f>
        <v>0.000761161515</v>
      </c>
      <c r="D65" s="344" t="s">
        <v>680</v>
      </c>
      <c r="E65" s="344" t="s">
        <v>681</v>
      </c>
      <c r="F65" s="195">
        <v>7.7</v>
      </c>
      <c r="G65" s="217">
        <v>59680.0</v>
      </c>
      <c r="H65" s="217">
        <f>G65+O65</f>
        <v>5568</v>
      </c>
      <c r="I65" s="216">
        <v>74.6</v>
      </c>
      <c r="J65" s="515">
        <f>IFERROR(__xludf.DUMMYFUNCTION("GOOGLEFINANCE(E65,""changepct"")"),0.0)</f>
        <v>0</v>
      </c>
      <c r="K65" s="517">
        <f>IFERROR(__xludf.DUMMYFUNCTION("googlefinance(E65,""price"")"),6.96)</f>
        <v>6.96</v>
      </c>
      <c r="L65" s="216"/>
      <c r="M65" s="517">
        <f t="shared" si="14"/>
        <v>-67.64</v>
      </c>
      <c r="N65" s="518">
        <f>K65/I65-1</f>
        <v>-0.9067024129</v>
      </c>
      <c r="O65" s="514">
        <f t="shared" si="16"/>
        <v>-54112</v>
      </c>
      <c r="P65" s="538">
        <v>0.0673</v>
      </c>
      <c r="Q65" s="528"/>
      <c r="R65" s="210"/>
      <c r="S65" s="211"/>
      <c r="T65" s="212"/>
      <c r="U65" s="213"/>
      <c r="V65" s="210" t="s">
        <v>681</v>
      </c>
      <c r="W65" s="211">
        <v>44253.0</v>
      </c>
      <c r="X65" s="212">
        <v>74.6</v>
      </c>
      <c r="Y65" s="213">
        <v>59680.0</v>
      </c>
    </row>
    <row r="66">
      <c r="A66" s="528"/>
      <c r="B66" s="528"/>
      <c r="C66" s="512">
        <f>H66/E170</f>
        <v>0</v>
      </c>
      <c r="D66" s="344" t="s">
        <v>680</v>
      </c>
      <c r="E66" s="344" t="s">
        <v>681</v>
      </c>
      <c r="F66" s="195">
        <v>7.7</v>
      </c>
      <c r="G66" s="217">
        <v>47852.0</v>
      </c>
      <c r="H66" s="217">
        <v>0.0</v>
      </c>
      <c r="I66" s="216">
        <v>68.36</v>
      </c>
      <c r="J66" s="515">
        <f>IFERROR(__xludf.DUMMYFUNCTION("GOOGLEFINANCE(E66,""changepct"")"),0.0)</f>
        <v>0</v>
      </c>
      <c r="K66" s="517">
        <f>IFERROR(__xludf.DUMMYFUNCTION("googlefinance(E66,""price"")"),6.96)</f>
        <v>6.96</v>
      </c>
      <c r="L66" s="216">
        <v>75.01</v>
      </c>
      <c r="M66" s="517">
        <f t="shared" si="14"/>
        <v>-61.4</v>
      </c>
      <c r="N66" s="518">
        <f>L66/I66-1</f>
        <v>0.09727911059</v>
      </c>
      <c r="O66" s="514">
        <f t="shared" si="16"/>
        <v>4655</v>
      </c>
      <c r="P66" s="538">
        <v>0.0673</v>
      </c>
      <c r="Q66" s="528"/>
      <c r="R66" s="210" t="s">
        <v>681</v>
      </c>
      <c r="S66" s="211">
        <v>44207.0</v>
      </c>
      <c r="T66" s="212">
        <v>75.01</v>
      </c>
      <c r="U66" s="213">
        <v>52507.0</v>
      </c>
      <c r="V66" s="657"/>
      <c r="W66" s="257"/>
      <c r="X66" s="258"/>
      <c r="Y66" s="658"/>
    </row>
    <row r="67">
      <c r="A67" s="173"/>
      <c r="B67" s="13"/>
      <c r="C67" s="13"/>
      <c r="D67" s="13"/>
      <c r="E67" s="13"/>
      <c r="F67" s="13"/>
      <c r="G67" s="509">
        <f t="shared" ref="G67:H67" si="21">SUM(G49:G66)</f>
        <v>695379</v>
      </c>
      <c r="H67" s="539">
        <f t="shared" si="21"/>
        <v>413760.7437</v>
      </c>
      <c r="I67" s="506"/>
      <c r="J67" s="506"/>
      <c r="K67" s="506"/>
      <c r="L67" s="507"/>
      <c r="M67" s="507"/>
      <c r="N67" s="540">
        <f>O67/G67</f>
        <v>-0.06830125191</v>
      </c>
      <c r="O67" s="539">
        <f>SUM(O49:O66)</f>
        <v>-47495.25625</v>
      </c>
      <c r="P67" s="13"/>
      <c r="Q67" s="13"/>
      <c r="R67" s="238" t="s">
        <v>89</v>
      </c>
      <c r="S67" s="239"/>
      <c r="T67" s="241"/>
      <c r="U67" s="240">
        <f>SUM(U49:U66)</f>
        <v>234123</v>
      </c>
      <c r="V67" s="238" t="s">
        <v>89</v>
      </c>
      <c r="W67" s="239"/>
      <c r="X67" s="241"/>
      <c r="Y67" s="240">
        <f>SUM(Y49:Y66)</f>
        <v>454410</v>
      </c>
    </row>
    <row r="68">
      <c r="A68" s="173"/>
      <c r="B68" s="13" t="s">
        <v>817</v>
      </c>
      <c r="C68" s="13" t="s">
        <v>729</v>
      </c>
      <c r="D68" s="13" t="s">
        <v>3</v>
      </c>
      <c r="E68" s="13" t="s">
        <v>4</v>
      </c>
      <c r="F68" s="13" t="s">
        <v>5</v>
      </c>
      <c r="G68" s="13" t="s">
        <v>229</v>
      </c>
      <c r="H68" s="649" t="s">
        <v>730</v>
      </c>
      <c r="I68" s="649" t="s">
        <v>798</v>
      </c>
      <c r="J68" s="506" t="s">
        <v>10</v>
      </c>
      <c r="K68" s="506" t="s">
        <v>11</v>
      </c>
      <c r="L68" s="507" t="s">
        <v>476</v>
      </c>
      <c r="M68" s="507" t="s">
        <v>13</v>
      </c>
      <c r="N68" s="660" t="s">
        <v>799</v>
      </c>
      <c r="O68" s="507" t="s">
        <v>800</v>
      </c>
      <c r="P68" s="13" t="s">
        <v>16</v>
      </c>
      <c r="Q68" s="13" t="s">
        <v>17</v>
      </c>
      <c r="R68" s="238" t="s">
        <v>21</v>
      </c>
      <c r="S68" s="238" t="s">
        <v>22</v>
      </c>
      <c r="T68" s="656" t="s">
        <v>23</v>
      </c>
      <c r="U68" s="656" t="s">
        <v>24</v>
      </c>
      <c r="V68" s="238" t="s">
        <v>25</v>
      </c>
      <c r="W68" s="238" t="s">
        <v>26</v>
      </c>
      <c r="X68" s="238" t="s">
        <v>27</v>
      </c>
      <c r="Y68" s="238" t="s">
        <v>28</v>
      </c>
    </row>
    <row r="69">
      <c r="A69" s="565" t="s">
        <v>733</v>
      </c>
      <c r="B69" s="527" t="str">
        <f>H84/E170</f>
        <v>#N/A</v>
      </c>
      <c r="C69" s="512">
        <f>H69/E170</f>
        <v>0.06893925144</v>
      </c>
      <c r="D69" s="344" t="s">
        <v>764</v>
      </c>
      <c r="E69" s="344" t="s">
        <v>765</v>
      </c>
      <c r="F69" s="195">
        <v>6.5</v>
      </c>
      <c r="G69" s="217">
        <v>32760.0</v>
      </c>
      <c r="H69" s="514">
        <f t="shared" ref="H69:H73" si="22">G69+O69</f>
        <v>504300</v>
      </c>
      <c r="I69" s="216">
        <v>10.92</v>
      </c>
      <c r="J69" s="568">
        <f>IFERROR(__xludf.DUMMYFUNCTION("GOOGLEFINANCE(E69,""changepct"")"),-1.16)</f>
        <v>-1.16</v>
      </c>
      <c r="K69" s="516">
        <f>IFERROR(__xludf.DUMMYFUNCTION("googlefinance(E69,""price"")"),168.1)</f>
        <v>168.1</v>
      </c>
      <c r="L69" s="517"/>
      <c r="M69" s="517">
        <f t="shared" ref="M69:M83" si="23">K69-I69</f>
        <v>157.18</v>
      </c>
      <c r="N69" s="518">
        <f t="shared" ref="N69:N73" si="24">K69/I69-1</f>
        <v>14.39377289</v>
      </c>
      <c r="O69" s="661">
        <f t="shared" ref="O69:O83" si="25">G69*N69</f>
        <v>471540</v>
      </c>
      <c r="P69" s="538">
        <v>0.0037</v>
      </c>
      <c r="Q69" s="528"/>
      <c r="R69" s="657"/>
      <c r="S69" s="257"/>
      <c r="T69" s="258"/>
      <c r="U69" s="258"/>
      <c r="V69" s="657"/>
      <c r="W69" s="257"/>
      <c r="X69" s="258"/>
      <c r="Y69" s="658"/>
    </row>
    <row r="70">
      <c r="A70" s="528"/>
      <c r="B70" s="528"/>
      <c r="C70" s="512">
        <f>H70/E170</f>
        <v>0.01754239429</v>
      </c>
      <c r="D70" s="344" t="s">
        <v>536</v>
      </c>
      <c r="E70" s="344" t="s">
        <v>136</v>
      </c>
      <c r="F70" s="195">
        <v>7.2</v>
      </c>
      <c r="G70" s="217">
        <v>35000.0</v>
      </c>
      <c r="H70" s="514">
        <f t="shared" si="22"/>
        <v>128325</v>
      </c>
      <c r="I70" s="216">
        <v>14.0</v>
      </c>
      <c r="J70" s="515">
        <f>IFERROR(__xludf.DUMMYFUNCTION("GOOGLEFINANCE(E70,""changepct"")"),-2.21)</f>
        <v>-2.21</v>
      </c>
      <c r="K70" s="517">
        <f>IFERROR(__xludf.DUMMYFUNCTION("googlefinance(E70,""price"")"),51.33)</f>
        <v>51.33</v>
      </c>
      <c r="L70" s="517"/>
      <c r="M70" s="517">
        <f t="shared" si="23"/>
        <v>37.33</v>
      </c>
      <c r="N70" s="518">
        <f t="shared" si="24"/>
        <v>2.666428571</v>
      </c>
      <c r="O70" s="514">
        <f t="shared" si="25"/>
        <v>93325</v>
      </c>
      <c r="P70" s="538">
        <v>0.0047</v>
      </c>
      <c r="Q70" s="528"/>
      <c r="R70" s="657"/>
      <c r="S70" s="257"/>
      <c r="T70" s="258"/>
      <c r="U70" s="258"/>
      <c r="V70" s="657"/>
      <c r="W70" s="257"/>
      <c r="X70" s="258"/>
      <c r="Y70" s="658"/>
    </row>
    <row r="71">
      <c r="A71" s="528"/>
      <c r="B71" s="528"/>
      <c r="C71" s="512" t="str">
        <f>H71/E170</f>
        <v>#N/A</v>
      </c>
      <c r="D71" s="600" t="s">
        <v>683</v>
      </c>
      <c r="E71" s="344" t="s">
        <v>684</v>
      </c>
      <c r="F71" s="195">
        <v>8.2</v>
      </c>
      <c r="G71" s="217">
        <v>47220.0</v>
      </c>
      <c r="H71" s="514" t="str">
        <f t="shared" si="22"/>
        <v>#N/A</v>
      </c>
      <c r="I71" s="216">
        <v>31.48</v>
      </c>
      <c r="J71" s="515" t="str">
        <f>IFERROR(__xludf.DUMMYFUNCTION("GOOGLEFINANCE(E71,""changepct"")"),"#N/A")</f>
        <v>#N/A</v>
      </c>
      <c r="K71" s="517" t="str">
        <f>IFERROR(__xludf.DUMMYFUNCTION("googlefinance(E71,""price"")"),"#N/A")</f>
        <v>#N/A</v>
      </c>
      <c r="L71" s="517"/>
      <c r="M71" s="528" t="str">
        <f t="shared" si="23"/>
        <v>#N/A</v>
      </c>
      <c r="N71" s="518" t="str">
        <f t="shared" si="24"/>
        <v>#N/A</v>
      </c>
      <c r="O71" s="528" t="str">
        <f t="shared" si="25"/>
        <v>#N/A</v>
      </c>
      <c r="P71" s="538">
        <v>0.0518</v>
      </c>
      <c r="Q71" s="528"/>
      <c r="R71" s="657"/>
      <c r="S71" s="257"/>
      <c r="T71" s="258"/>
      <c r="U71" s="258"/>
      <c r="V71" s="657"/>
      <c r="W71" s="257"/>
      <c r="X71" s="258"/>
      <c r="Y71" s="658"/>
    </row>
    <row r="72">
      <c r="A72" s="528"/>
      <c r="B72" s="528"/>
      <c r="C72" s="512">
        <f>H72/E170</f>
        <v>0.003988442594</v>
      </c>
      <c r="D72" s="600" t="s">
        <v>145</v>
      </c>
      <c r="E72" s="344" t="s">
        <v>146</v>
      </c>
      <c r="F72" s="528">
        <v>7.9</v>
      </c>
      <c r="G72" s="217">
        <v>40640.0</v>
      </c>
      <c r="H72" s="514">
        <f t="shared" si="22"/>
        <v>29176</v>
      </c>
      <c r="I72" s="216">
        <v>50.8</v>
      </c>
      <c r="J72" s="515">
        <f>IFERROR(__xludf.DUMMYFUNCTION("GOOGLEFINANCE(E72,""changepct"")"),-2.33)</f>
        <v>-2.33</v>
      </c>
      <c r="K72" s="517">
        <f>IFERROR(__xludf.DUMMYFUNCTION("googlefinance(E72,""price"")"),36.47)</f>
        <v>36.47</v>
      </c>
      <c r="L72" s="517"/>
      <c r="M72" s="517">
        <f t="shared" si="23"/>
        <v>-14.33</v>
      </c>
      <c r="N72" s="518">
        <f t="shared" si="24"/>
        <v>-0.2820866142</v>
      </c>
      <c r="O72" s="514">
        <f t="shared" si="25"/>
        <v>-11464</v>
      </c>
      <c r="P72" s="538">
        <v>0.0145</v>
      </c>
      <c r="Q72" s="528"/>
      <c r="R72" s="657"/>
      <c r="S72" s="257"/>
      <c r="T72" s="258"/>
      <c r="U72" s="258"/>
      <c r="V72" s="657"/>
      <c r="W72" s="257"/>
      <c r="X72" s="258"/>
      <c r="Y72" s="658"/>
    </row>
    <row r="73">
      <c r="A73" s="528"/>
      <c r="B73" s="528"/>
      <c r="C73" s="512">
        <f>H73/E170</f>
        <v>0.001367028583</v>
      </c>
      <c r="D73" s="600" t="s">
        <v>661</v>
      </c>
      <c r="E73" s="344" t="s">
        <v>144</v>
      </c>
      <c r="F73" s="195">
        <v>7.7</v>
      </c>
      <c r="G73" s="217">
        <v>49400.0</v>
      </c>
      <c r="H73" s="514">
        <f t="shared" si="22"/>
        <v>10000</v>
      </c>
      <c r="I73" s="216">
        <v>14.82</v>
      </c>
      <c r="J73" s="515">
        <f>IFERROR(__xludf.DUMMYFUNCTION("GOOGLEFINANCE(E73,""changepct"")"),-2.91)</f>
        <v>-2.91</v>
      </c>
      <c r="K73" s="517">
        <f>IFERROR(__xludf.DUMMYFUNCTION("googlefinance(E73,""price"")"),3.0)</f>
        <v>3</v>
      </c>
      <c r="L73" s="216"/>
      <c r="M73" s="517">
        <f t="shared" si="23"/>
        <v>-11.82</v>
      </c>
      <c r="N73" s="518">
        <f t="shared" si="24"/>
        <v>-0.7975708502</v>
      </c>
      <c r="O73" s="514">
        <f t="shared" si="25"/>
        <v>-39400</v>
      </c>
      <c r="P73" s="528"/>
      <c r="Q73" s="528"/>
      <c r="R73" s="210"/>
      <c r="S73" s="211"/>
      <c r="T73" s="212"/>
      <c r="U73" s="213"/>
      <c r="V73" s="210" t="s">
        <v>144</v>
      </c>
      <c r="W73" s="211">
        <v>44263.0</v>
      </c>
      <c r="X73" s="212">
        <v>18.82</v>
      </c>
      <c r="Y73" s="213">
        <v>49400.0</v>
      </c>
    </row>
    <row r="74">
      <c r="A74" s="528"/>
      <c r="B74" s="528"/>
      <c r="C74" s="512">
        <f>H74/E170</f>
        <v>0</v>
      </c>
      <c r="D74" s="600" t="s">
        <v>661</v>
      </c>
      <c r="E74" s="344" t="s">
        <v>144</v>
      </c>
      <c r="F74" s="195">
        <v>7.7</v>
      </c>
      <c r="G74" s="217">
        <v>26720.0</v>
      </c>
      <c r="H74" s="217">
        <v>0.0</v>
      </c>
      <c r="I74" s="216">
        <v>13.36</v>
      </c>
      <c r="J74" s="515">
        <f>IFERROR(__xludf.DUMMYFUNCTION("GOOGLEFINANCE(E74,""changepct"")"),-2.91)</f>
        <v>-2.91</v>
      </c>
      <c r="K74" s="517">
        <f>IFERROR(__xludf.DUMMYFUNCTION("googlefinance(E74,""price"")"),3.0)</f>
        <v>3</v>
      </c>
      <c r="L74" s="216">
        <v>18.75</v>
      </c>
      <c r="M74" s="517">
        <f t="shared" si="23"/>
        <v>-10.36</v>
      </c>
      <c r="N74" s="518">
        <f>L74/I74-1</f>
        <v>0.4034431138</v>
      </c>
      <c r="O74" s="514">
        <f t="shared" si="25"/>
        <v>10780</v>
      </c>
      <c r="P74" s="528"/>
      <c r="Q74" s="528"/>
      <c r="R74" s="210" t="s">
        <v>144</v>
      </c>
      <c r="S74" s="211">
        <v>44207.0</v>
      </c>
      <c r="T74" s="212">
        <v>18.75</v>
      </c>
      <c r="U74" s="213">
        <v>37500.0</v>
      </c>
      <c r="V74" s="657"/>
      <c r="W74" s="257"/>
      <c r="X74" s="258"/>
      <c r="Y74" s="658"/>
    </row>
    <row r="75">
      <c r="A75" s="528"/>
      <c r="B75" s="528"/>
      <c r="C75" s="512">
        <f>H75/E170</f>
        <v>0.006561737198</v>
      </c>
      <c r="D75" s="104" t="s">
        <v>454</v>
      </c>
      <c r="E75" s="104" t="s">
        <v>132</v>
      </c>
      <c r="F75" s="195">
        <v>8.1</v>
      </c>
      <c r="G75" s="217">
        <v>57860.0</v>
      </c>
      <c r="H75" s="514">
        <f t="shared" ref="H75:H82" si="26">G75+O75</f>
        <v>48000</v>
      </c>
      <c r="I75" s="216">
        <v>28.93</v>
      </c>
      <c r="J75" s="515">
        <f>IFERROR(__xludf.DUMMYFUNCTION("GOOGLEFINANCE(E75,""changepct"")"),0.54)</f>
        <v>0.54</v>
      </c>
      <c r="K75" s="517">
        <f>IFERROR(__xludf.DUMMYFUNCTION("googlefinance(E75,""price"")"),24.0)</f>
        <v>24</v>
      </c>
      <c r="L75" s="517"/>
      <c r="M75" s="517">
        <f t="shared" si="23"/>
        <v>-4.93</v>
      </c>
      <c r="N75" s="518">
        <f t="shared" ref="N75:N82" si="27">K75/I75-1</f>
        <v>-0.1704113377</v>
      </c>
      <c r="O75" s="514">
        <f t="shared" si="25"/>
        <v>-9860</v>
      </c>
      <c r="P75" s="538">
        <v>0.0071</v>
      </c>
      <c r="Q75" s="528"/>
      <c r="R75" s="657"/>
      <c r="S75" s="257"/>
      <c r="T75" s="258"/>
      <c r="U75" s="258"/>
      <c r="V75" s="210" t="s">
        <v>132</v>
      </c>
      <c r="W75" s="211">
        <v>44210.0</v>
      </c>
      <c r="X75" s="212">
        <v>28.93</v>
      </c>
      <c r="Y75" s="213">
        <v>57860.0</v>
      </c>
    </row>
    <row r="76">
      <c r="A76" s="528"/>
      <c r="B76" s="528"/>
      <c r="C76" s="512">
        <f>H76/E170</f>
        <v>0.006607806061</v>
      </c>
      <c r="D76" s="104" t="s">
        <v>117</v>
      </c>
      <c r="E76" s="104" t="s">
        <v>118</v>
      </c>
      <c r="F76" s="195">
        <v>7.3</v>
      </c>
      <c r="G76" s="217">
        <v>34020.0</v>
      </c>
      <c r="H76" s="514">
        <f t="shared" si="26"/>
        <v>48337</v>
      </c>
      <c r="I76" s="216">
        <v>340.2</v>
      </c>
      <c r="J76" s="515">
        <f>IFERROR(__xludf.DUMMYFUNCTION("GOOGLEFINANCE(E76,""changepct"")"),-1.15)</f>
        <v>-1.15</v>
      </c>
      <c r="K76" s="517">
        <f>IFERROR(__xludf.DUMMYFUNCTION("googlefinance(E76,""price"")"),483.37)</f>
        <v>483.37</v>
      </c>
      <c r="L76" s="517"/>
      <c r="M76" s="517">
        <f t="shared" si="23"/>
        <v>143.17</v>
      </c>
      <c r="N76" s="518">
        <f t="shared" si="27"/>
        <v>0.420840682</v>
      </c>
      <c r="O76" s="514">
        <f t="shared" si="25"/>
        <v>14317</v>
      </c>
      <c r="P76" s="538">
        <v>0.0325</v>
      </c>
      <c r="Q76" s="528"/>
      <c r="R76" s="657"/>
      <c r="S76" s="257"/>
      <c r="T76" s="258"/>
      <c r="U76" s="258"/>
      <c r="V76" s="210" t="s">
        <v>118</v>
      </c>
      <c r="W76" s="211">
        <v>44209.0</v>
      </c>
      <c r="X76" s="212">
        <v>340.2</v>
      </c>
      <c r="Y76" s="213">
        <v>34200.0</v>
      </c>
    </row>
    <row r="77">
      <c r="A77" s="528"/>
      <c r="B77" s="528"/>
      <c r="C77" s="512">
        <f>H77/E170</f>
        <v>0.007875451666</v>
      </c>
      <c r="D77" s="104" t="s">
        <v>401</v>
      </c>
      <c r="E77" s="104" t="s">
        <v>402</v>
      </c>
      <c r="F77" s="195">
        <v>7.5</v>
      </c>
      <c r="G77" s="217">
        <v>33120.0</v>
      </c>
      <c r="H77" s="514">
        <f t="shared" si="26"/>
        <v>57610</v>
      </c>
      <c r="I77" s="216">
        <v>66.24</v>
      </c>
      <c r="J77" s="515">
        <f>IFERROR(__xludf.DUMMYFUNCTION("GOOGLEFINANCE(E77,""changepct"")"),-1.28)</f>
        <v>-1.28</v>
      </c>
      <c r="K77" s="517">
        <f>IFERROR(__xludf.DUMMYFUNCTION("googlefinance(E77,""price"")"),115.22)</f>
        <v>115.22</v>
      </c>
      <c r="L77" s="517"/>
      <c r="M77" s="517">
        <f t="shared" si="23"/>
        <v>48.98</v>
      </c>
      <c r="N77" s="518">
        <f t="shared" si="27"/>
        <v>0.7394323671</v>
      </c>
      <c r="O77" s="514">
        <f t="shared" si="25"/>
        <v>24490</v>
      </c>
      <c r="P77" s="538">
        <v>0.0285</v>
      </c>
      <c r="Q77" s="528"/>
      <c r="R77" s="657"/>
      <c r="S77" s="257"/>
      <c r="T77" s="258"/>
      <c r="U77" s="258"/>
      <c r="V77" s="210" t="s">
        <v>402</v>
      </c>
      <c r="W77" s="211">
        <v>44228.0</v>
      </c>
      <c r="X77" s="212">
        <v>66.24</v>
      </c>
      <c r="Y77" s="213">
        <v>33120.0</v>
      </c>
    </row>
    <row r="78">
      <c r="A78" s="528"/>
      <c r="B78" s="528"/>
      <c r="C78" s="512">
        <f>H78/E170</f>
        <v>0.006377461745</v>
      </c>
      <c r="D78" s="104" t="s">
        <v>818</v>
      </c>
      <c r="E78" s="104" t="s">
        <v>120</v>
      </c>
      <c r="F78" s="195">
        <v>7.1</v>
      </c>
      <c r="G78" s="217">
        <v>29617.0</v>
      </c>
      <c r="H78" s="514">
        <f t="shared" si="26"/>
        <v>46652</v>
      </c>
      <c r="I78" s="216">
        <v>296.17</v>
      </c>
      <c r="J78" s="515">
        <f>IFERROR(__xludf.DUMMYFUNCTION("GOOGLEFINANCE(E78,""changepct"")"),-1.02)</f>
        <v>-1.02</v>
      </c>
      <c r="K78" s="517">
        <f>IFERROR(__xludf.DUMMYFUNCTION("googlefinance(E78,""price"")"),466.52)</f>
        <v>466.52</v>
      </c>
      <c r="L78" s="517"/>
      <c r="M78" s="517">
        <f t="shared" si="23"/>
        <v>170.35</v>
      </c>
      <c r="N78" s="518">
        <f t="shared" si="27"/>
        <v>0.5751764189</v>
      </c>
      <c r="O78" s="514">
        <f t="shared" si="25"/>
        <v>17035</v>
      </c>
      <c r="P78" s="538">
        <v>0.02</v>
      </c>
      <c r="Q78" s="528"/>
      <c r="R78" s="657"/>
      <c r="S78" s="257"/>
      <c r="T78" s="258"/>
      <c r="U78" s="258"/>
      <c r="V78" s="210" t="s">
        <v>120</v>
      </c>
      <c r="W78" s="211">
        <v>44209.0</v>
      </c>
      <c r="X78" s="212">
        <v>296.17</v>
      </c>
      <c r="Y78" s="213">
        <v>29617.0</v>
      </c>
    </row>
    <row r="79">
      <c r="A79" s="528"/>
      <c r="B79" s="528"/>
      <c r="C79" s="512">
        <f>H79/E170</f>
        <v>0.003835198689</v>
      </c>
      <c r="D79" s="104" t="s">
        <v>819</v>
      </c>
      <c r="E79" s="104" t="s">
        <v>820</v>
      </c>
      <c r="F79" s="195">
        <v>7.2</v>
      </c>
      <c r="G79" s="217">
        <v>24912.0</v>
      </c>
      <c r="H79" s="514">
        <f t="shared" si="26"/>
        <v>28055</v>
      </c>
      <c r="I79" s="216">
        <v>249.12</v>
      </c>
      <c r="J79" s="515">
        <f>IFERROR(__xludf.DUMMYFUNCTION("GOOGLEFINANCE(E79,""changepct"")"),0.07)</f>
        <v>0.07</v>
      </c>
      <c r="K79" s="517">
        <f>IFERROR(__xludf.DUMMYFUNCTION("googlefinance(E79,""price"")"),280.55)</f>
        <v>280.55</v>
      </c>
      <c r="L79" s="517"/>
      <c r="M79" s="517">
        <f t="shared" si="23"/>
        <v>31.43</v>
      </c>
      <c r="N79" s="518">
        <f t="shared" si="27"/>
        <v>0.1261640976</v>
      </c>
      <c r="O79" s="514">
        <f t="shared" si="25"/>
        <v>3143</v>
      </c>
      <c r="P79" s="538">
        <v>0.011</v>
      </c>
      <c r="Q79" s="528"/>
      <c r="R79" s="657"/>
      <c r="S79" s="257"/>
      <c r="T79" s="258"/>
      <c r="U79" s="258"/>
      <c r="V79" s="210" t="s">
        <v>820</v>
      </c>
      <c r="W79" s="211">
        <v>44209.0</v>
      </c>
      <c r="X79" s="212">
        <v>249.12</v>
      </c>
      <c r="Y79" s="213">
        <v>24912.0</v>
      </c>
    </row>
    <row r="80">
      <c r="A80" s="528"/>
      <c r="B80" s="528"/>
      <c r="C80" s="512">
        <f>H80/E170</f>
        <v>0.005295732027</v>
      </c>
      <c r="D80" s="104" t="s">
        <v>452</v>
      </c>
      <c r="E80" s="104" t="s">
        <v>453</v>
      </c>
      <c r="F80" s="195">
        <v>7.8</v>
      </c>
      <c r="G80" s="217">
        <v>50601.0</v>
      </c>
      <c r="H80" s="514">
        <f t="shared" si="26"/>
        <v>38739</v>
      </c>
      <c r="I80" s="216">
        <v>168.67</v>
      </c>
      <c r="J80" s="515">
        <f>IFERROR(__xludf.DUMMYFUNCTION("GOOGLEFINANCE(E80,""changepct"")"),-0.81)</f>
        <v>-0.81</v>
      </c>
      <c r="K80" s="517">
        <f>IFERROR(__xludf.DUMMYFUNCTION("googlefinance(E80,""price"")"),129.13)</f>
        <v>129.13</v>
      </c>
      <c r="L80" s="517"/>
      <c r="M80" s="517">
        <f t="shared" si="23"/>
        <v>-39.54</v>
      </c>
      <c r="N80" s="518">
        <f t="shared" si="27"/>
        <v>-0.2344222446</v>
      </c>
      <c r="O80" s="514">
        <f t="shared" si="25"/>
        <v>-11862</v>
      </c>
      <c r="P80" s="538">
        <v>0.0335</v>
      </c>
      <c r="Q80" s="528"/>
      <c r="R80" s="657"/>
      <c r="S80" s="257"/>
      <c r="T80" s="258"/>
      <c r="U80" s="258"/>
      <c r="V80" s="210" t="s">
        <v>453</v>
      </c>
      <c r="W80" s="211">
        <v>44221.0</v>
      </c>
      <c r="X80" s="212">
        <v>168.67</v>
      </c>
      <c r="Y80" s="213">
        <v>50601.0</v>
      </c>
    </row>
    <row r="81">
      <c r="A81" s="528"/>
      <c r="B81" s="528"/>
      <c r="C81" s="512">
        <f>H81/E170</f>
        <v>0.005804950175</v>
      </c>
      <c r="D81" s="344" t="s">
        <v>600</v>
      </c>
      <c r="E81" s="344" t="s">
        <v>601</v>
      </c>
      <c r="F81" s="195">
        <v>7.5</v>
      </c>
      <c r="G81" s="217">
        <v>26900.0</v>
      </c>
      <c r="H81" s="514">
        <f t="shared" si="26"/>
        <v>42464</v>
      </c>
      <c r="I81" s="216">
        <v>269.0</v>
      </c>
      <c r="J81" s="515">
        <f>IFERROR(__xludf.DUMMYFUNCTION("GOOGLEFINANCE(E81,""changepct"")"),-1.26)</f>
        <v>-1.26</v>
      </c>
      <c r="K81" s="517">
        <f>IFERROR(__xludf.DUMMYFUNCTION("googlefinance(E81,""price"")"),424.64)</f>
        <v>424.64</v>
      </c>
      <c r="L81" s="517"/>
      <c r="M81" s="517">
        <f t="shared" si="23"/>
        <v>155.64</v>
      </c>
      <c r="N81" s="518">
        <f t="shared" si="27"/>
        <v>0.5785873606</v>
      </c>
      <c r="O81" s="514">
        <f t="shared" si="25"/>
        <v>15564</v>
      </c>
      <c r="P81" s="538">
        <v>0.0113</v>
      </c>
      <c r="Q81" s="528"/>
      <c r="R81" s="657"/>
      <c r="S81" s="257"/>
      <c r="T81" s="258"/>
      <c r="U81" s="258"/>
      <c r="V81" s="657"/>
      <c r="W81" s="257"/>
      <c r="X81" s="258"/>
      <c r="Y81" s="658"/>
    </row>
    <row r="82">
      <c r="A82" s="528"/>
      <c r="B82" s="528"/>
      <c r="C82" s="512">
        <f>H82/E170</f>
        <v>0.005678636733</v>
      </c>
      <c r="D82" s="231" t="s">
        <v>662</v>
      </c>
      <c r="E82" s="159" t="s">
        <v>663</v>
      </c>
      <c r="F82" s="633">
        <v>8.1</v>
      </c>
      <c r="G82" s="217">
        <v>60410.0</v>
      </c>
      <c r="H82" s="514">
        <f t="shared" si="26"/>
        <v>41540</v>
      </c>
      <c r="I82" s="216">
        <v>60.41</v>
      </c>
      <c r="J82" s="515">
        <f>IFERROR(__xludf.DUMMYFUNCTION("GOOGLEFINANCE(E82,""changepct"")"),-0.72)</f>
        <v>-0.72</v>
      </c>
      <c r="K82" s="517">
        <f>IFERROR(__xludf.DUMMYFUNCTION("googlefinance(E82,""price"")"),41.54)</f>
        <v>41.54</v>
      </c>
      <c r="L82" s="216"/>
      <c r="M82" s="517">
        <f t="shared" si="23"/>
        <v>-18.87</v>
      </c>
      <c r="N82" s="518">
        <f t="shared" si="27"/>
        <v>-0.3123655024</v>
      </c>
      <c r="O82" s="514">
        <f t="shared" si="25"/>
        <v>-18870</v>
      </c>
      <c r="P82" s="538"/>
      <c r="Q82" s="528"/>
      <c r="R82" s="210"/>
      <c r="S82" s="211"/>
      <c r="T82" s="212"/>
      <c r="U82" s="213"/>
      <c r="V82" s="210" t="s">
        <v>663</v>
      </c>
      <c r="W82" s="211">
        <v>44253.0</v>
      </c>
      <c r="X82" s="212">
        <v>60.41</v>
      </c>
      <c r="Y82" s="213">
        <v>60410.0</v>
      </c>
    </row>
    <row r="83">
      <c r="A83" s="528"/>
      <c r="B83" s="528"/>
      <c r="C83" s="512">
        <f>H83/E170</f>
        <v>0</v>
      </c>
      <c r="D83" s="344" t="s">
        <v>662</v>
      </c>
      <c r="E83" s="344" t="s">
        <v>663</v>
      </c>
      <c r="F83" s="569">
        <v>8.1</v>
      </c>
      <c r="G83" s="217">
        <v>30945.0</v>
      </c>
      <c r="H83" s="217">
        <v>0.0</v>
      </c>
      <c r="I83" s="216">
        <v>61.89</v>
      </c>
      <c r="J83" s="515">
        <f>IFERROR(__xludf.DUMMYFUNCTION("GOOGLEFINANCE(E83,""changepct"")"),-0.72)</f>
        <v>-0.72</v>
      </c>
      <c r="K83" s="517">
        <f>IFERROR(__xludf.DUMMYFUNCTION("googlefinance(E83,""price"")"),41.54)</f>
        <v>41.54</v>
      </c>
      <c r="L83" s="216">
        <v>69.18</v>
      </c>
      <c r="M83" s="517">
        <f t="shared" si="23"/>
        <v>-20.35</v>
      </c>
      <c r="N83" s="518">
        <f>L83/I83-1</f>
        <v>0.1177896268</v>
      </c>
      <c r="O83" s="514">
        <f t="shared" si="25"/>
        <v>3645</v>
      </c>
      <c r="P83" s="538">
        <v>0.0085</v>
      </c>
      <c r="Q83" s="528"/>
      <c r="R83" s="210" t="s">
        <v>663</v>
      </c>
      <c r="S83" s="211">
        <v>44207.0</v>
      </c>
      <c r="T83" s="212">
        <v>69.18</v>
      </c>
      <c r="U83" s="213">
        <v>34590.0</v>
      </c>
      <c r="V83" s="657"/>
      <c r="W83" s="257"/>
      <c r="X83" s="258"/>
      <c r="Y83" s="658"/>
    </row>
    <row r="84">
      <c r="A84" s="173"/>
      <c r="B84" s="13"/>
      <c r="C84" s="13"/>
      <c r="D84" s="13"/>
      <c r="E84" s="13"/>
      <c r="F84" s="13"/>
      <c r="G84" s="509">
        <f t="shared" ref="G84:H84" si="28">SUM(G69:G83)</f>
        <v>580125</v>
      </c>
      <c r="H84" s="539" t="str">
        <f t="shared" si="28"/>
        <v>#N/A</v>
      </c>
      <c r="I84" s="506"/>
      <c r="J84" s="506"/>
      <c r="K84" s="506"/>
      <c r="L84" s="507"/>
      <c r="M84" s="507"/>
      <c r="N84" s="540" t="str">
        <f>O84/G84</f>
        <v>#N/A</v>
      </c>
      <c r="O84" s="507" t="str">
        <f>SUM(O69:O83)</f>
        <v>#N/A</v>
      </c>
      <c r="P84" s="13"/>
      <c r="Q84" s="13"/>
      <c r="R84" s="238" t="s">
        <v>89</v>
      </c>
      <c r="S84" s="239"/>
      <c r="T84" s="241"/>
      <c r="U84" s="240">
        <f>SUM(U69:U83)</f>
        <v>72090</v>
      </c>
      <c r="V84" s="238" t="s">
        <v>89</v>
      </c>
      <c r="W84" s="239"/>
      <c r="X84" s="241"/>
      <c r="Y84" s="240">
        <f>SUM(Y69:Y83)</f>
        <v>340120</v>
      </c>
    </row>
    <row r="85">
      <c r="A85" s="173"/>
      <c r="B85" s="13" t="s">
        <v>821</v>
      </c>
      <c r="C85" s="13" t="s">
        <v>729</v>
      </c>
      <c r="D85" s="13" t="s">
        <v>3</v>
      </c>
      <c r="E85" s="13" t="s">
        <v>4</v>
      </c>
      <c r="F85" s="13" t="s">
        <v>5</v>
      </c>
      <c r="G85" s="13" t="s">
        <v>229</v>
      </c>
      <c r="H85" s="649" t="s">
        <v>730</v>
      </c>
      <c r="I85" s="505" t="s">
        <v>798</v>
      </c>
      <c r="J85" s="506" t="s">
        <v>10</v>
      </c>
      <c r="K85" s="506" t="s">
        <v>11</v>
      </c>
      <c r="L85" s="507" t="s">
        <v>476</v>
      </c>
      <c r="M85" s="507" t="s">
        <v>13</v>
      </c>
      <c r="N85" s="660" t="s">
        <v>799</v>
      </c>
      <c r="O85" s="508" t="s">
        <v>800</v>
      </c>
      <c r="P85" s="13" t="s">
        <v>16</v>
      </c>
      <c r="Q85" s="13" t="s">
        <v>17</v>
      </c>
      <c r="R85" s="238" t="s">
        <v>21</v>
      </c>
      <c r="S85" s="238" t="s">
        <v>22</v>
      </c>
      <c r="T85" s="656" t="s">
        <v>23</v>
      </c>
      <c r="U85" s="656" t="s">
        <v>24</v>
      </c>
      <c r="V85" s="238" t="s">
        <v>25</v>
      </c>
      <c r="W85" s="238" t="s">
        <v>26</v>
      </c>
      <c r="X85" s="238" t="s">
        <v>27</v>
      </c>
      <c r="Y85" s="238" t="s">
        <v>28</v>
      </c>
    </row>
    <row r="86">
      <c r="A86" s="565" t="s">
        <v>733</v>
      </c>
      <c r="B86" s="527">
        <f>H100/E170</f>
        <v>0.04141931995</v>
      </c>
      <c r="C86" s="512">
        <f>H86/E170</f>
        <v>0.01176088866</v>
      </c>
      <c r="D86" s="344" t="s">
        <v>539</v>
      </c>
      <c r="E86" s="344" t="s">
        <v>540</v>
      </c>
      <c r="F86" s="195">
        <v>7.3</v>
      </c>
      <c r="G86" s="217">
        <v>42315.0</v>
      </c>
      <c r="H86" s="217">
        <f>G86+O86</f>
        <v>86032.5</v>
      </c>
      <c r="I86" s="216">
        <v>282.1</v>
      </c>
      <c r="J86" s="568">
        <f>IFERROR(__xludf.DUMMYFUNCTION("GOOGLEFINANCE(E86,""changepct"")"),-0.46)</f>
        <v>-0.46</v>
      </c>
      <c r="K86" s="516">
        <f>IFERROR(__xludf.DUMMYFUNCTION("googlefinance(E86,""price"")"),573.55)</f>
        <v>573.55</v>
      </c>
      <c r="L86" s="216"/>
      <c r="M86" s="517">
        <f t="shared" ref="M86:M99" si="29">K86-I86</f>
        <v>291.45</v>
      </c>
      <c r="N86" s="518">
        <f>K86/I86-1</f>
        <v>1.033144275</v>
      </c>
      <c r="O86" s="661">
        <f t="shared" ref="O86:O99" si="30">G86*N86</f>
        <v>43717.5</v>
      </c>
      <c r="P86" s="538">
        <v>0.019</v>
      </c>
      <c r="Q86" s="528"/>
      <c r="R86" s="210"/>
      <c r="S86" s="211"/>
      <c r="T86" s="212"/>
      <c r="U86" s="213"/>
      <c r="V86" s="210" t="s">
        <v>540</v>
      </c>
      <c r="W86" s="211">
        <v>44221.0</v>
      </c>
      <c r="X86" s="212">
        <v>282.1</v>
      </c>
      <c r="Y86" s="213">
        <v>42315.0</v>
      </c>
    </row>
    <row r="87">
      <c r="A87" s="563"/>
      <c r="B87" s="662"/>
      <c r="C87" s="512">
        <f>H87/E170</f>
        <v>0</v>
      </c>
      <c r="D87" s="344" t="s">
        <v>539</v>
      </c>
      <c r="E87" s="344" t="s">
        <v>540</v>
      </c>
      <c r="F87" s="195">
        <v>7.3</v>
      </c>
      <c r="G87" s="217">
        <v>26800.0</v>
      </c>
      <c r="H87" s="217">
        <v>0.0</v>
      </c>
      <c r="I87" s="216">
        <v>268.0</v>
      </c>
      <c r="J87" s="568">
        <f>IFERROR(__xludf.DUMMYFUNCTION("GOOGLEFINANCE(E87,""changepct"")"),-0.46)</f>
        <v>-0.46</v>
      </c>
      <c r="K87" s="516">
        <f>IFERROR(__xludf.DUMMYFUNCTION("googlefinance(E87,""price"")"),573.55)</f>
        <v>573.55</v>
      </c>
      <c r="L87" s="216">
        <v>290.86</v>
      </c>
      <c r="M87" s="517">
        <f t="shared" si="29"/>
        <v>305.55</v>
      </c>
      <c r="N87" s="518">
        <f>L87/I87-1</f>
        <v>0.08529850746</v>
      </c>
      <c r="O87" s="661">
        <f t="shared" si="30"/>
        <v>2286</v>
      </c>
      <c r="P87" s="538">
        <v>0.019</v>
      </c>
      <c r="Q87" s="528"/>
      <c r="R87" s="210" t="s">
        <v>540</v>
      </c>
      <c r="S87" s="211">
        <v>44207.0</v>
      </c>
      <c r="T87" s="212">
        <v>290.86</v>
      </c>
      <c r="U87" s="213">
        <v>29086.0</v>
      </c>
      <c r="V87" s="657"/>
      <c r="W87" s="257"/>
      <c r="X87" s="258"/>
      <c r="Y87" s="658"/>
    </row>
    <row r="88">
      <c r="A88" s="528"/>
      <c r="B88" s="528"/>
      <c r="C88" s="512">
        <f>H88/E170</f>
        <v>0.008178932012</v>
      </c>
      <c r="D88" s="344" t="s">
        <v>615</v>
      </c>
      <c r="E88" s="344" t="s">
        <v>616</v>
      </c>
      <c r="F88" s="195">
        <v>7.4</v>
      </c>
      <c r="G88" s="217">
        <v>32845.0</v>
      </c>
      <c r="H88" s="217">
        <f>G88+O88</f>
        <v>59830</v>
      </c>
      <c r="I88" s="216">
        <v>131.38</v>
      </c>
      <c r="J88" s="568">
        <f>IFERROR(__xludf.DUMMYFUNCTION("GOOGLEFINANCE(E88,""changepct"")"),-0.77)</f>
        <v>-0.77</v>
      </c>
      <c r="K88" s="516">
        <f>IFERROR(__xludf.DUMMYFUNCTION("googlefinance(E88,""price"")"),239.32)</f>
        <v>239.32</v>
      </c>
      <c r="L88" s="216"/>
      <c r="M88" s="517">
        <f t="shared" si="29"/>
        <v>107.94</v>
      </c>
      <c r="N88" s="518">
        <f>K88/I88-1</f>
        <v>0.8215862384</v>
      </c>
      <c r="O88" s="514">
        <f t="shared" si="30"/>
        <v>26985</v>
      </c>
      <c r="P88" s="538">
        <v>0.0283</v>
      </c>
      <c r="Q88" s="528"/>
      <c r="R88" s="210"/>
      <c r="S88" s="211"/>
      <c r="T88" s="212"/>
      <c r="U88" s="213"/>
      <c r="V88" s="210" t="s">
        <v>616</v>
      </c>
      <c r="W88" s="211">
        <v>44221.0</v>
      </c>
      <c r="X88" s="212">
        <v>131.38</v>
      </c>
      <c r="Y88" s="213">
        <v>32845.0</v>
      </c>
    </row>
    <row r="89">
      <c r="A89" s="528"/>
      <c r="B89" s="528"/>
      <c r="C89" s="512">
        <f>H89/E170</f>
        <v>0</v>
      </c>
      <c r="D89" s="344" t="s">
        <v>615</v>
      </c>
      <c r="E89" s="344" t="s">
        <v>616</v>
      </c>
      <c r="F89" s="195">
        <v>7.4</v>
      </c>
      <c r="G89" s="217">
        <v>25638.0</v>
      </c>
      <c r="H89" s="217">
        <v>0.0</v>
      </c>
      <c r="I89" s="216">
        <v>128.19</v>
      </c>
      <c r="J89" s="515">
        <f>IFERROR(__xludf.DUMMYFUNCTION("GOOGLEFINANCE(E89,""changepct"")"),-0.77)</f>
        <v>-0.77</v>
      </c>
      <c r="K89" s="517">
        <f>IFERROR(__xludf.DUMMYFUNCTION("googlefinance(E89,""price"")"),239.32)</f>
        <v>239.32</v>
      </c>
      <c r="L89" s="216">
        <v>136.22</v>
      </c>
      <c r="M89" s="517">
        <f t="shared" si="29"/>
        <v>111.13</v>
      </c>
      <c r="N89" s="518">
        <f>L89/I89-1</f>
        <v>0.06264139168</v>
      </c>
      <c r="O89" s="514">
        <f t="shared" si="30"/>
        <v>1606</v>
      </c>
      <c r="P89" s="538">
        <v>0.0283</v>
      </c>
      <c r="Q89" s="528"/>
      <c r="R89" s="210" t="s">
        <v>616</v>
      </c>
      <c r="S89" s="211">
        <v>44207.0</v>
      </c>
      <c r="T89" s="212">
        <v>136.22</v>
      </c>
      <c r="U89" s="213">
        <v>27244.0</v>
      </c>
      <c r="V89" s="657"/>
      <c r="W89" s="257"/>
      <c r="X89" s="258"/>
      <c r="Y89" s="658"/>
    </row>
    <row r="90">
      <c r="A90" s="528"/>
      <c r="B90" s="528"/>
      <c r="C90" s="512">
        <f>H90/E170</f>
        <v>0.004811257098</v>
      </c>
      <c r="D90" s="104" t="s">
        <v>685</v>
      </c>
      <c r="E90" s="104" t="s">
        <v>686</v>
      </c>
      <c r="F90" s="195">
        <v>7.1</v>
      </c>
      <c r="G90" s="217">
        <v>29970.0</v>
      </c>
      <c r="H90" s="217">
        <f t="shared" ref="H90:H91" si="31">G90+O90</f>
        <v>35195</v>
      </c>
      <c r="I90" s="216">
        <v>59.94</v>
      </c>
      <c r="J90" s="515">
        <f>IFERROR(__xludf.DUMMYFUNCTION("GOOGLEFINANCE(E90,""changepct"")"),-0.86)</f>
        <v>-0.86</v>
      </c>
      <c r="K90" s="517">
        <f>IFERROR(__xludf.DUMMYFUNCTION("googlefinance(E90,""price"")"),70.39)</f>
        <v>70.39</v>
      </c>
      <c r="L90" s="216"/>
      <c r="M90" s="517">
        <f t="shared" si="29"/>
        <v>10.45</v>
      </c>
      <c r="N90" s="518">
        <f t="shared" ref="N90:N91" si="32">K90/I90-1</f>
        <v>0.1743410077</v>
      </c>
      <c r="O90" s="514">
        <f t="shared" si="30"/>
        <v>5225</v>
      </c>
      <c r="P90" s="538">
        <v>0.0333</v>
      </c>
      <c r="Q90" s="528"/>
      <c r="R90" s="210"/>
      <c r="S90" s="211"/>
      <c r="T90" s="212"/>
      <c r="U90" s="213"/>
      <c r="V90" s="210" t="s">
        <v>686</v>
      </c>
      <c r="W90" s="211">
        <v>44221.0</v>
      </c>
      <c r="X90" s="212">
        <v>59.94</v>
      </c>
      <c r="Y90" s="213">
        <v>29970.0</v>
      </c>
    </row>
    <row r="91">
      <c r="A91" s="528"/>
      <c r="B91" s="528"/>
      <c r="C91" s="512">
        <f>H91/E170</f>
        <v>0.001750455848</v>
      </c>
      <c r="D91" s="104" t="s">
        <v>541</v>
      </c>
      <c r="E91" s="104" t="s">
        <v>382</v>
      </c>
      <c r="F91" s="195">
        <v>7.5</v>
      </c>
      <c r="G91" s="217">
        <v>35725.5</v>
      </c>
      <c r="H91" s="217">
        <f t="shared" si="31"/>
        <v>12804.82259</v>
      </c>
      <c r="I91" s="216">
        <v>238.35</v>
      </c>
      <c r="J91" s="515">
        <f>IFERROR(__xludf.DUMMYFUNCTION("GOOGLEFINANCE(E91,""changepct"")"),-1.65)</f>
        <v>-1.65</v>
      </c>
      <c r="K91" s="517">
        <f>IFERROR(__xludf.DUMMYFUNCTION("googlefinance(E91,""price"")"),85.43)</f>
        <v>85.43</v>
      </c>
      <c r="L91" s="216"/>
      <c r="M91" s="517">
        <f t="shared" si="29"/>
        <v>-152.92</v>
      </c>
      <c r="N91" s="518">
        <f t="shared" si="32"/>
        <v>-0.6415775121</v>
      </c>
      <c r="O91" s="514">
        <f t="shared" si="30"/>
        <v>-22920.67741</v>
      </c>
      <c r="P91" s="195" t="s">
        <v>128</v>
      </c>
      <c r="Q91" s="528"/>
      <c r="R91" s="210"/>
      <c r="S91" s="211"/>
      <c r="T91" s="212"/>
      <c r="U91" s="213"/>
      <c r="V91" s="210" t="s">
        <v>382</v>
      </c>
      <c r="W91" s="211">
        <v>44228.0</v>
      </c>
      <c r="X91" s="212">
        <v>238.35</v>
      </c>
      <c r="Y91" s="213">
        <v>35725.5</v>
      </c>
    </row>
    <row r="92">
      <c r="A92" s="528"/>
      <c r="B92" s="528"/>
      <c r="C92" s="512">
        <f>H92/E170</f>
        <v>0</v>
      </c>
      <c r="D92" s="344" t="s">
        <v>822</v>
      </c>
      <c r="E92" s="344" t="s">
        <v>823</v>
      </c>
      <c r="F92" s="195">
        <v>7.5</v>
      </c>
      <c r="G92" s="217">
        <v>29000.0</v>
      </c>
      <c r="H92" s="217">
        <v>0.0</v>
      </c>
      <c r="I92" s="216">
        <v>14.5</v>
      </c>
      <c r="J92" s="515" t="str">
        <f>IFERROR(__xludf.DUMMYFUNCTION("GOOGLEFINANCE(E92,""changepct"")"),"#N/A")</f>
        <v>#N/A</v>
      </c>
      <c r="K92" s="517" t="str">
        <f>IFERROR(__xludf.DUMMYFUNCTION("googlefinance(E92,""price"")"),"#N/A")</f>
        <v>#N/A</v>
      </c>
      <c r="L92" s="216">
        <v>15.56</v>
      </c>
      <c r="M92" s="528" t="str">
        <f t="shared" si="29"/>
        <v>#N/A</v>
      </c>
      <c r="N92" s="518">
        <f t="shared" ref="N92:N93" si="33">L92/I92-1</f>
        <v>0.07310344828</v>
      </c>
      <c r="O92" s="514">
        <f t="shared" si="30"/>
        <v>2120</v>
      </c>
      <c r="P92" s="538">
        <v>0.0665</v>
      </c>
      <c r="Q92" s="528"/>
      <c r="R92" s="210" t="s">
        <v>823</v>
      </c>
      <c r="S92" s="211">
        <v>44207.0</v>
      </c>
      <c r="T92" s="212">
        <v>15.56</v>
      </c>
      <c r="U92" s="213">
        <v>31120.0</v>
      </c>
      <c r="V92" s="657"/>
      <c r="W92" s="257"/>
      <c r="X92" s="258"/>
      <c r="Y92" s="658"/>
    </row>
    <row r="93">
      <c r="A93" s="528"/>
      <c r="B93" s="528"/>
      <c r="C93" s="512">
        <f>H93/E170</f>
        <v>0</v>
      </c>
      <c r="D93" s="600" t="s">
        <v>824</v>
      </c>
      <c r="E93" s="344" t="s">
        <v>569</v>
      </c>
      <c r="F93" s="528">
        <v>7.1</v>
      </c>
      <c r="G93" s="217">
        <v>25975.0</v>
      </c>
      <c r="H93" s="217">
        <v>0.0</v>
      </c>
      <c r="I93" s="216">
        <v>51.95</v>
      </c>
      <c r="J93" s="515">
        <f>IFERROR(__xludf.DUMMYFUNCTION("GOOGLEFINANCE(E93,""changepct"")"),-0.25)</f>
        <v>-0.25</v>
      </c>
      <c r="K93" s="517">
        <f>IFERROR(__xludf.DUMMYFUNCTION("googlefinance(E93,""price"")"),60.42)</f>
        <v>60.42</v>
      </c>
      <c r="L93" s="216">
        <v>57.54</v>
      </c>
      <c r="M93" s="517">
        <f t="shared" si="29"/>
        <v>8.47</v>
      </c>
      <c r="N93" s="518">
        <f t="shared" si="33"/>
        <v>0.1076034649</v>
      </c>
      <c r="O93" s="514">
        <f t="shared" si="30"/>
        <v>2795</v>
      </c>
      <c r="P93" s="538">
        <v>0.0297</v>
      </c>
      <c r="Q93" s="528"/>
      <c r="R93" s="210" t="s">
        <v>569</v>
      </c>
      <c r="S93" s="211">
        <v>44207.0</v>
      </c>
      <c r="T93" s="212">
        <v>57.54</v>
      </c>
      <c r="U93" s="213">
        <v>28770.0</v>
      </c>
      <c r="V93" s="657"/>
      <c r="W93" s="257"/>
      <c r="X93" s="258"/>
      <c r="Y93" s="658"/>
    </row>
    <row r="94">
      <c r="A94" s="528"/>
      <c r="B94" s="528"/>
      <c r="C94" s="512">
        <f>H94/E170</f>
        <v>0.006125791783</v>
      </c>
      <c r="D94" s="104" t="s">
        <v>766</v>
      </c>
      <c r="E94" s="104" t="s">
        <v>767</v>
      </c>
      <c r="F94" s="195">
        <v>7.5</v>
      </c>
      <c r="G94" s="217">
        <v>33810.0</v>
      </c>
      <c r="H94" s="514">
        <f t="shared" ref="H94:H96" si="34">G94+O94</f>
        <v>44811</v>
      </c>
      <c r="I94" s="216">
        <v>112.7</v>
      </c>
      <c r="J94" s="515">
        <f>IFERROR(__xludf.DUMMYFUNCTION("GOOGLEFINANCE(E94,""changepct"")"),-0.63)</f>
        <v>-0.63</v>
      </c>
      <c r="K94" s="517">
        <f>IFERROR(__xludf.DUMMYFUNCTION("googlefinance(E94,""price"")"),149.37)</f>
        <v>149.37</v>
      </c>
      <c r="L94" s="517"/>
      <c r="M94" s="517">
        <f t="shared" si="29"/>
        <v>36.67</v>
      </c>
      <c r="N94" s="518">
        <f t="shared" ref="N94:N96" si="35">K94/I94-1</f>
        <v>0.3253771074</v>
      </c>
      <c r="O94" s="514">
        <f t="shared" si="30"/>
        <v>11001</v>
      </c>
      <c r="P94" s="538">
        <v>0.011</v>
      </c>
      <c r="Q94" s="528"/>
      <c r="R94" s="657"/>
      <c r="S94" s="257"/>
      <c r="T94" s="258"/>
      <c r="U94" s="658"/>
      <c r="V94" s="210" t="s">
        <v>767</v>
      </c>
      <c r="W94" s="211">
        <v>44228.0</v>
      </c>
      <c r="X94" s="212">
        <v>112.7</v>
      </c>
      <c r="Y94" s="213">
        <v>33810.0</v>
      </c>
    </row>
    <row r="95">
      <c r="A95" s="528"/>
      <c r="B95" s="528"/>
      <c r="C95" s="512">
        <f>H95/E170</f>
        <v>0.004747708846</v>
      </c>
      <c r="D95" s="344" t="s">
        <v>768</v>
      </c>
      <c r="E95" s="344" t="s">
        <v>769</v>
      </c>
      <c r="F95" s="528">
        <v>7.2</v>
      </c>
      <c r="G95" s="217">
        <v>27308.0</v>
      </c>
      <c r="H95" s="514">
        <f t="shared" si="34"/>
        <v>34730.1359</v>
      </c>
      <c r="I95" s="216">
        <v>182.05</v>
      </c>
      <c r="J95" s="515">
        <f>IFERROR(__xludf.DUMMYFUNCTION("GOOGLEFINANCE(E95,""changepct"")"),-0.84)</f>
        <v>-0.84</v>
      </c>
      <c r="K95" s="517">
        <f>IFERROR(__xludf.DUMMYFUNCTION("googlefinance(E95,""price"")"),231.53)</f>
        <v>231.53</v>
      </c>
      <c r="L95" s="517"/>
      <c r="M95" s="517">
        <f t="shared" si="29"/>
        <v>49.48</v>
      </c>
      <c r="N95" s="518">
        <f t="shared" si="35"/>
        <v>0.2717934633</v>
      </c>
      <c r="O95" s="514">
        <f t="shared" si="30"/>
        <v>7422.135897</v>
      </c>
      <c r="P95" s="538">
        <v>0.0187</v>
      </c>
      <c r="Q95" s="528"/>
      <c r="R95" s="657"/>
      <c r="S95" s="257"/>
      <c r="T95" s="258"/>
      <c r="U95" s="658"/>
      <c r="V95" s="657"/>
      <c r="W95" s="257"/>
      <c r="X95" s="258"/>
      <c r="Y95" s="658"/>
    </row>
    <row r="96">
      <c r="A96" s="528"/>
      <c r="B96" s="528"/>
      <c r="C96" s="512">
        <f>H96/E170</f>
        <v>0.00862075565</v>
      </c>
      <c r="D96" s="104" t="s">
        <v>664</v>
      </c>
      <c r="E96" s="104" t="s">
        <v>665</v>
      </c>
      <c r="F96" s="195">
        <v>7.4</v>
      </c>
      <c r="G96" s="217">
        <v>39842.0</v>
      </c>
      <c r="H96" s="217">
        <f t="shared" si="34"/>
        <v>63062</v>
      </c>
      <c r="I96" s="216">
        <v>199.21</v>
      </c>
      <c r="J96" s="515">
        <f>IFERROR(__xludf.DUMMYFUNCTION("GOOGLEFINANCE(E96,""changepct"")"),-1.05)</f>
        <v>-1.05</v>
      </c>
      <c r="K96" s="517">
        <f>IFERROR(__xludf.DUMMYFUNCTION("googlefinance(E96,""price"")"),315.31)</f>
        <v>315.31</v>
      </c>
      <c r="L96" s="216"/>
      <c r="M96" s="517">
        <f t="shared" si="29"/>
        <v>116.1</v>
      </c>
      <c r="N96" s="518">
        <f t="shared" si="35"/>
        <v>0.5828020682</v>
      </c>
      <c r="O96" s="514">
        <f t="shared" si="30"/>
        <v>23220</v>
      </c>
      <c r="P96" s="538">
        <v>0.0059</v>
      </c>
      <c r="Q96" s="528"/>
      <c r="R96" s="210"/>
      <c r="S96" s="211"/>
      <c r="T96" s="212"/>
      <c r="U96" s="213"/>
      <c r="V96" s="210" t="s">
        <v>665</v>
      </c>
      <c r="W96" s="211">
        <v>44221.0</v>
      </c>
      <c r="X96" s="212">
        <v>199.21</v>
      </c>
      <c r="Y96" s="213">
        <v>39842.0</v>
      </c>
    </row>
    <row r="97">
      <c r="A97" s="528"/>
      <c r="B97" s="528"/>
      <c r="C97" s="512">
        <f>H97/E170</f>
        <v>0</v>
      </c>
      <c r="D97" s="344" t="s">
        <v>664</v>
      </c>
      <c r="E97" s="344" t="s">
        <v>665</v>
      </c>
      <c r="F97" s="195">
        <v>7.4</v>
      </c>
      <c r="G97" s="217">
        <v>32810.0</v>
      </c>
      <c r="H97" s="217">
        <v>0.0</v>
      </c>
      <c r="I97" s="216">
        <v>218.73</v>
      </c>
      <c r="J97" s="515">
        <f>IFERROR(__xludf.DUMMYFUNCTION("GOOGLEFINANCE(E97,""changepct"")"),-1.05)</f>
        <v>-1.05</v>
      </c>
      <c r="K97" s="517">
        <f>IFERROR(__xludf.DUMMYFUNCTION("googlefinance(E97,""price"")"),315.31)</f>
        <v>315.31</v>
      </c>
      <c r="L97" s="216">
        <v>213.98</v>
      </c>
      <c r="M97" s="517">
        <f t="shared" si="29"/>
        <v>96.58</v>
      </c>
      <c r="N97" s="518">
        <f>L97/I97-1</f>
        <v>-0.0217162712</v>
      </c>
      <c r="O97" s="514">
        <f t="shared" si="30"/>
        <v>-712.5108581</v>
      </c>
      <c r="P97" s="538">
        <v>0.0059</v>
      </c>
      <c r="Q97" s="528"/>
      <c r="R97" s="210" t="s">
        <v>665</v>
      </c>
      <c r="S97" s="211">
        <v>44207.0</v>
      </c>
      <c r="T97" s="212">
        <v>213.98</v>
      </c>
      <c r="U97" s="213">
        <v>32097.0</v>
      </c>
      <c r="V97" s="657"/>
      <c r="W97" s="257"/>
      <c r="X97" s="258"/>
      <c r="Y97" s="658"/>
    </row>
    <row r="98">
      <c r="A98" s="528"/>
      <c r="B98" s="528"/>
      <c r="C98" s="512">
        <f>H98/E170</f>
        <v>0.007184418718</v>
      </c>
      <c r="D98" s="344" t="s">
        <v>770</v>
      </c>
      <c r="E98" s="344" t="s">
        <v>771</v>
      </c>
      <c r="F98" s="195">
        <v>7.3</v>
      </c>
      <c r="G98" s="217">
        <v>31816.0</v>
      </c>
      <c r="H98" s="217">
        <f>G98+O98</f>
        <v>52555</v>
      </c>
      <c r="I98" s="216">
        <v>318.16</v>
      </c>
      <c r="J98" s="515">
        <f>IFERROR(__xludf.DUMMYFUNCTION("GOOGLEFINANCE(E98,""changepct"")"),-1.25)</f>
        <v>-1.25</v>
      </c>
      <c r="K98" s="517">
        <f>IFERROR(__xludf.DUMMYFUNCTION("googlefinance(E98,""price"")"),525.55)</f>
        <v>525.55</v>
      </c>
      <c r="L98" s="216"/>
      <c r="M98" s="517">
        <f t="shared" si="29"/>
        <v>207.39</v>
      </c>
      <c r="N98" s="518">
        <f>K98/I98-1</f>
        <v>0.6518418406</v>
      </c>
      <c r="O98" s="514">
        <f t="shared" si="30"/>
        <v>20739</v>
      </c>
      <c r="P98" s="538">
        <v>0.0056</v>
      </c>
      <c r="Q98" s="528"/>
      <c r="R98" s="210"/>
      <c r="S98" s="211"/>
      <c r="T98" s="212"/>
      <c r="U98" s="213"/>
      <c r="V98" s="210" t="s">
        <v>771</v>
      </c>
      <c r="W98" s="211">
        <v>44228.0</v>
      </c>
      <c r="X98" s="212">
        <v>318.16</v>
      </c>
      <c r="Y98" s="213">
        <v>31816.0</v>
      </c>
    </row>
    <row r="99">
      <c r="A99" s="528"/>
      <c r="B99" s="528"/>
      <c r="C99" s="512">
        <f>H99/E170</f>
        <v>0</v>
      </c>
      <c r="D99" s="344" t="s">
        <v>770</v>
      </c>
      <c r="E99" s="344" t="s">
        <v>771</v>
      </c>
      <c r="F99" s="195">
        <v>7.3</v>
      </c>
      <c r="G99" s="217">
        <v>35700.0</v>
      </c>
      <c r="H99" s="217">
        <v>0.0</v>
      </c>
      <c r="I99" s="216">
        <v>357.0</v>
      </c>
      <c r="J99" s="515">
        <f>IFERROR(__xludf.DUMMYFUNCTION("GOOGLEFINANCE(E99,""changepct"")"),-1.25)</f>
        <v>-1.25</v>
      </c>
      <c r="K99" s="517">
        <f>IFERROR(__xludf.DUMMYFUNCTION("googlefinance(E99,""price"")"),525.55)</f>
        <v>525.55</v>
      </c>
      <c r="L99" s="216">
        <v>350.98</v>
      </c>
      <c r="M99" s="517">
        <f t="shared" si="29"/>
        <v>168.55</v>
      </c>
      <c r="N99" s="518">
        <f>L99/I99-1</f>
        <v>-0.0168627451</v>
      </c>
      <c r="O99" s="514">
        <f t="shared" si="30"/>
        <v>-602</v>
      </c>
      <c r="P99" s="538">
        <v>0.0049</v>
      </c>
      <c r="Q99" s="528"/>
      <c r="R99" s="210" t="s">
        <v>771</v>
      </c>
      <c r="S99" s="211">
        <v>44207.0</v>
      </c>
      <c r="T99" s="212">
        <v>350.98</v>
      </c>
      <c r="U99" s="213">
        <v>35098.0</v>
      </c>
      <c r="V99" s="657"/>
      <c r="W99" s="257"/>
      <c r="X99" s="258"/>
      <c r="Y99" s="658"/>
    </row>
    <row r="100">
      <c r="A100" s="13"/>
      <c r="B100" s="13"/>
      <c r="C100" s="13"/>
      <c r="D100" s="13"/>
      <c r="E100" s="13"/>
      <c r="F100" s="13"/>
      <c r="G100" s="509">
        <f t="shared" ref="G100:H100" si="36">SUM(G87:G99)</f>
        <v>407239.5</v>
      </c>
      <c r="H100" s="539">
        <f t="shared" si="36"/>
        <v>302987.9585</v>
      </c>
      <c r="I100" s="506"/>
      <c r="J100" s="506"/>
      <c r="K100" s="506"/>
      <c r="L100" s="507"/>
      <c r="M100" s="507"/>
      <c r="N100" s="540">
        <f>O100/G100</f>
        <v>0.1943916237</v>
      </c>
      <c r="O100" s="539">
        <f>SUM(O87:O99)</f>
        <v>79163.94763</v>
      </c>
      <c r="P100" s="13"/>
      <c r="Q100" s="13"/>
      <c r="R100" s="238" t="s">
        <v>89</v>
      </c>
      <c r="S100" s="239"/>
      <c r="T100" s="241"/>
      <c r="U100" s="240">
        <f>SUM(U87:U99)</f>
        <v>183415</v>
      </c>
      <c r="V100" s="238" t="s">
        <v>89</v>
      </c>
      <c r="W100" s="239"/>
      <c r="X100" s="241"/>
      <c r="Y100" s="240">
        <f>SUM(Y86:Y99)</f>
        <v>246323.5</v>
      </c>
    </row>
    <row r="101">
      <c r="A101" s="13" t="s">
        <v>772</v>
      </c>
      <c r="B101" s="13" t="s">
        <v>825</v>
      </c>
      <c r="C101" s="13" t="s">
        <v>729</v>
      </c>
      <c r="D101" s="13" t="s">
        <v>150</v>
      </c>
      <c r="E101" s="13" t="s">
        <v>4</v>
      </c>
      <c r="F101" s="13" t="s">
        <v>5</v>
      </c>
      <c r="G101" s="13" t="s">
        <v>229</v>
      </c>
      <c r="H101" s="649" t="s">
        <v>730</v>
      </c>
      <c r="I101" s="505" t="s">
        <v>798</v>
      </c>
      <c r="J101" s="506" t="s">
        <v>10</v>
      </c>
      <c r="K101" s="506" t="s">
        <v>11</v>
      </c>
      <c r="L101" s="507" t="s">
        <v>476</v>
      </c>
      <c r="M101" s="507" t="s">
        <v>13</v>
      </c>
      <c r="N101" s="660" t="s">
        <v>799</v>
      </c>
      <c r="O101" s="508" t="s">
        <v>800</v>
      </c>
      <c r="P101" s="13" t="s">
        <v>16</v>
      </c>
      <c r="Q101" s="13" t="s">
        <v>17</v>
      </c>
      <c r="R101" s="238" t="s">
        <v>21</v>
      </c>
      <c r="S101" s="238" t="s">
        <v>22</v>
      </c>
      <c r="T101" s="656" t="s">
        <v>23</v>
      </c>
      <c r="U101" s="656" t="s">
        <v>24</v>
      </c>
      <c r="V101" s="238" t="s">
        <v>25</v>
      </c>
      <c r="W101" s="238" t="s">
        <v>26</v>
      </c>
      <c r="X101" s="238" t="s">
        <v>27</v>
      </c>
      <c r="Y101" s="238" t="s">
        <v>28</v>
      </c>
    </row>
    <row r="102">
      <c r="A102" s="565" t="s">
        <v>733</v>
      </c>
      <c r="B102" s="650"/>
      <c r="C102" s="512" t="str">
        <f>H102/E170</f>
        <v>#N/A</v>
      </c>
      <c r="D102" s="344" t="s">
        <v>151</v>
      </c>
      <c r="E102" s="344" t="s">
        <v>152</v>
      </c>
      <c r="F102" s="528">
        <v>9.1</v>
      </c>
      <c r="G102" s="217">
        <v>191200.0</v>
      </c>
      <c r="H102" s="514" t="str">
        <f t="shared" ref="H102:H125" si="37">G102+O102</f>
        <v>#N/A</v>
      </c>
      <c r="I102" s="216">
        <v>1912.0</v>
      </c>
      <c r="J102" s="594"/>
      <c r="K102" s="516" t="str">
        <f>IFERROR(__xludf.DUMMYFUNCTION("Index(ImportHTML(""https://www.apmex.com/spotprices/gold-price"",""table"",8),2,2)"),"#N/A")</f>
        <v>#N/A</v>
      </c>
      <c r="L102" s="528"/>
      <c r="M102" s="528" t="str">
        <f t="shared" ref="M102:M125" si="38">K102-I102</f>
        <v>#N/A</v>
      </c>
      <c r="N102" s="518" t="str">
        <f t="shared" ref="N102:N125" si="39">K102/I102-1</f>
        <v>#N/A</v>
      </c>
      <c r="O102" s="663" t="str">
        <f t="shared" ref="O102:O125" si="40">G102*N102</f>
        <v>#N/A</v>
      </c>
      <c r="P102" s="528"/>
      <c r="Q102" s="528"/>
      <c r="R102" s="257"/>
      <c r="S102" s="257"/>
      <c r="T102" s="257"/>
      <c r="U102" s="257"/>
      <c r="V102" s="657"/>
      <c r="W102" s="257"/>
      <c r="X102" s="258"/>
      <c r="Y102" s="658"/>
    </row>
    <row r="103">
      <c r="A103" s="344" t="s">
        <v>153</v>
      </c>
      <c r="B103" s="596" t="str">
        <f>H102+H103</f>
        <v>#N/A</v>
      </c>
      <c r="C103" s="512" t="str">
        <f>H103/E170</f>
        <v>#N/A</v>
      </c>
      <c r="D103" s="344" t="s">
        <v>154</v>
      </c>
      <c r="E103" s="344" t="s">
        <v>155</v>
      </c>
      <c r="F103" s="528">
        <v>9.2</v>
      </c>
      <c r="G103" s="217">
        <v>131500.0</v>
      </c>
      <c r="H103" s="514" t="str">
        <f t="shared" si="37"/>
        <v>#N/A</v>
      </c>
      <c r="I103" s="216">
        <v>26.3</v>
      </c>
      <c r="J103" s="594"/>
      <c r="K103" s="516" t="str">
        <f>IFERROR(__xludf.DUMMYFUNCTION("Index(ImportHTML(""https://www.apmex.com/spotprices/silver-price"",""table"",8),2,2)"),"#N/A")</f>
        <v>#N/A</v>
      </c>
      <c r="L103" s="528"/>
      <c r="M103" s="528" t="str">
        <f t="shared" si="38"/>
        <v>#N/A</v>
      </c>
      <c r="N103" s="518" t="str">
        <f t="shared" si="39"/>
        <v>#N/A</v>
      </c>
      <c r="O103" s="528" t="str">
        <f t="shared" si="40"/>
        <v>#N/A</v>
      </c>
      <c r="P103" s="528"/>
      <c r="Q103" s="528"/>
      <c r="R103" s="257"/>
      <c r="S103" s="257"/>
      <c r="T103" s="257"/>
      <c r="U103" s="257"/>
      <c r="V103" s="657"/>
      <c r="W103" s="257"/>
      <c r="X103" s="258"/>
      <c r="Y103" s="658"/>
    </row>
    <row r="104">
      <c r="A104" s="344" t="s">
        <v>156</v>
      </c>
      <c r="B104" s="598" t="str">
        <f>B103/E170</f>
        <v>#N/A</v>
      </c>
      <c r="C104" s="512">
        <f>H104/E170</f>
        <v>0.01083916963</v>
      </c>
      <c r="D104" s="344" t="s">
        <v>773</v>
      </c>
      <c r="E104" s="344" t="s">
        <v>774</v>
      </c>
      <c r="F104" s="528">
        <v>9.1</v>
      </c>
      <c r="G104" s="217">
        <v>76170.0</v>
      </c>
      <c r="H104" s="514">
        <f t="shared" si="37"/>
        <v>79290</v>
      </c>
      <c r="I104" s="216">
        <v>25.39</v>
      </c>
      <c r="J104" s="568">
        <f>IFERROR(__xludf.DUMMYFUNCTION("GOOGLEFINANCE(E104,""changepct"")"),-1.23)</f>
        <v>-1.23</v>
      </c>
      <c r="K104" s="516">
        <f>IFERROR(__xludf.DUMMYFUNCTION("googlefinance(E104,""price"")"),26.43)</f>
        <v>26.43</v>
      </c>
      <c r="L104" s="528"/>
      <c r="M104" s="517">
        <f t="shared" si="38"/>
        <v>1.04</v>
      </c>
      <c r="N104" s="518">
        <f t="shared" si="39"/>
        <v>0.04096100827</v>
      </c>
      <c r="O104" s="514">
        <f t="shared" si="40"/>
        <v>3120</v>
      </c>
      <c r="P104" s="528"/>
      <c r="Q104" s="528"/>
      <c r="R104" s="257"/>
      <c r="S104" s="257"/>
      <c r="T104" s="257"/>
      <c r="U104" s="257"/>
      <c r="V104" s="657"/>
      <c r="W104" s="257"/>
      <c r="X104" s="258"/>
      <c r="Y104" s="658"/>
    </row>
    <row r="105">
      <c r="A105" s="344" t="s">
        <v>159</v>
      </c>
      <c r="B105" s="596" t="str">
        <f>H104+H105+H106+H107+H108+H111+H116+H117+H118+H120+H121+H123+H124+H125+H112+H114+H115+H119+H122+H113+H109+H110</f>
        <v>#N/A</v>
      </c>
      <c r="C105" s="512">
        <f>H105/E170</f>
        <v>0.01384936657</v>
      </c>
      <c r="D105" s="344" t="s">
        <v>570</v>
      </c>
      <c r="E105" s="344" t="s">
        <v>158</v>
      </c>
      <c r="F105" s="528">
        <v>8.9</v>
      </c>
      <c r="G105" s="217">
        <v>113070.0</v>
      </c>
      <c r="H105" s="514">
        <f t="shared" si="37"/>
        <v>101310</v>
      </c>
      <c r="I105" s="216">
        <v>37.69</v>
      </c>
      <c r="J105" s="568">
        <f>IFERROR(__xludf.DUMMYFUNCTION("GOOGLEFINANCE(E105,""changepct"")"),-1.43)</f>
        <v>-1.43</v>
      </c>
      <c r="K105" s="517">
        <f>IFERROR(__xludf.DUMMYFUNCTION("googlefinance(E105,""price"")"),33.77)</f>
        <v>33.77</v>
      </c>
      <c r="L105" s="528"/>
      <c r="M105" s="517">
        <f t="shared" si="38"/>
        <v>-3.92</v>
      </c>
      <c r="N105" s="518">
        <f t="shared" si="39"/>
        <v>-0.1040063677</v>
      </c>
      <c r="O105" s="514">
        <f t="shared" si="40"/>
        <v>-11760</v>
      </c>
      <c r="P105" s="538">
        <v>0.0055</v>
      </c>
      <c r="Q105" s="528"/>
      <c r="R105" s="257"/>
      <c r="S105" s="257"/>
      <c r="T105" s="257"/>
      <c r="U105" s="257"/>
      <c r="V105" s="657"/>
      <c r="W105" s="257"/>
      <c r="X105" s="258"/>
      <c r="Y105" s="658"/>
    </row>
    <row r="106">
      <c r="A106" s="344" t="s">
        <v>708</v>
      </c>
      <c r="B106" s="598" t="str">
        <f>B105/E170</f>
        <v>#N/A</v>
      </c>
      <c r="C106" s="512">
        <f>H106/E170</f>
        <v>0.01157052993</v>
      </c>
      <c r="D106" s="344" t="s">
        <v>160</v>
      </c>
      <c r="E106" s="344" t="s">
        <v>161</v>
      </c>
      <c r="F106" s="528">
        <v>9.0</v>
      </c>
      <c r="G106" s="217">
        <v>113440.0</v>
      </c>
      <c r="H106" s="514">
        <f t="shared" si="37"/>
        <v>84640</v>
      </c>
      <c r="I106" s="216">
        <v>56.72</v>
      </c>
      <c r="J106" s="568">
        <f>IFERROR(__xludf.DUMMYFUNCTION("GOOGLEFINANCE(E106,""changepct"")"),-1.7)</f>
        <v>-1.7</v>
      </c>
      <c r="K106" s="517">
        <f>IFERROR(__xludf.DUMMYFUNCTION("googlefinance(E106,""price"")"),42.32)</f>
        <v>42.32</v>
      </c>
      <c r="L106" s="528"/>
      <c r="M106" s="517">
        <f t="shared" si="38"/>
        <v>-14.4</v>
      </c>
      <c r="N106" s="518">
        <f t="shared" si="39"/>
        <v>-0.2538787024</v>
      </c>
      <c r="O106" s="514">
        <f t="shared" si="40"/>
        <v>-28800</v>
      </c>
      <c r="P106" s="538">
        <v>0.0033</v>
      </c>
      <c r="Q106" s="528"/>
      <c r="R106" s="257"/>
      <c r="S106" s="257"/>
      <c r="T106" s="257"/>
      <c r="U106" s="257"/>
      <c r="V106" s="657"/>
      <c r="W106" s="257"/>
      <c r="X106" s="258"/>
      <c r="Y106" s="658"/>
    </row>
    <row r="107">
      <c r="A107" s="344" t="s">
        <v>775</v>
      </c>
      <c r="B107" s="596" t="str">
        <f>B103+B105</f>
        <v>#N/A</v>
      </c>
      <c r="C107" s="512">
        <f>H107/E170</f>
        <v>0.01729154455</v>
      </c>
      <c r="D107" s="344" t="s">
        <v>776</v>
      </c>
      <c r="E107" s="344" t="s">
        <v>548</v>
      </c>
      <c r="F107" s="528">
        <v>8.2</v>
      </c>
      <c r="G107" s="217">
        <v>64400.0</v>
      </c>
      <c r="H107" s="514">
        <f t="shared" si="37"/>
        <v>126490</v>
      </c>
      <c r="I107" s="216">
        <v>9.2</v>
      </c>
      <c r="J107" s="568">
        <f>IFERROR(__xludf.DUMMYFUNCTION("GOOGLEFINANCE(E107,""changepct"")"),-1.53)</f>
        <v>-1.53</v>
      </c>
      <c r="K107" s="517">
        <f>IFERROR(__xludf.DUMMYFUNCTION("googlefinance(E107,""price"")"),18.07)</f>
        <v>18.07</v>
      </c>
      <c r="L107" s="528"/>
      <c r="M107" s="517">
        <f t="shared" si="38"/>
        <v>8.87</v>
      </c>
      <c r="N107" s="518">
        <f t="shared" si="39"/>
        <v>0.9641304348</v>
      </c>
      <c r="O107" s="514">
        <f t="shared" si="40"/>
        <v>62090</v>
      </c>
      <c r="P107" s="538">
        <v>0.0069</v>
      </c>
      <c r="Q107" s="528"/>
      <c r="R107" s="257"/>
      <c r="S107" s="257"/>
      <c r="T107" s="257"/>
      <c r="U107" s="257"/>
      <c r="V107" s="657"/>
      <c r="W107" s="257"/>
      <c r="X107" s="258"/>
      <c r="Y107" s="658"/>
    </row>
    <row r="108">
      <c r="A108" s="344" t="s">
        <v>777</v>
      </c>
      <c r="B108" s="598" t="str">
        <f>B107/E170</f>
        <v>#N/A</v>
      </c>
      <c r="C108" s="512" t="str">
        <f>H108/E170</f>
        <v>#N/A</v>
      </c>
      <c r="D108" s="344" t="s">
        <v>709</v>
      </c>
      <c r="E108" s="344" t="s">
        <v>710</v>
      </c>
      <c r="F108" s="528">
        <v>8.7</v>
      </c>
      <c r="G108" s="217">
        <v>82540.0</v>
      </c>
      <c r="H108" s="514" t="str">
        <f t="shared" si="37"/>
        <v>#N/A</v>
      </c>
      <c r="I108" s="216">
        <v>41.27</v>
      </c>
      <c r="J108" s="568" t="str">
        <f>IFERROR(__xludf.DUMMYFUNCTION("GOOGLEFINANCE(E108,""changepct"")"),"#N/A")</f>
        <v>#N/A</v>
      </c>
      <c r="K108" s="517" t="str">
        <f>IFERROR(__xludf.DUMMYFUNCTION("googlefinance(E108,""price"")"),"#N/A")</f>
        <v>#N/A</v>
      </c>
      <c r="L108" s="528"/>
      <c r="M108" s="528" t="str">
        <f t="shared" si="38"/>
        <v>#N/A</v>
      </c>
      <c r="N108" s="518" t="str">
        <f t="shared" si="39"/>
        <v>#N/A</v>
      </c>
      <c r="O108" s="528" t="str">
        <f t="shared" si="40"/>
        <v>#N/A</v>
      </c>
      <c r="P108" s="538">
        <v>0.0177</v>
      </c>
      <c r="Q108" s="528"/>
      <c r="R108" s="257"/>
      <c r="S108" s="257"/>
      <c r="T108" s="257"/>
      <c r="U108" s="257"/>
      <c r="V108" s="657"/>
      <c r="W108" s="257"/>
      <c r="X108" s="258"/>
      <c r="Y108" s="658"/>
    </row>
    <row r="109">
      <c r="A109" s="528"/>
      <c r="B109" s="528"/>
      <c r="C109" s="512">
        <f>H109/E170</f>
        <v>0.01384936657</v>
      </c>
      <c r="D109" s="344" t="s">
        <v>570</v>
      </c>
      <c r="E109" s="344" t="s">
        <v>158</v>
      </c>
      <c r="F109" s="528">
        <v>8.9</v>
      </c>
      <c r="G109" s="217">
        <v>97440.0</v>
      </c>
      <c r="H109" s="514">
        <f t="shared" si="37"/>
        <v>101310</v>
      </c>
      <c r="I109" s="216">
        <v>32.48</v>
      </c>
      <c r="J109" s="568">
        <f>IFERROR(__xludf.DUMMYFUNCTION("GOOGLEFINANCE(E109,""changepct"")"),-1.43)</f>
        <v>-1.43</v>
      </c>
      <c r="K109" s="517">
        <f>IFERROR(__xludf.DUMMYFUNCTION("googlefinance(E109,""price"")"),33.77)</f>
        <v>33.77</v>
      </c>
      <c r="L109" s="528"/>
      <c r="M109" s="517">
        <f t="shared" si="38"/>
        <v>1.29</v>
      </c>
      <c r="N109" s="518">
        <f t="shared" si="39"/>
        <v>0.03971674877</v>
      </c>
      <c r="O109" s="514">
        <f t="shared" si="40"/>
        <v>3870</v>
      </c>
      <c r="P109" s="538"/>
      <c r="Q109" s="528"/>
      <c r="R109" s="257"/>
      <c r="S109" s="257"/>
      <c r="T109" s="257"/>
      <c r="U109" s="257"/>
      <c r="V109" s="210" t="s">
        <v>158</v>
      </c>
      <c r="W109" s="211">
        <v>44264.0</v>
      </c>
      <c r="X109" s="212">
        <v>32.48</v>
      </c>
      <c r="Y109" s="213">
        <v>97440.0</v>
      </c>
    </row>
    <row r="110">
      <c r="A110" s="528"/>
      <c r="B110" s="528"/>
      <c r="C110" s="512">
        <f>H110/E170</f>
        <v>0.01157052993</v>
      </c>
      <c r="D110" s="344" t="s">
        <v>160</v>
      </c>
      <c r="E110" s="344" t="s">
        <v>161</v>
      </c>
      <c r="F110" s="528">
        <v>9.0</v>
      </c>
      <c r="G110" s="217">
        <v>92680.0</v>
      </c>
      <c r="H110" s="514">
        <f t="shared" si="37"/>
        <v>84640</v>
      </c>
      <c r="I110" s="216">
        <v>46.34</v>
      </c>
      <c r="J110" s="568">
        <f>IFERROR(__xludf.DUMMYFUNCTION("GOOGLEFINANCE(E110,""changepct"")"),-1.7)</f>
        <v>-1.7</v>
      </c>
      <c r="K110" s="517">
        <f>IFERROR(__xludf.DUMMYFUNCTION("googlefinance(E110,""price"")"),42.32)</f>
        <v>42.32</v>
      </c>
      <c r="L110" s="528"/>
      <c r="M110" s="517">
        <f t="shared" si="38"/>
        <v>-4.02</v>
      </c>
      <c r="N110" s="518">
        <f t="shared" si="39"/>
        <v>-0.0867501079</v>
      </c>
      <c r="O110" s="514">
        <f t="shared" si="40"/>
        <v>-8040</v>
      </c>
      <c r="P110" s="538"/>
      <c r="Q110" s="528"/>
      <c r="R110" s="257"/>
      <c r="S110" s="257"/>
      <c r="T110" s="257"/>
      <c r="U110" s="257"/>
      <c r="V110" s="210" t="s">
        <v>161</v>
      </c>
      <c r="W110" s="211">
        <v>44264.0</v>
      </c>
      <c r="X110" s="212">
        <v>46.34</v>
      </c>
      <c r="Y110" s="213">
        <v>92680.0</v>
      </c>
    </row>
    <row r="111">
      <c r="A111" s="528"/>
      <c r="B111" s="528"/>
      <c r="C111" s="512">
        <f>H111/E170</f>
        <v>0.007587008635</v>
      </c>
      <c r="D111" s="344" t="s">
        <v>506</v>
      </c>
      <c r="E111" s="344" t="s">
        <v>169</v>
      </c>
      <c r="F111" s="528">
        <v>8.8</v>
      </c>
      <c r="G111" s="217">
        <v>92895.0</v>
      </c>
      <c r="H111" s="514">
        <f t="shared" si="37"/>
        <v>55500</v>
      </c>
      <c r="I111" s="216">
        <v>61.93</v>
      </c>
      <c r="J111" s="568">
        <f>IFERROR(__xludf.DUMMYFUNCTION("GOOGLEFINANCE(E111,""changepct"")"),-2.22)</f>
        <v>-2.22</v>
      </c>
      <c r="K111" s="517">
        <f>IFERROR(__xludf.DUMMYFUNCTION("googlefinance(E111,""price"")"),37.0)</f>
        <v>37</v>
      </c>
      <c r="L111" s="528"/>
      <c r="M111" s="517">
        <f t="shared" si="38"/>
        <v>-24.93</v>
      </c>
      <c r="N111" s="518">
        <f t="shared" si="39"/>
        <v>-0.4025512676</v>
      </c>
      <c r="O111" s="514">
        <f t="shared" si="40"/>
        <v>-37395</v>
      </c>
      <c r="P111" s="538">
        <v>0.0267</v>
      </c>
      <c r="Q111" s="528"/>
      <c r="R111" s="257"/>
      <c r="S111" s="257"/>
      <c r="T111" s="257"/>
      <c r="U111" s="257"/>
      <c r="V111" s="657"/>
      <c r="W111" s="257"/>
      <c r="X111" s="258"/>
      <c r="Y111" s="658"/>
    </row>
    <row r="112">
      <c r="A112" s="528"/>
      <c r="B112" s="528"/>
      <c r="C112" s="512">
        <f>H112/E170</f>
        <v>0.005283565473</v>
      </c>
      <c r="D112" s="104" t="s">
        <v>571</v>
      </c>
      <c r="E112" s="104" t="s">
        <v>172</v>
      </c>
      <c r="F112" s="195">
        <v>8.3</v>
      </c>
      <c r="G112" s="217">
        <v>59225.0</v>
      </c>
      <c r="H112" s="514">
        <f t="shared" si="37"/>
        <v>38650</v>
      </c>
      <c r="I112" s="216">
        <v>23.69</v>
      </c>
      <c r="J112" s="568">
        <f>IFERROR(__xludf.DUMMYFUNCTION("GOOGLEFINANCE(E112,""changepct"")"),-1.4)</f>
        <v>-1.4</v>
      </c>
      <c r="K112" s="517">
        <f>IFERROR(__xludf.DUMMYFUNCTION("googlefinance(E112,""price"")"),15.46)</f>
        <v>15.46</v>
      </c>
      <c r="L112" s="528"/>
      <c r="M112" s="517">
        <f t="shared" si="38"/>
        <v>-8.23</v>
      </c>
      <c r="N112" s="518">
        <f t="shared" si="39"/>
        <v>-0.3474039679</v>
      </c>
      <c r="O112" s="514">
        <f t="shared" si="40"/>
        <v>-20575</v>
      </c>
      <c r="P112" s="538">
        <v>0.0153</v>
      </c>
      <c r="Q112" s="528"/>
      <c r="R112" s="257"/>
      <c r="S112" s="257"/>
      <c r="T112" s="257"/>
      <c r="U112" s="257"/>
      <c r="V112" s="210" t="s">
        <v>172</v>
      </c>
      <c r="W112" s="211">
        <v>44210.0</v>
      </c>
      <c r="X112" s="212">
        <v>23.69</v>
      </c>
      <c r="Y112" s="213">
        <v>59225.0</v>
      </c>
    </row>
    <row r="113">
      <c r="A113" s="528"/>
      <c r="B113" s="528"/>
      <c r="C113" s="512">
        <f>H113/E170</f>
        <v>0.00895745479</v>
      </c>
      <c r="D113" s="104" t="s">
        <v>778</v>
      </c>
      <c r="E113" s="104" t="s">
        <v>779</v>
      </c>
      <c r="F113" s="195">
        <v>8.1</v>
      </c>
      <c r="G113" s="217">
        <v>53450.0</v>
      </c>
      <c r="H113" s="514">
        <f t="shared" si="37"/>
        <v>65525</v>
      </c>
      <c r="I113" s="216">
        <v>106.9</v>
      </c>
      <c r="J113" s="568">
        <f>IFERROR(__xludf.DUMMYFUNCTION("GOOGLEFINANCE(E113,""changepct"")"),-2.08)</f>
        <v>-2.08</v>
      </c>
      <c r="K113" s="517">
        <f>IFERROR(__xludf.DUMMYFUNCTION("googlefinance(E113,""price"")"),131.05)</f>
        <v>131.05</v>
      </c>
      <c r="L113" s="528"/>
      <c r="M113" s="517">
        <f t="shared" si="38"/>
        <v>24.15</v>
      </c>
      <c r="N113" s="518">
        <f t="shared" si="39"/>
        <v>0.2259120674</v>
      </c>
      <c r="O113" s="514">
        <f t="shared" si="40"/>
        <v>12075</v>
      </c>
      <c r="P113" s="538">
        <v>0.01</v>
      </c>
      <c r="Q113" s="528"/>
      <c r="R113" s="257"/>
      <c r="S113" s="257"/>
      <c r="T113" s="257"/>
      <c r="U113" s="257"/>
      <c r="V113" s="210" t="s">
        <v>779</v>
      </c>
      <c r="W113" s="211">
        <v>44228.0</v>
      </c>
      <c r="X113" s="212">
        <v>106.9</v>
      </c>
      <c r="Y113" s="213">
        <v>53450.0</v>
      </c>
    </row>
    <row r="114">
      <c r="A114" s="528"/>
      <c r="B114" s="528"/>
      <c r="C114" s="512">
        <f>H114/E170</f>
        <v>0.003308209171</v>
      </c>
      <c r="D114" s="104" t="s">
        <v>177</v>
      </c>
      <c r="E114" s="104" t="s">
        <v>178</v>
      </c>
      <c r="F114" s="195">
        <v>8.5</v>
      </c>
      <c r="G114" s="217">
        <v>51900.0</v>
      </c>
      <c r="H114" s="514">
        <f t="shared" si="37"/>
        <v>24200</v>
      </c>
      <c r="I114" s="216">
        <v>5.19</v>
      </c>
      <c r="J114" s="568">
        <f>IFERROR(__xludf.DUMMYFUNCTION("GOOGLEFINANCE(E114,""changepct"")"),-2.02)</f>
        <v>-2.02</v>
      </c>
      <c r="K114" s="517">
        <f>IFERROR(__xludf.DUMMYFUNCTION("googlefinance(E114,""price"")"),2.42)</f>
        <v>2.42</v>
      </c>
      <c r="L114" s="528"/>
      <c r="M114" s="517">
        <f t="shared" si="38"/>
        <v>-2.77</v>
      </c>
      <c r="N114" s="518">
        <f t="shared" si="39"/>
        <v>-0.5337186898</v>
      </c>
      <c r="O114" s="514">
        <f t="shared" si="40"/>
        <v>-27700</v>
      </c>
      <c r="P114" s="538">
        <v>0.0311</v>
      </c>
      <c r="Q114" s="528"/>
      <c r="R114" s="257"/>
      <c r="S114" s="257"/>
      <c r="T114" s="257"/>
      <c r="U114" s="257"/>
      <c r="V114" s="210" t="s">
        <v>178</v>
      </c>
      <c r="W114" s="211">
        <v>44210.0</v>
      </c>
      <c r="X114" s="212">
        <v>5.19</v>
      </c>
      <c r="Y114" s="213">
        <v>51900.0</v>
      </c>
    </row>
    <row r="115">
      <c r="A115" s="528"/>
      <c r="B115" s="528"/>
      <c r="C115" s="512">
        <f>H115/E170</f>
        <v>0.01002852168</v>
      </c>
      <c r="D115" s="344" t="s">
        <v>166</v>
      </c>
      <c r="E115" s="344" t="s">
        <v>167</v>
      </c>
      <c r="F115" s="528">
        <v>8.9</v>
      </c>
      <c r="G115" s="217">
        <v>57440.0</v>
      </c>
      <c r="H115" s="514">
        <f t="shared" si="37"/>
        <v>73360</v>
      </c>
      <c r="I115" s="216">
        <v>7.18</v>
      </c>
      <c r="J115" s="568">
        <f>IFERROR(__xludf.DUMMYFUNCTION("GOOGLEFINANCE(E115,""changepct"")"),-1.5)</f>
        <v>-1.5</v>
      </c>
      <c r="K115" s="517">
        <f>IFERROR(__xludf.DUMMYFUNCTION("googlefinance(E115,""price"")"),9.17)</f>
        <v>9.17</v>
      </c>
      <c r="L115" s="528"/>
      <c r="M115" s="517">
        <f t="shared" si="38"/>
        <v>1.99</v>
      </c>
      <c r="N115" s="518">
        <f t="shared" si="39"/>
        <v>0.2771587744</v>
      </c>
      <c r="O115" s="514">
        <f t="shared" si="40"/>
        <v>15920</v>
      </c>
      <c r="P115" s="538">
        <v>0.0163</v>
      </c>
      <c r="Q115" s="528"/>
      <c r="R115" s="257"/>
      <c r="S115" s="257"/>
      <c r="T115" s="257"/>
      <c r="U115" s="257"/>
      <c r="V115" s="210" t="s">
        <v>167</v>
      </c>
      <c r="W115" s="211">
        <v>44210.0</v>
      </c>
      <c r="X115" s="212">
        <v>7.18</v>
      </c>
      <c r="Y115" s="213">
        <v>57440.0</v>
      </c>
    </row>
    <row r="116">
      <c r="A116" s="528"/>
      <c r="B116" s="528"/>
      <c r="C116" s="512">
        <f>H116/E170</f>
        <v>0.01504278253</v>
      </c>
      <c r="D116" s="344" t="s">
        <v>166</v>
      </c>
      <c r="E116" s="344" t="s">
        <v>167</v>
      </c>
      <c r="F116" s="528">
        <v>8.9</v>
      </c>
      <c r="G116" s="217">
        <v>92400.0</v>
      </c>
      <c r="H116" s="514">
        <f t="shared" si="37"/>
        <v>110040</v>
      </c>
      <c r="I116" s="216">
        <v>7.7</v>
      </c>
      <c r="J116" s="568">
        <f>IFERROR(__xludf.DUMMYFUNCTION("GOOGLEFINANCE(E116,""changepct"")"),-1.5)</f>
        <v>-1.5</v>
      </c>
      <c r="K116" s="517">
        <f>IFERROR(__xludf.DUMMYFUNCTION("googlefinance(E116,""price"")"),9.17)</f>
        <v>9.17</v>
      </c>
      <c r="L116" s="528"/>
      <c r="M116" s="517">
        <f t="shared" si="38"/>
        <v>1.47</v>
      </c>
      <c r="N116" s="518">
        <f t="shared" si="39"/>
        <v>0.1909090909</v>
      </c>
      <c r="O116" s="514">
        <f t="shared" si="40"/>
        <v>17640</v>
      </c>
      <c r="P116" s="538">
        <v>0.0163</v>
      </c>
      <c r="Q116" s="528"/>
      <c r="R116" s="257"/>
      <c r="S116" s="257"/>
      <c r="T116" s="257"/>
      <c r="U116" s="257"/>
      <c r="V116" s="657"/>
      <c r="W116" s="257"/>
      <c r="X116" s="258"/>
      <c r="Y116" s="658"/>
    </row>
    <row r="117">
      <c r="A117" s="528"/>
      <c r="B117" s="528"/>
      <c r="C117" s="512">
        <f>H117/E170</f>
        <v>0.01439207692</v>
      </c>
      <c r="D117" s="344" t="s">
        <v>780</v>
      </c>
      <c r="E117" s="344" t="s">
        <v>688</v>
      </c>
      <c r="F117" s="528">
        <v>8.9</v>
      </c>
      <c r="G117" s="217">
        <v>81760.0</v>
      </c>
      <c r="H117" s="514">
        <f t="shared" si="37"/>
        <v>105280</v>
      </c>
      <c r="I117" s="216">
        <v>10.22</v>
      </c>
      <c r="J117" s="568">
        <f>IFERROR(__xludf.DUMMYFUNCTION("GOOGLEFINANCE(E117,""changepct"")"),-1.72)</f>
        <v>-1.72</v>
      </c>
      <c r="K117" s="517">
        <f>IFERROR(__xludf.DUMMYFUNCTION("googlefinance(E117,""price"")"),13.16)</f>
        <v>13.16</v>
      </c>
      <c r="L117" s="528"/>
      <c r="M117" s="517">
        <f t="shared" si="38"/>
        <v>2.94</v>
      </c>
      <c r="N117" s="518">
        <f t="shared" si="39"/>
        <v>0.2876712329</v>
      </c>
      <c r="O117" s="514">
        <f t="shared" si="40"/>
        <v>23520</v>
      </c>
      <c r="P117" s="538">
        <v>0.0207</v>
      </c>
      <c r="Q117" s="528"/>
      <c r="R117" s="257"/>
      <c r="S117" s="257"/>
      <c r="T117" s="257"/>
      <c r="U117" s="257"/>
      <c r="V117" s="657"/>
      <c r="W117" s="257"/>
      <c r="X117" s="258"/>
      <c r="Y117" s="658"/>
    </row>
    <row r="118">
      <c r="A118" s="528"/>
      <c r="B118" s="528"/>
      <c r="C118" s="512">
        <f>H118/E170</f>
        <v>0.006705275199</v>
      </c>
      <c r="D118" s="344" t="s">
        <v>507</v>
      </c>
      <c r="E118" s="344" t="s">
        <v>508</v>
      </c>
      <c r="F118" s="528">
        <v>8.9</v>
      </c>
      <c r="G118" s="217">
        <v>85000.0</v>
      </c>
      <c r="H118" s="514">
        <f t="shared" si="37"/>
        <v>49050</v>
      </c>
      <c r="I118" s="216">
        <v>17.0</v>
      </c>
      <c r="J118" s="568">
        <f>IFERROR(__xludf.DUMMYFUNCTION("GOOGLEFINANCE(E118,""changepct"")"),-2.77)</f>
        <v>-2.77</v>
      </c>
      <c r="K118" s="517">
        <f>IFERROR(__xludf.DUMMYFUNCTION("googlefinance(E118,""price"")"),9.81)</f>
        <v>9.81</v>
      </c>
      <c r="L118" s="528"/>
      <c r="M118" s="517">
        <f t="shared" si="38"/>
        <v>-7.19</v>
      </c>
      <c r="N118" s="518">
        <f t="shared" si="39"/>
        <v>-0.4229411765</v>
      </c>
      <c r="O118" s="514">
        <f t="shared" si="40"/>
        <v>-35950</v>
      </c>
      <c r="P118" s="538">
        <v>0.0125</v>
      </c>
      <c r="Q118" s="528"/>
      <c r="R118" s="257"/>
      <c r="S118" s="257"/>
      <c r="T118" s="257"/>
      <c r="U118" s="257"/>
      <c r="V118" s="657"/>
      <c r="W118" s="257"/>
      <c r="X118" s="258"/>
      <c r="Y118" s="658"/>
    </row>
    <row r="119">
      <c r="A119" s="528"/>
      <c r="B119" s="528"/>
      <c r="C119" s="512">
        <f>H119/E170</f>
        <v>0.004691642097</v>
      </c>
      <c r="D119" s="600" t="s">
        <v>179</v>
      </c>
      <c r="E119" s="104" t="s">
        <v>180</v>
      </c>
      <c r="F119" s="195">
        <v>9.1</v>
      </c>
      <c r="G119" s="217">
        <v>49140.0</v>
      </c>
      <c r="H119" s="514">
        <f t="shared" si="37"/>
        <v>34320</v>
      </c>
      <c r="I119" s="216">
        <v>16.38</v>
      </c>
      <c r="J119" s="568">
        <f>IFERROR(__xludf.DUMMYFUNCTION("GOOGLEFINANCE(E119,""changepct"")"),-2.8)</f>
        <v>-2.8</v>
      </c>
      <c r="K119" s="517">
        <f>IFERROR(__xludf.DUMMYFUNCTION("googlefinance(E119,""price"")"),11.44)</f>
        <v>11.44</v>
      </c>
      <c r="L119" s="528"/>
      <c r="M119" s="517">
        <f t="shared" si="38"/>
        <v>-4.94</v>
      </c>
      <c r="N119" s="518">
        <f t="shared" si="39"/>
        <v>-0.3015873016</v>
      </c>
      <c r="O119" s="514">
        <f t="shared" si="40"/>
        <v>-14820</v>
      </c>
      <c r="P119" s="538">
        <v>0.0135</v>
      </c>
      <c r="Q119" s="528"/>
      <c r="R119" s="257"/>
      <c r="S119" s="257"/>
      <c r="T119" s="257"/>
      <c r="U119" s="257"/>
      <c r="V119" s="210" t="s">
        <v>180</v>
      </c>
      <c r="W119" s="211">
        <v>44210.0</v>
      </c>
      <c r="X119" s="212">
        <v>16.38</v>
      </c>
      <c r="Y119" s="213">
        <v>49140.0</v>
      </c>
    </row>
    <row r="120">
      <c r="A120" s="528"/>
      <c r="B120" s="528"/>
      <c r="C120" s="512">
        <f>H120/E170</f>
        <v>0.007819403494</v>
      </c>
      <c r="D120" s="600" t="s">
        <v>179</v>
      </c>
      <c r="E120" s="344" t="s">
        <v>180</v>
      </c>
      <c r="F120" s="528">
        <v>9.1</v>
      </c>
      <c r="G120" s="217">
        <v>85500.0</v>
      </c>
      <c r="H120" s="514">
        <f t="shared" si="37"/>
        <v>57200</v>
      </c>
      <c r="I120" s="216">
        <v>17.1</v>
      </c>
      <c r="J120" s="568">
        <f>IFERROR(__xludf.DUMMYFUNCTION("GOOGLEFINANCE(E120,""changepct"")"),-2.8)</f>
        <v>-2.8</v>
      </c>
      <c r="K120" s="517">
        <f>IFERROR(__xludf.DUMMYFUNCTION("googlefinance(E120,""price"")"),11.44)</f>
        <v>11.44</v>
      </c>
      <c r="L120" s="528"/>
      <c r="M120" s="517">
        <f t="shared" si="38"/>
        <v>-5.66</v>
      </c>
      <c r="N120" s="518">
        <f t="shared" si="39"/>
        <v>-0.330994152</v>
      </c>
      <c r="O120" s="514">
        <f t="shared" si="40"/>
        <v>-28300</v>
      </c>
      <c r="P120" s="538">
        <v>0.0135</v>
      </c>
      <c r="Q120" s="528"/>
      <c r="R120" s="257"/>
      <c r="S120" s="257"/>
      <c r="T120" s="257"/>
      <c r="U120" s="257"/>
      <c r="V120" s="657"/>
      <c r="W120" s="257"/>
      <c r="X120" s="258"/>
      <c r="Y120" s="658"/>
    </row>
    <row r="121">
      <c r="A121" s="528"/>
      <c r="B121" s="528"/>
      <c r="C121" s="512">
        <f>H121/E170</f>
        <v>0.006481766026</v>
      </c>
      <c r="D121" s="600" t="s">
        <v>781</v>
      </c>
      <c r="E121" s="344" t="s">
        <v>782</v>
      </c>
      <c r="F121" s="528">
        <v>8.5</v>
      </c>
      <c r="G121" s="217">
        <v>68430.0</v>
      </c>
      <c r="H121" s="514">
        <f t="shared" si="37"/>
        <v>47415</v>
      </c>
      <c r="I121" s="216">
        <v>45.62</v>
      </c>
      <c r="J121" s="568">
        <f>IFERROR(__xludf.DUMMYFUNCTION("GOOGLEFINANCE(E121,""changepct"")"),-2.45)</f>
        <v>-2.45</v>
      </c>
      <c r="K121" s="517">
        <f>IFERROR(__xludf.DUMMYFUNCTION("googlefinance(E121,""price"")"),31.61)</f>
        <v>31.61</v>
      </c>
      <c r="L121" s="528"/>
      <c r="M121" s="517">
        <f t="shared" si="38"/>
        <v>-14.01</v>
      </c>
      <c r="N121" s="518">
        <f t="shared" si="39"/>
        <v>-0.3071021482</v>
      </c>
      <c r="O121" s="514">
        <f t="shared" si="40"/>
        <v>-21015</v>
      </c>
      <c r="P121" s="538">
        <v>0.0137</v>
      </c>
      <c r="Q121" s="528"/>
      <c r="R121" s="257"/>
      <c r="S121" s="257"/>
      <c r="T121" s="257"/>
      <c r="U121" s="257"/>
      <c r="V121" s="657"/>
      <c r="W121" s="257"/>
      <c r="X121" s="258"/>
      <c r="Y121" s="658"/>
    </row>
    <row r="122">
      <c r="A122" s="528"/>
      <c r="B122" s="528"/>
      <c r="C122" s="512">
        <f>H122/E170</f>
        <v>0.006643758913</v>
      </c>
      <c r="D122" s="104" t="s">
        <v>175</v>
      </c>
      <c r="E122" s="104" t="s">
        <v>176</v>
      </c>
      <c r="F122" s="195">
        <v>8.2</v>
      </c>
      <c r="G122" s="217">
        <v>59200.0</v>
      </c>
      <c r="H122" s="514">
        <f t="shared" si="37"/>
        <v>48600</v>
      </c>
      <c r="I122" s="216">
        <v>5.92</v>
      </c>
      <c r="J122" s="568">
        <f>IFERROR(__xludf.DUMMYFUNCTION("GOOGLEFINANCE(E122,""changepct"")"),-2.99)</f>
        <v>-2.99</v>
      </c>
      <c r="K122" s="517">
        <f>IFERROR(__xludf.DUMMYFUNCTION("googlefinance(E122,""price"")"),4.86)</f>
        <v>4.86</v>
      </c>
      <c r="L122" s="528"/>
      <c r="M122" s="517">
        <f t="shared" si="38"/>
        <v>-1.06</v>
      </c>
      <c r="N122" s="518">
        <f t="shared" si="39"/>
        <v>-0.1790540541</v>
      </c>
      <c r="O122" s="514">
        <f t="shared" si="40"/>
        <v>-10600</v>
      </c>
      <c r="P122" s="538">
        <v>0.0057</v>
      </c>
      <c r="Q122" s="528"/>
      <c r="R122" s="257"/>
      <c r="S122" s="257"/>
      <c r="T122" s="257"/>
      <c r="U122" s="257"/>
      <c r="V122" s="210" t="s">
        <v>176</v>
      </c>
      <c r="W122" s="211">
        <v>44210.0</v>
      </c>
      <c r="X122" s="212">
        <v>5.92</v>
      </c>
      <c r="Y122" s="213">
        <v>59200.0</v>
      </c>
    </row>
    <row r="123">
      <c r="A123" s="528"/>
      <c r="B123" s="528"/>
      <c r="C123" s="512">
        <f>H123/E170</f>
        <v>0.004028633234</v>
      </c>
      <c r="D123" s="344" t="s">
        <v>783</v>
      </c>
      <c r="E123" s="344" t="s">
        <v>573</v>
      </c>
      <c r="F123" s="528">
        <v>8.1</v>
      </c>
      <c r="G123" s="217">
        <v>60060.0</v>
      </c>
      <c r="H123" s="514">
        <f t="shared" si="37"/>
        <v>29470</v>
      </c>
      <c r="I123" s="216">
        <v>8.58</v>
      </c>
      <c r="J123" s="568">
        <f>IFERROR(__xludf.DUMMYFUNCTION("GOOGLEFINANCE(E123,""changepct"")"),-2.55)</f>
        <v>-2.55</v>
      </c>
      <c r="K123" s="517">
        <f>IFERROR(__xludf.DUMMYFUNCTION("googlefinance(E123,""price"")"),4.21)</f>
        <v>4.21</v>
      </c>
      <c r="L123" s="528"/>
      <c r="M123" s="517">
        <f t="shared" si="38"/>
        <v>-4.37</v>
      </c>
      <c r="N123" s="518">
        <f t="shared" si="39"/>
        <v>-0.5093240093</v>
      </c>
      <c r="O123" s="514">
        <f t="shared" si="40"/>
        <v>-30590</v>
      </c>
      <c r="P123" s="528"/>
      <c r="Q123" s="528"/>
      <c r="R123" s="257"/>
      <c r="S123" s="257"/>
      <c r="T123" s="257"/>
      <c r="U123" s="257"/>
      <c r="V123" s="657"/>
      <c r="W123" s="257"/>
      <c r="X123" s="258"/>
      <c r="Y123" s="658"/>
    </row>
    <row r="124">
      <c r="A124" s="528"/>
      <c r="B124" s="528"/>
      <c r="C124" s="512">
        <f>H124/E170</f>
        <v>0.002947313625</v>
      </c>
      <c r="D124" s="600" t="s">
        <v>711</v>
      </c>
      <c r="E124" s="344" t="s">
        <v>550</v>
      </c>
      <c r="F124" s="528">
        <v>8.5</v>
      </c>
      <c r="G124" s="217">
        <v>55720.0</v>
      </c>
      <c r="H124" s="514">
        <f t="shared" si="37"/>
        <v>21560</v>
      </c>
      <c r="I124" s="216">
        <v>13.93</v>
      </c>
      <c r="J124" s="568">
        <f>IFERROR(__xludf.DUMMYFUNCTION("GOOGLEFINANCE(E124,""changepct"")"),-2.71)</f>
        <v>-2.71</v>
      </c>
      <c r="K124" s="517">
        <f>IFERROR(__xludf.DUMMYFUNCTION("googlefinance(E124,""price"")"),5.39)</f>
        <v>5.39</v>
      </c>
      <c r="L124" s="528"/>
      <c r="M124" s="517">
        <f t="shared" si="38"/>
        <v>-8.54</v>
      </c>
      <c r="N124" s="518">
        <f t="shared" si="39"/>
        <v>-0.6130653266</v>
      </c>
      <c r="O124" s="514">
        <f t="shared" si="40"/>
        <v>-34160</v>
      </c>
      <c r="P124" s="528"/>
      <c r="Q124" s="528"/>
      <c r="R124" s="257"/>
      <c r="S124" s="257"/>
      <c r="T124" s="257"/>
      <c r="U124" s="257"/>
      <c r="V124" s="657"/>
      <c r="W124" s="257"/>
      <c r="X124" s="258"/>
      <c r="Y124" s="658"/>
    </row>
    <row r="125">
      <c r="A125" s="528"/>
      <c r="B125" s="528"/>
      <c r="C125" s="512">
        <f>H125/E170</f>
        <v>0.005451709989</v>
      </c>
      <c r="D125" s="344" t="s">
        <v>357</v>
      </c>
      <c r="E125" s="344" t="s">
        <v>174</v>
      </c>
      <c r="F125" s="528">
        <v>8.7</v>
      </c>
      <c r="G125" s="217">
        <v>71720.0</v>
      </c>
      <c r="H125" s="514">
        <f t="shared" si="37"/>
        <v>39880</v>
      </c>
      <c r="I125" s="216">
        <v>35.86</v>
      </c>
      <c r="J125" s="568">
        <f>IFERROR(__xludf.DUMMYFUNCTION("GOOGLEFINANCE(E125,""changepct"")"),-3.11)</f>
        <v>-3.11</v>
      </c>
      <c r="K125" s="517">
        <f>IFERROR(__xludf.DUMMYFUNCTION("googlefinance(E125,""price"")"),19.94)</f>
        <v>19.94</v>
      </c>
      <c r="L125" s="528"/>
      <c r="M125" s="517">
        <f t="shared" si="38"/>
        <v>-15.92</v>
      </c>
      <c r="N125" s="518">
        <f t="shared" si="39"/>
        <v>-0.4439486893</v>
      </c>
      <c r="O125" s="514">
        <f t="shared" si="40"/>
        <v>-31840</v>
      </c>
      <c r="P125" s="538">
        <v>0.0081</v>
      </c>
      <c r="Q125" s="528"/>
      <c r="R125" s="257"/>
      <c r="S125" s="257"/>
      <c r="T125" s="257"/>
      <c r="U125" s="257"/>
      <c r="V125" s="657"/>
      <c r="W125" s="257"/>
      <c r="X125" s="258"/>
      <c r="Y125" s="658"/>
    </row>
    <row r="126">
      <c r="A126" s="13"/>
      <c r="B126" s="173"/>
      <c r="C126" s="13"/>
      <c r="D126" s="13"/>
      <c r="E126" s="13"/>
      <c r="F126" s="13"/>
      <c r="G126" s="509">
        <f t="shared" ref="G126:H126" si="41">SUM(G102:G125)</f>
        <v>1986280</v>
      </c>
      <c r="H126" s="539" t="str">
        <f t="shared" si="41"/>
        <v>#N/A</v>
      </c>
      <c r="I126" s="506"/>
      <c r="J126" s="506"/>
      <c r="K126" s="506"/>
      <c r="L126" s="507"/>
      <c r="M126" s="507"/>
      <c r="N126" s="540" t="str">
        <f>O126/G126</f>
        <v>#N/A</v>
      </c>
      <c r="O126" s="507" t="str">
        <f>SUM(O102:O125)</f>
        <v>#N/A</v>
      </c>
      <c r="P126" s="13"/>
      <c r="Q126" s="13"/>
      <c r="R126" s="238" t="s">
        <v>89</v>
      </c>
      <c r="S126" s="239"/>
      <c r="T126" s="239"/>
      <c r="U126" s="240"/>
      <c r="V126" s="238" t="s">
        <v>89</v>
      </c>
      <c r="W126" s="239"/>
      <c r="X126" s="239"/>
      <c r="Y126" s="240">
        <f>SUM(Y102:Y125)</f>
        <v>520475</v>
      </c>
    </row>
    <row r="127">
      <c r="A127" s="13" t="s">
        <v>826</v>
      </c>
      <c r="B127" s="173"/>
      <c r="C127" s="13" t="s">
        <v>729</v>
      </c>
      <c r="D127" s="13" t="s">
        <v>827</v>
      </c>
      <c r="E127" s="13" t="s">
        <v>4</v>
      </c>
      <c r="F127" s="13" t="s">
        <v>5</v>
      </c>
      <c r="G127" s="13" t="s">
        <v>230</v>
      </c>
      <c r="H127" s="649" t="s">
        <v>730</v>
      </c>
      <c r="I127" s="505" t="s">
        <v>798</v>
      </c>
      <c r="J127" s="506" t="s">
        <v>10</v>
      </c>
      <c r="K127" s="506" t="s">
        <v>11</v>
      </c>
      <c r="L127" s="507" t="s">
        <v>476</v>
      </c>
      <c r="M127" s="507" t="s">
        <v>13</v>
      </c>
      <c r="N127" s="660" t="s">
        <v>799</v>
      </c>
      <c r="O127" s="508" t="s">
        <v>800</v>
      </c>
      <c r="P127" s="13" t="s">
        <v>16</v>
      </c>
      <c r="Q127" s="13" t="s">
        <v>17</v>
      </c>
      <c r="R127" s="238" t="s">
        <v>21</v>
      </c>
      <c r="S127" s="238" t="s">
        <v>22</v>
      </c>
      <c r="T127" s="656" t="s">
        <v>23</v>
      </c>
      <c r="U127" s="656" t="s">
        <v>24</v>
      </c>
      <c r="V127" s="238" t="s">
        <v>25</v>
      </c>
      <c r="W127" s="238" t="s">
        <v>26</v>
      </c>
      <c r="X127" s="238" t="s">
        <v>27</v>
      </c>
      <c r="Y127" s="238" t="s">
        <v>28</v>
      </c>
    </row>
    <row r="128">
      <c r="A128" s="565" t="s">
        <v>733</v>
      </c>
      <c r="B128" s="527">
        <f>B167</f>
        <v>0.04321245702</v>
      </c>
      <c r="C128" s="512">
        <f>H128/E170</f>
        <v>0.01800376644</v>
      </c>
      <c r="D128" s="344" t="s">
        <v>828</v>
      </c>
      <c r="E128" s="344" t="s">
        <v>408</v>
      </c>
      <c r="F128" s="528">
        <v>8.4</v>
      </c>
      <c r="G128" s="217">
        <v>236595.0</v>
      </c>
      <c r="H128" s="514">
        <f t="shared" ref="H128:H129" si="42">G128+O128</f>
        <v>131700</v>
      </c>
      <c r="I128" s="216">
        <v>157.73</v>
      </c>
      <c r="J128" s="664">
        <f>IFERROR(__xludf.DUMMYFUNCTION("GOOGLEFINANCE(E128,""changepct"")"),0.8)</f>
        <v>0.8</v>
      </c>
      <c r="K128" s="516">
        <f>IFERROR(__xludf.DUMMYFUNCTION("googlefinance(E128,""price"")"),87.8)</f>
        <v>87.8</v>
      </c>
      <c r="L128" s="528"/>
      <c r="M128" s="517">
        <f t="shared" ref="M128:M129" si="43">K128-I128</f>
        <v>-69.93</v>
      </c>
      <c r="N128" s="518">
        <f t="shared" ref="N128:N129" si="44">K128/I128-1</f>
        <v>-0.4433525645</v>
      </c>
      <c r="O128" s="514">
        <f t="shared" ref="O128:O129" si="45">G128*N128</f>
        <v>-104895</v>
      </c>
      <c r="P128" s="538">
        <v>0.0156</v>
      </c>
      <c r="Q128" s="528"/>
      <c r="R128" s="257"/>
      <c r="S128" s="257"/>
      <c r="T128" s="257"/>
      <c r="U128" s="257"/>
      <c r="V128" s="257"/>
      <c r="W128" s="257"/>
      <c r="X128" s="257"/>
      <c r="Y128" s="257"/>
    </row>
    <row r="129">
      <c r="A129" s="528"/>
      <c r="B129" s="528"/>
      <c r="C129" s="512">
        <f>H129/E170</f>
        <v>0.01266141874</v>
      </c>
      <c r="D129" s="344" t="s">
        <v>829</v>
      </c>
      <c r="E129" s="344" t="s">
        <v>639</v>
      </c>
      <c r="F129" s="528">
        <v>8.2</v>
      </c>
      <c r="G129" s="217">
        <v>119950.0</v>
      </c>
      <c r="H129" s="514">
        <f t="shared" si="42"/>
        <v>92620</v>
      </c>
      <c r="I129" s="216">
        <v>119.95</v>
      </c>
      <c r="J129" s="515">
        <f>IFERROR(__xludf.DUMMYFUNCTION("GOOGLEFINANCE(E129,""changepct"")"),0.59)</f>
        <v>0.59</v>
      </c>
      <c r="K129" s="517">
        <f>IFERROR(__xludf.DUMMYFUNCTION("googlefinance(E129,""price"")"),92.62)</f>
        <v>92.62</v>
      </c>
      <c r="L129" s="528"/>
      <c r="M129" s="517">
        <f t="shared" si="43"/>
        <v>-27.33</v>
      </c>
      <c r="N129" s="518">
        <f t="shared" si="44"/>
        <v>-0.2278449354</v>
      </c>
      <c r="O129" s="514">
        <f t="shared" si="45"/>
        <v>-27330</v>
      </c>
      <c r="P129" s="538">
        <v>0.0121</v>
      </c>
      <c r="Q129" s="528"/>
      <c r="R129" s="257"/>
      <c r="S129" s="257"/>
      <c r="T129" s="257"/>
      <c r="U129" s="257"/>
      <c r="V129" s="257"/>
      <c r="W129" s="257"/>
      <c r="X129" s="257"/>
      <c r="Y129" s="257"/>
    </row>
    <row r="130">
      <c r="A130" s="173"/>
      <c r="B130" s="173"/>
      <c r="C130" s="173"/>
      <c r="D130" s="173"/>
      <c r="E130" s="173"/>
      <c r="F130" s="173"/>
      <c r="G130" s="509">
        <f t="shared" ref="G130:H130" si="46">SUM(G128:G129)</f>
        <v>356545</v>
      </c>
      <c r="H130" s="509">
        <f t="shared" si="46"/>
        <v>224320</v>
      </c>
      <c r="I130" s="607"/>
      <c r="J130" s="173"/>
      <c r="K130" s="173"/>
      <c r="L130" s="173"/>
      <c r="M130" s="507"/>
      <c r="N130" s="540">
        <f>O130/G130</f>
        <v>-0.3708508042</v>
      </c>
      <c r="O130" s="509">
        <f>SUM(O128:O129)</f>
        <v>-132225</v>
      </c>
      <c r="P130" s="173"/>
      <c r="Q130" s="173"/>
      <c r="R130" s="238" t="s">
        <v>89</v>
      </c>
      <c r="S130" s="239"/>
      <c r="T130" s="239"/>
      <c r="U130" s="240"/>
      <c r="V130" s="238" t="s">
        <v>89</v>
      </c>
      <c r="W130" s="239"/>
      <c r="X130" s="239"/>
      <c r="Y130" s="240"/>
    </row>
    <row r="131">
      <c r="A131" s="13" t="s">
        <v>784</v>
      </c>
      <c r="B131" s="13" t="s">
        <v>830</v>
      </c>
      <c r="C131" s="13" t="s">
        <v>729</v>
      </c>
      <c r="D131" s="13" t="s">
        <v>182</v>
      </c>
      <c r="E131" s="13" t="s">
        <v>4</v>
      </c>
      <c r="F131" s="13" t="s">
        <v>5</v>
      </c>
      <c r="G131" s="13" t="s">
        <v>229</v>
      </c>
      <c r="H131" s="649" t="s">
        <v>786</v>
      </c>
      <c r="I131" s="505" t="s">
        <v>798</v>
      </c>
      <c r="J131" s="506" t="s">
        <v>10</v>
      </c>
      <c r="K131" s="506" t="s">
        <v>11</v>
      </c>
      <c r="L131" s="507" t="s">
        <v>476</v>
      </c>
      <c r="M131" s="507" t="s">
        <v>13</v>
      </c>
      <c r="N131" s="660" t="s">
        <v>799</v>
      </c>
      <c r="O131" s="508" t="s">
        <v>800</v>
      </c>
      <c r="P131" s="13" t="s">
        <v>16</v>
      </c>
      <c r="Q131" s="13" t="s">
        <v>17</v>
      </c>
      <c r="R131" s="238" t="s">
        <v>21</v>
      </c>
      <c r="S131" s="238" t="s">
        <v>22</v>
      </c>
      <c r="T131" s="656" t="s">
        <v>23</v>
      </c>
      <c r="U131" s="656" t="s">
        <v>24</v>
      </c>
      <c r="V131" s="238" t="s">
        <v>25</v>
      </c>
      <c r="W131" s="238" t="s">
        <v>26</v>
      </c>
      <c r="X131" s="238" t="s">
        <v>27</v>
      </c>
      <c r="Y131" s="238" t="s">
        <v>28</v>
      </c>
    </row>
    <row r="132">
      <c r="A132" s="565" t="s">
        <v>733</v>
      </c>
      <c r="B132" s="527">
        <f>B168</f>
        <v>0.1541003476</v>
      </c>
      <c r="C132" s="512">
        <f>H132/E170</f>
        <v>0</v>
      </c>
      <c r="D132" s="601" t="s">
        <v>413</v>
      </c>
      <c r="E132" s="344" t="s">
        <v>185</v>
      </c>
      <c r="F132" s="528">
        <v>8.1</v>
      </c>
      <c r="G132" s="217">
        <v>290020.0</v>
      </c>
      <c r="H132" s="217">
        <v>0.0</v>
      </c>
      <c r="I132" s="216">
        <v>29002.0</v>
      </c>
      <c r="J132" s="568"/>
      <c r="K132" s="516"/>
      <c r="L132" s="217">
        <v>40813.0</v>
      </c>
      <c r="M132" s="517">
        <f t="shared" ref="M132:M162" si="47">K132-I132</f>
        <v>-29002</v>
      </c>
      <c r="N132" s="518">
        <f>L132/I132-1</f>
        <v>0.407247776</v>
      </c>
      <c r="O132" s="495">
        <f t="shared" ref="O132:O162" si="48">G132*N132</f>
        <v>118110</v>
      </c>
      <c r="P132" s="528"/>
      <c r="Q132" s="528"/>
      <c r="R132" s="210" t="s">
        <v>186</v>
      </c>
      <c r="S132" s="211">
        <v>44206.0</v>
      </c>
      <c r="T132" s="213">
        <v>40813.0</v>
      </c>
      <c r="U132" s="213">
        <v>408130.0</v>
      </c>
      <c r="V132" s="657"/>
      <c r="W132" s="257"/>
      <c r="X132" s="658"/>
      <c r="Y132" s="658"/>
    </row>
    <row r="133">
      <c r="A133" s="528"/>
      <c r="B133" s="528"/>
      <c r="C133" s="512">
        <f>H133/E170</f>
        <v>0</v>
      </c>
      <c r="D133" s="601" t="s">
        <v>413</v>
      </c>
      <c r="E133" s="344" t="s">
        <v>185</v>
      </c>
      <c r="F133" s="528">
        <v>8.1</v>
      </c>
      <c r="G133" s="217">
        <v>125000.0</v>
      </c>
      <c r="H133" s="217">
        <f>G133+O133</f>
        <v>0</v>
      </c>
      <c r="I133" s="216">
        <v>34104.0</v>
      </c>
      <c r="J133" s="568"/>
      <c r="K133" s="516"/>
      <c r="L133" s="217"/>
      <c r="M133" s="517">
        <f t="shared" si="47"/>
        <v>-34104</v>
      </c>
      <c r="N133" s="518">
        <f>K133/I133-1</f>
        <v>-1</v>
      </c>
      <c r="O133" s="495">
        <f t="shared" si="48"/>
        <v>-125000</v>
      </c>
      <c r="P133" s="528"/>
      <c r="Q133" s="528"/>
      <c r="R133" s="210"/>
      <c r="S133" s="211"/>
      <c r="T133" s="213"/>
      <c r="U133" s="213"/>
      <c r="V133" s="210" t="s">
        <v>186</v>
      </c>
      <c r="W133" s="211">
        <v>44207.0</v>
      </c>
      <c r="X133" s="213">
        <v>34104.0</v>
      </c>
      <c r="Y133" s="213">
        <v>125000.0</v>
      </c>
    </row>
    <row r="134">
      <c r="A134" s="528"/>
      <c r="B134" s="528"/>
      <c r="C134" s="512">
        <f>H134/E170</f>
        <v>0</v>
      </c>
      <c r="D134" s="601" t="s">
        <v>413</v>
      </c>
      <c r="E134" s="344" t="s">
        <v>185</v>
      </c>
      <c r="F134" s="528">
        <v>8.1</v>
      </c>
      <c r="G134" s="217">
        <v>145000.0</v>
      </c>
      <c r="H134" s="217">
        <v>0.0</v>
      </c>
      <c r="I134" s="216">
        <v>40813.0</v>
      </c>
      <c r="J134" s="568"/>
      <c r="K134" s="516"/>
      <c r="L134" s="217">
        <v>37354.0</v>
      </c>
      <c r="M134" s="517">
        <f t="shared" si="47"/>
        <v>-40813</v>
      </c>
      <c r="N134" s="518">
        <f>L134/I134-1</f>
        <v>-0.08475240732</v>
      </c>
      <c r="O134" s="495">
        <f t="shared" si="48"/>
        <v>-12289.09906</v>
      </c>
      <c r="P134" s="528"/>
      <c r="Q134" s="528"/>
      <c r="R134" s="210" t="s">
        <v>186</v>
      </c>
      <c r="S134" s="211">
        <v>44211.0</v>
      </c>
      <c r="T134" s="213">
        <v>37354.0</v>
      </c>
      <c r="U134" s="213">
        <v>132711.0</v>
      </c>
      <c r="V134" s="210" t="s">
        <v>186</v>
      </c>
      <c r="W134" s="211">
        <v>44206.0</v>
      </c>
      <c r="X134" s="213">
        <v>40813.0</v>
      </c>
      <c r="Y134" s="213">
        <v>145000.0</v>
      </c>
    </row>
    <row r="135">
      <c r="A135" s="528"/>
      <c r="B135" s="528"/>
      <c r="C135" s="512">
        <f>H135/E170</f>
        <v>0</v>
      </c>
      <c r="D135" s="601" t="s">
        <v>413</v>
      </c>
      <c r="E135" s="344" t="s">
        <v>185</v>
      </c>
      <c r="F135" s="528">
        <v>8.1</v>
      </c>
      <c r="G135" s="217">
        <v>75000.0</v>
      </c>
      <c r="H135" s="217">
        <f t="shared" ref="H135:H136" si="49">G135+O135</f>
        <v>0</v>
      </c>
      <c r="I135" s="216">
        <v>46815.0</v>
      </c>
      <c r="J135" s="568"/>
      <c r="K135" s="516"/>
      <c r="L135" s="215"/>
      <c r="M135" s="517">
        <f t="shared" si="47"/>
        <v>-46815</v>
      </c>
      <c r="N135" s="518">
        <f t="shared" ref="N135:N136" si="50">K135/I135-1</f>
        <v>-1</v>
      </c>
      <c r="O135" s="514">
        <f t="shared" si="48"/>
        <v>-75000</v>
      </c>
      <c r="P135" s="528"/>
      <c r="Q135" s="528"/>
      <c r="R135" s="210"/>
      <c r="S135" s="211"/>
      <c r="T135" s="230"/>
      <c r="U135" s="213"/>
      <c r="V135" s="210" t="s">
        <v>186</v>
      </c>
      <c r="W135" s="211">
        <v>44239.0</v>
      </c>
      <c r="X135" s="213">
        <v>46815.0</v>
      </c>
      <c r="Y135" s="213">
        <v>75000.0</v>
      </c>
    </row>
    <row r="136">
      <c r="A136" s="528"/>
      <c r="B136" s="528"/>
      <c r="C136" s="512">
        <f>H136/E170</f>
        <v>0</v>
      </c>
      <c r="D136" s="104" t="s">
        <v>831</v>
      </c>
      <c r="E136" s="104" t="s">
        <v>219</v>
      </c>
      <c r="F136" s="195">
        <v>8.0</v>
      </c>
      <c r="G136" s="217">
        <v>75000.0</v>
      </c>
      <c r="H136" s="217">
        <f t="shared" si="49"/>
        <v>0</v>
      </c>
      <c r="I136" s="216">
        <v>11.289</v>
      </c>
      <c r="J136" s="568"/>
      <c r="K136" s="516"/>
      <c r="L136" s="215"/>
      <c r="M136" s="517">
        <f t="shared" si="47"/>
        <v>-11.289</v>
      </c>
      <c r="N136" s="518">
        <f t="shared" si="50"/>
        <v>-1</v>
      </c>
      <c r="O136" s="514">
        <f t="shared" si="48"/>
        <v>-75000</v>
      </c>
      <c r="P136" s="528"/>
      <c r="Q136" s="528"/>
      <c r="R136" s="210"/>
      <c r="S136" s="211"/>
      <c r="T136" s="230"/>
      <c r="U136" s="213"/>
      <c r="V136" s="210" t="s">
        <v>220</v>
      </c>
      <c r="W136" s="211">
        <v>44258.0</v>
      </c>
      <c r="X136" s="230">
        <v>11.289</v>
      </c>
      <c r="Y136" s="213">
        <v>75000.0</v>
      </c>
    </row>
    <row r="137">
      <c r="A137" s="528"/>
      <c r="B137" s="528"/>
      <c r="C137" s="512">
        <f>H137/E170</f>
        <v>0</v>
      </c>
      <c r="D137" s="104" t="s">
        <v>831</v>
      </c>
      <c r="E137" s="104" t="s">
        <v>219</v>
      </c>
      <c r="F137" s="195">
        <v>8.0</v>
      </c>
      <c r="G137" s="217">
        <v>75000.0</v>
      </c>
      <c r="H137" s="217">
        <v>0.0</v>
      </c>
      <c r="I137" s="216">
        <v>11.38</v>
      </c>
      <c r="J137" s="568"/>
      <c r="K137" s="516"/>
      <c r="L137" s="215">
        <v>16.83</v>
      </c>
      <c r="M137" s="517">
        <f t="shared" si="47"/>
        <v>-11.38</v>
      </c>
      <c r="N137" s="518">
        <f t="shared" ref="N137:N139" si="51">L137/I137-1</f>
        <v>0.4789103691</v>
      </c>
      <c r="O137" s="514">
        <f t="shared" si="48"/>
        <v>35918.27768</v>
      </c>
      <c r="P137" s="528"/>
      <c r="Q137" s="528"/>
      <c r="R137" s="210" t="s">
        <v>220</v>
      </c>
      <c r="S137" s="211">
        <v>44241.0</v>
      </c>
      <c r="T137" s="230">
        <v>16.83</v>
      </c>
      <c r="U137" s="213">
        <v>110918.0</v>
      </c>
      <c r="V137" s="210" t="s">
        <v>220</v>
      </c>
      <c r="W137" s="211">
        <v>44239.0</v>
      </c>
      <c r="X137" s="230">
        <v>11.38</v>
      </c>
      <c r="Y137" s="213">
        <v>75000.0</v>
      </c>
    </row>
    <row r="138">
      <c r="A138" s="528"/>
      <c r="B138" s="528"/>
      <c r="C138" s="512">
        <f>H138/E170</f>
        <v>0</v>
      </c>
      <c r="D138" s="104" t="s">
        <v>831</v>
      </c>
      <c r="E138" s="104" t="s">
        <v>219</v>
      </c>
      <c r="F138" s="195">
        <v>8.0</v>
      </c>
      <c r="G138" s="217">
        <v>75000.0</v>
      </c>
      <c r="H138" s="217">
        <v>0.0</v>
      </c>
      <c r="I138" s="216">
        <v>6.901</v>
      </c>
      <c r="J138" s="568"/>
      <c r="K138" s="516"/>
      <c r="L138" s="215">
        <v>7.63</v>
      </c>
      <c r="M138" s="216">
        <f t="shared" si="47"/>
        <v>-6.901</v>
      </c>
      <c r="N138" s="518">
        <f t="shared" si="51"/>
        <v>0.1056368642</v>
      </c>
      <c r="O138" s="514">
        <f t="shared" si="48"/>
        <v>7922.764817</v>
      </c>
      <c r="P138" s="528"/>
      <c r="Q138" s="528"/>
      <c r="R138" s="210" t="s">
        <v>220</v>
      </c>
      <c r="S138" s="211">
        <v>44211.0</v>
      </c>
      <c r="T138" s="230">
        <v>7.63</v>
      </c>
      <c r="U138" s="213">
        <v>82923.0</v>
      </c>
      <c r="V138" s="210" t="s">
        <v>220</v>
      </c>
      <c r="W138" s="211">
        <v>44207.0</v>
      </c>
      <c r="X138" s="230">
        <v>6.901</v>
      </c>
      <c r="Y138" s="213">
        <v>75000.0</v>
      </c>
    </row>
    <row r="139">
      <c r="A139" s="528"/>
      <c r="B139" s="528"/>
      <c r="C139" s="512">
        <f>H139/E170</f>
        <v>0</v>
      </c>
      <c r="D139" s="344" t="s">
        <v>187</v>
      </c>
      <c r="E139" s="344" t="s">
        <v>188</v>
      </c>
      <c r="F139" s="528">
        <v>8.1</v>
      </c>
      <c r="G139" s="217">
        <v>88000.0</v>
      </c>
      <c r="H139" s="217">
        <v>0.0</v>
      </c>
      <c r="I139" s="216">
        <v>737.0</v>
      </c>
      <c r="J139" s="568"/>
      <c r="K139" s="516"/>
      <c r="L139" s="217">
        <v>1325.0</v>
      </c>
      <c r="M139" s="517">
        <f t="shared" si="47"/>
        <v>-737</v>
      </c>
      <c r="N139" s="518">
        <f t="shared" si="51"/>
        <v>0.7978290366</v>
      </c>
      <c r="O139" s="514">
        <f t="shared" si="48"/>
        <v>70208.95522</v>
      </c>
      <c r="P139" s="528"/>
      <c r="Q139" s="528"/>
      <c r="R139" s="210" t="s">
        <v>189</v>
      </c>
      <c r="S139" s="211">
        <v>44206.0</v>
      </c>
      <c r="T139" s="213">
        <v>1325.0</v>
      </c>
      <c r="U139" s="213">
        <v>158208.96</v>
      </c>
      <c r="V139" s="657"/>
      <c r="W139" s="257"/>
      <c r="X139" s="658"/>
      <c r="Y139" s="658"/>
    </row>
    <row r="140">
      <c r="A140" s="528"/>
      <c r="B140" s="528"/>
      <c r="C140" s="512">
        <f>H140/E170</f>
        <v>0</v>
      </c>
      <c r="D140" s="104" t="s">
        <v>712</v>
      </c>
      <c r="E140" s="104" t="s">
        <v>713</v>
      </c>
      <c r="F140" s="569">
        <v>8.2</v>
      </c>
      <c r="G140" s="217">
        <v>88000.0</v>
      </c>
      <c r="H140" s="514">
        <f t="shared" ref="H140:H141" si="52">G140+O140</f>
        <v>0</v>
      </c>
      <c r="I140" s="641">
        <v>0.0474</v>
      </c>
      <c r="J140" s="568"/>
      <c r="K140" s="516"/>
      <c r="L140" s="517"/>
      <c r="M140" s="517">
        <f t="shared" si="47"/>
        <v>-0.0474</v>
      </c>
      <c r="N140" s="518">
        <f t="shared" ref="N140:N141" si="53">K140/I140-1</f>
        <v>-1</v>
      </c>
      <c r="O140" s="514">
        <f t="shared" si="48"/>
        <v>-88000</v>
      </c>
      <c r="P140" s="528"/>
      <c r="Q140" s="528"/>
      <c r="R140" s="657"/>
      <c r="S140" s="257"/>
      <c r="T140" s="258"/>
      <c r="U140" s="258"/>
      <c r="V140" s="210" t="s">
        <v>724</v>
      </c>
      <c r="W140" s="211">
        <v>44258.0</v>
      </c>
      <c r="X140" s="665">
        <v>0.0474</v>
      </c>
      <c r="Y140" s="213">
        <v>88000.0</v>
      </c>
    </row>
    <row r="141">
      <c r="A141" s="528"/>
      <c r="B141" s="528"/>
      <c r="C141" s="512">
        <f>H141/E170</f>
        <v>0</v>
      </c>
      <c r="D141" s="104" t="s">
        <v>197</v>
      </c>
      <c r="E141" s="344" t="s">
        <v>198</v>
      </c>
      <c r="F141" s="569">
        <v>8.2</v>
      </c>
      <c r="G141" s="217">
        <v>100000.0</v>
      </c>
      <c r="H141" s="514">
        <f t="shared" si="52"/>
        <v>0</v>
      </c>
      <c r="I141" s="641">
        <v>0.12322</v>
      </c>
      <c r="J141" s="568"/>
      <c r="K141" s="516"/>
      <c r="L141" s="517"/>
      <c r="M141" s="517">
        <f t="shared" si="47"/>
        <v>-0.12322</v>
      </c>
      <c r="N141" s="518">
        <f t="shared" si="53"/>
        <v>-1</v>
      </c>
      <c r="O141" s="514">
        <f t="shared" si="48"/>
        <v>-100000</v>
      </c>
      <c r="P141" s="528"/>
      <c r="Q141" s="528"/>
      <c r="R141" s="657"/>
      <c r="S141" s="257"/>
      <c r="T141" s="258"/>
      <c r="U141" s="258"/>
      <c r="V141" s="210" t="s">
        <v>199</v>
      </c>
      <c r="W141" s="211">
        <v>44258.0</v>
      </c>
      <c r="X141" s="665">
        <v>0.12322</v>
      </c>
      <c r="Y141" s="213">
        <v>100000.0</v>
      </c>
    </row>
    <row r="142">
      <c r="A142" s="528"/>
      <c r="B142" s="528"/>
      <c r="C142" s="512">
        <f>H142/E170</f>
        <v>0</v>
      </c>
      <c r="D142" s="104" t="s">
        <v>197</v>
      </c>
      <c r="E142" s="344" t="s">
        <v>198</v>
      </c>
      <c r="F142" s="569">
        <v>8.2</v>
      </c>
      <c r="G142" s="217">
        <v>75000.0</v>
      </c>
      <c r="H142" s="217">
        <v>0.0</v>
      </c>
      <c r="I142" s="641">
        <v>0.10904</v>
      </c>
      <c r="J142" s="568"/>
      <c r="K142" s="516"/>
      <c r="L142" s="216">
        <v>0.194</v>
      </c>
      <c r="M142" s="517">
        <f t="shared" si="47"/>
        <v>-0.10904</v>
      </c>
      <c r="N142" s="518">
        <f t="shared" ref="N142:N144" si="54">L142/I142-1</f>
        <v>0.7791636097</v>
      </c>
      <c r="O142" s="514">
        <f t="shared" si="48"/>
        <v>58437.27073</v>
      </c>
      <c r="P142" s="528"/>
      <c r="Q142" s="528"/>
      <c r="R142" s="210" t="s">
        <v>199</v>
      </c>
      <c r="S142" s="211">
        <v>44267.0</v>
      </c>
      <c r="T142" s="212">
        <v>0.194</v>
      </c>
      <c r="U142" s="213">
        <v>133437.0</v>
      </c>
      <c r="V142" s="210" t="s">
        <v>199</v>
      </c>
      <c r="W142" s="211">
        <v>44239.0</v>
      </c>
      <c r="X142" s="665">
        <v>0.1094</v>
      </c>
      <c r="Y142" s="213">
        <v>75000.0</v>
      </c>
    </row>
    <row r="143">
      <c r="A143" s="528"/>
      <c r="B143" s="528"/>
      <c r="C143" s="512">
        <f>H143/E170</f>
        <v>0</v>
      </c>
      <c r="D143" s="104" t="s">
        <v>197</v>
      </c>
      <c r="E143" s="344" t="s">
        <v>198</v>
      </c>
      <c r="F143" s="569">
        <v>8.2</v>
      </c>
      <c r="G143" s="217">
        <v>45000.0</v>
      </c>
      <c r="H143" s="217">
        <v>0.0</v>
      </c>
      <c r="I143" s="641">
        <v>0.06248</v>
      </c>
      <c r="J143" s="568"/>
      <c r="K143" s="516"/>
      <c r="L143" s="641">
        <v>0.1521</v>
      </c>
      <c r="M143" s="517">
        <f t="shared" si="47"/>
        <v>-0.06248</v>
      </c>
      <c r="N143" s="518">
        <f t="shared" si="54"/>
        <v>1.434379001</v>
      </c>
      <c r="O143" s="514">
        <f t="shared" si="48"/>
        <v>64547.05506</v>
      </c>
      <c r="P143" s="528"/>
      <c r="Q143" s="528"/>
      <c r="R143" s="210" t="s">
        <v>199</v>
      </c>
      <c r="S143" s="211">
        <v>44240.0</v>
      </c>
      <c r="T143" s="665">
        <v>0.1521</v>
      </c>
      <c r="U143" s="213">
        <v>109547.0</v>
      </c>
      <c r="V143" s="210" t="s">
        <v>199</v>
      </c>
      <c r="W143" s="211">
        <v>44207.0</v>
      </c>
      <c r="X143" s="665">
        <v>0.06248</v>
      </c>
      <c r="Y143" s="213">
        <v>45000.0</v>
      </c>
    </row>
    <row r="144">
      <c r="A144" s="528"/>
      <c r="B144" s="528"/>
      <c r="C144" s="512">
        <f>H144/E170</f>
        <v>0</v>
      </c>
      <c r="D144" s="104" t="s">
        <v>197</v>
      </c>
      <c r="E144" s="344" t="s">
        <v>198</v>
      </c>
      <c r="F144" s="569">
        <v>8.2</v>
      </c>
      <c r="G144" s="217">
        <v>82000.0</v>
      </c>
      <c r="H144" s="217">
        <v>0.0</v>
      </c>
      <c r="I144" s="641">
        <v>0.082</v>
      </c>
      <c r="J144" s="568"/>
      <c r="K144" s="516"/>
      <c r="L144" s="639">
        <v>0.095</v>
      </c>
      <c r="M144" s="517">
        <f t="shared" si="47"/>
        <v>-0.082</v>
      </c>
      <c r="N144" s="518">
        <f t="shared" si="54"/>
        <v>0.1585365854</v>
      </c>
      <c r="O144" s="514">
        <f t="shared" si="48"/>
        <v>13000</v>
      </c>
      <c r="P144" s="528"/>
      <c r="Q144" s="528"/>
      <c r="R144" s="210" t="s">
        <v>199</v>
      </c>
      <c r="S144" s="211">
        <v>44236.0</v>
      </c>
      <c r="T144" s="666">
        <v>0.095</v>
      </c>
      <c r="U144" s="258"/>
      <c r="V144" s="657"/>
      <c r="W144" s="257"/>
      <c r="X144" s="658"/>
      <c r="Y144" s="658"/>
    </row>
    <row r="145">
      <c r="A145" s="528"/>
      <c r="B145" s="528"/>
      <c r="C145" s="512">
        <f>H145/E170</f>
        <v>0</v>
      </c>
      <c r="D145" s="344" t="s">
        <v>692</v>
      </c>
      <c r="E145" s="563" t="s">
        <v>418</v>
      </c>
      <c r="F145" s="528">
        <v>7.9</v>
      </c>
      <c r="G145" s="217">
        <v>42000.0</v>
      </c>
      <c r="H145" s="217">
        <f>G145+O145</f>
        <v>0</v>
      </c>
      <c r="I145" s="216">
        <v>90.72</v>
      </c>
      <c r="J145" s="568"/>
      <c r="K145" s="516"/>
      <c r="L145" s="216"/>
      <c r="M145" s="517">
        <f t="shared" si="47"/>
        <v>-90.72</v>
      </c>
      <c r="N145" s="518">
        <f>K145/I145-1</f>
        <v>-1</v>
      </c>
      <c r="O145" s="514">
        <f t="shared" si="48"/>
        <v>-42000</v>
      </c>
      <c r="P145" s="528"/>
      <c r="Q145" s="528"/>
      <c r="R145" s="210"/>
      <c r="S145" s="211"/>
      <c r="T145" s="212"/>
      <c r="U145" s="213"/>
      <c r="V145" s="210" t="s">
        <v>419</v>
      </c>
      <c r="W145" s="211">
        <v>44206.0</v>
      </c>
      <c r="X145" s="230">
        <v>90.72</v>
      </c>
      <c r="Y145" s="213">
        <v>42000.0</v>
      </c>
    </row>
    <row r="146">
      <c r="A146" s="528"/>
      <c r="B146" s="528"/>
      <c r="C146" s="512">
        <f>H146/E170</f>
        <v>0</v>
      </c>
      <c r="D146" s="344" t="s">
        <v>692</v>
      </c>
      <c r="E146" s="563" t="s">
        <v>418</v>
      </c>
      <c r="F146" s="528">
        <v>7.9</v>
      </c>
      <c r="G146" s="217">
        <v>95325.0</v>
      </c>
      <c r="H146" s="217">
        <v>0.0</v>
      </c>
      <c r="I146" s="216">
        <v>63.55</v>
      </c>
      <c r="J146" s="568"/>
      <c r="K146" s="516"/>
      <c r="L146" s="216">
        <v>90.72</v>
      </c>
      <c r="M146" s="517">
        <f t="shared" si="47"/>
        <v>-63.55</v>
      </c>
      <c r="N146" s="518">
        <f t="shared" ref="N146:N150" si="55">L146/I146-1</f>
        <v>0.4275373721</v>
      </c>
      <c r="O146" s="514">
        <f t="shared" si="48"/>
        <v>40755</v>
      </c>
      <c r="P146" s="528"/>
      <c r="Q146" s="528"/>
      <c r="R146" s="210" t="s">
        <v>419</v>
      </c>
      <c r="S146" s="211">
        <v>44206.0</v>
      </c>
      <c r="T146" s="212">
        <v>90.72</v>
      </c>
      <c r="U146" s="213">
        <v>136080.0</v>
      </c>
      <c r="V146" s="657"/>
      <c r="W146" s="257"/>
      <c r="X146" s="658"/>
      <c r="Y146" s="658"/>
    </row>
    <row r="147">
      <c r="A147" s="528"/>
      <c r="B147" s="528"/>
      <c r="C147" s="512">
        <f>H147/E170</f>
        <v>0</v>
      </c>
      <c r="D147" s="104" t="s">
        <v>832</v>
      </c>
      <c r="E147" s="529" t="s">
        <v>204</v>
      </c>
      <c r="F147" s="195">
        <v>7.5</v>
      </c>
      <c r="G147" s="217">
        <v>89000.0</v>
      </c>
      <c r="H147" s="217">
        <v>0.0</v>
      </c>
      <c r="I147" s="216">
        <v>124.0</v>
      </c>
      <c r="J147" s="568"/>
      <c r="K147" s="516"/>
      <c r="L147" s="216">
        <v>181.16</v>
      </c>
      <c r="M147" s="517">
        <f t="shared" si="47"/>
        <v>-124</v>
      </c>
      <c r="N147" s="518">
        <f t="shared" si="55"/>
        <v>0.4609677419</v>
      </c>
      <c r="O147" s="514">
        <f t="shared" si="48"/>
        <v>41026.12903</v>
      </c>
      <c r="P147" s="528"/>
      <c r="Q147" s="528"/>
      <c r="R147" s="210" t="s">
        <v>205</v>
      </c>
      <c r="S147" s="211">
        <v>44206.0</v>
      </c>
      <c r="T147" s="212">
        <v>181.16</v>
      </c>
      <c r="U147" s="213">
        <v>130026.13</v>
      </c>
      <c r="V147" s="657"/>
      <c r="W147" s="257"/>
      <c r="X147" s="658"/>
      <c r="Y147" s="658"/>
    </row>
    <row r="148">
      <c r="A148" s="528"/>
      <c r="B148" s="528"/>
      <c r="C148" s="512">
        <f>H148/E170</f>
        <v>0</v>
      </c>
      <c r="D148" s="344" t="s">
        <v>787</v>
      </c>
      <c r="E148" s="563" t="s">
        <v>788</v>
      </c>
      <c r="F148" s="195">
        <v>7.2</v>
      </c>
      <c r="G148" s="217">
        <v>32000.0</v>
      </c>
      <c r="H148" s="217">
        <v>0.0</v>
      </c>
      <c r="I148" s="639">
        <v>0.832</v>
      </c>
      <c r="J148" s="568"/>
      <c r="K148" s="516"/>
      <c r="L148" s="639">
        <v>1.317</v>
      </c>
      <c r="M148" s="517">
        <f t="shared" si="47"/>
        <v>-0.832</v>
      </c>
      <c r="N148" s="518">
        <f t="shared" si="55"/>
        <v>0.5829326923</v>
      </c>
      <c r="O148" s="514">
        <f t="shared" si="48"/>
        <v>18653.84615</v>
      </c>
      <c r="P148" s="528"/>
      <c r="Q148" s="528"/>
      <c r="R148" s="210" t="s">
        <v>833</v>
      </c>
      <c r="S148" s="211">
        <v>44224.0</v>
      </c>
      <c r="T148" s="666">
        <v>1.317</v>
      </c>
      <c r="U148" s="213">
        <v>50654.0</v>
      </c>
      <c r="V148" s="210" t="s">
        <v>833</v>
      </c>
      <c r="W148" s="211">
        <v>44207.0</v>
      </c>
      <c r="X148" s="666">
        <v>0.832</v>
      </c>
      <c r="Y148" s="213">
        <v>32000.0</v>
      </c>
    </row>
    <row r="149">
      <c r="A149" s="528"/>
      <c r="B149" s="528"/>
      <c r="C149" s="512">
        <f>H149/E170</f>
        <v>0</v>
      </c>
      <c r="D149" s="344" t="s">
        <v>787</v>
      </c>
      <c r="E149" s="563" t="s">
        <v>788</v>
      </c>
      <c r="F149" s="195">
        <v>7.2</v>
      </c>
      <c r="G149" s="217">
        <v>35000.0</v>
      </c>
      <c r="H149" s="217">
        <v>0.0</v>
      </c>
      <c r="I149" s="639">
        <v>1.107</v>
      </c>
      <c r="J149" s="568"/>
      <c r="K149" s="516"/>
      <c r="L149" s="639">
        <v>1.891</v>
      </c>
      <c r="M149" s="517">
        <f t="shared" si="47"/>
        <v>-1.107</v>
      </c>
      <c r="N149" s="518">
        <f t="shared" si="55"/>
        <v>0.7082204155</v>
      </c>
      <c r="O149" s="514">
        <f t="shared" si="48"/>
        <v>24787.71454</v>
      </c>
      <c r="P149" s="528"/>
      <c r="Q149" s="528"/>
      <c r="R149" s="210" t="s">
        <v>833</v>
      </c>
      <c r="S149" s="211">
        <v>44232.0</v>
      </c>
      <c r="T149" s="666">
        <v>1.891</v>
      </c>
      <c r="U149" s="213">
        <v>59788.0</v>
      </c>
      <c r="V149" s="210" t="s">
        <v>833</v>
      </c>
      <c r="W149" s="211">
        <v>44206.0</v>
      </c>
      <c r="X149" s="666">
        <v>1.107</v>
      </c>
      <c r="Y149" s="213">
        <v>35000.0</v>
      </c>
    </row>
    <row r="150">
      <c r="A150" s="528"/>
      <c r="B150" s="528"/>
      <c r="C150" s="512">
        <f>H150/E170</f>
        <v>0</v>
      </c>
      <c r="D150" s="344" t="s">
        <v>787</v>
      </c>
      <c r="E150" s="563" t="s">
        <v>788</v>
      </c>
      <c r="F150" s="195">
        <v>7.2</v>
      </c>
      <c r="G150" s="217">
        <v>70500.0</v>
      </c>
      <c r="H150" s="217">
        <v>0.0</v>
      </c>
      <c r="I150" s="216">
        <v>0.705</v>
      </c>
      <c r="J150" s="568"/>
      <c r="K150" s="516"/>
      <c r="L150" s="639">
        <v>1.107</v>
      </c>
      <c r="M150" s="517">
        <f t="shared" si="47"/>
        <v>-0.705</v>
      </c>
      <c r="N150" s="518">
        <f t="shared" si="55"/>
        <v>0.570212766</v>
      </c>
      <c r="O150" s="514">
        <f t="shared" si="48"/>
        <v>40200</v>
      </c>
      <c r="P150" s="528"/>
      <c r="Q150" s="528"/>
      <c r="R150" s="210" t="s">
        <v>833</v>
      </c>
      <c r="S150" s="211">
        <v>44206.0</v>
      </c>
      <c r="T150" s="666">
        <v>1.107</v>
      </c>
      <c r="U150" s="213">
        <v>110700.0</v>
      </c>
      <c r="V150" s="657"/>
      <c r="W150" s="257"/>
      <c r="X150" s="658"/>
      <c r="Y150" s="658"/>
    </row>
    <row r="151">
      <c r="A151" s="528"/>
      <c r="B151" s="528"/>
      <c r="C151" s="512">
        <f>H151/E170</f>
        <v>0</v>
      </c>
      <c r="D151" s="344" t="s">
        <v>206</v>
      </c>
      <c r="E151" s="344" t="s">
        <v>207</v>
      </c>
      <c r="F151" s="651">
        <v>8.1</v>
      </c>
      <c r="G151" s="217">
        <v>75000.0</v>
      </c>
      <c r="H151" s="217">
        <f t="shared" ref="H151:H152" si="56">G151+O151</f>
        <v>0</v>
      </c>
      <c r="I151" s="216">
        <v>530.94</v>
      </c>
      <c r="J151" s="568"/>
      <c r="K151" s="516"/>
      <c r="L151" s="216"/>
      <c r="M151" s="517">
        <f t="shared" si="47"/>
        <v>-530.94</v>
      </c>
      <c r="N151" s="518">
        <f t="shared" ref="N151:N152" si="57">K151/I151-1</f>
        <v>-1</v>
      </c>
      <c r="O151" s="514">
        <f t="shared" si="48"/>
        <v>-75000</v>
      </c>
      <c r="P151" s="528"/>
      <c r="Q151" s="528"/>
      <c r="R151" s="210"/>
      <c r="S151" s="211"/>
      <c r="T151" s="212"/>
      <c r="U151" s="213"/>
      <c r="V151" s="210" t="s">
        <v>208</v>
      </c>
      <c r="W151" s="211">
        <v>44258.0</v>
      </c>
      <c r="X151" s="213">
        <v>530.94</v>
      </c>
      <c r="Y151" s="213">
        <v>75000.0</v>
      </c>
    </row>
    <row r="152">
      <c r="A152" s="528"/>
      <c r="B152" s="528"/>
      <c r="C152" s="512">
        <f>H152/E170</f>
        <v>0</v>
      </c>
      <c r="D152" s="344" t="s">
        <v>206</v>
      </c>
      <c r="E152" s="344" t="s">
        <v>207</v>
      </c>
      <c r="F152" s="651">
        <v>8.1</v>
      </c>
      <c r="G152" s="217">
        <v>45500.0</v>
      </c>
      <c r="H152" s="217">
        <f t="shared" si="56"/>
        <v>0</v>
      </c>
      <c r="I152" s="216">
        <v>605.34</v>
      </c>
      <c r="J152" s="568"/>
      <c r="K152" s="516"/>
      <c r="L152" s="216"/>
      <c r="M152" s="517">
        <f t="shared" si="47"/>
        <v>-605.34</v>
      </c>
      <c r="N152" s="518">
        <f t="shared" si="57"/>
        <v>-1</v>
      </c>
      <c r="O152" s="514">
        <f t="shared" si="48"/>
        <v>-45500</v>
      </c>
      <c r="P152" s="528"/>
      <c r="Q152" s="528"/>
      <c r="R152" s="210"/>
      <c r="S152" s="211"/>
      <c r="T152" s="212"/>
      <c r="U152" s="213"/>
      <c r="V152" s="210" t="s">
        <v>208</v>
      </c>
      <c r="W152" s="211">
        <v>44206.0</v>
      </c>
      <c r="X152" s="213">
        <v>605.34</v>
      </c>
      <c r="Y152" s="213">
        <v>45500.0</v>
      </c>
    </row>
    <row r="153">
      <c r="A153" s="528"/>
      <c r="B153" s="528"/>
      <c r="C153" s="512">
        <f>H153/E170</f>
        <v>0</v>
      </c>
      <c r="D153" s="344" t="s">
        <v>206</v>
      </c>
      <c r="E153" s="344" t="s">
        <v>207</v>
      </c>
      <c r="F153" s="651">
        <v>8.1</v>
      </c>
      <c r="G153" s="217">
        <v>85000.0</v>
      </c>
      <c r="H153" s="217">
        <v>0.0</v>
      </c>
      <c r="I153" s="216">
        <v>343.0</v>
      </c>
      <c r="J153" s="568"/>
      <c r="K153" s="516"/>
      <c r="L153" s="216">
        <v>605.34</v>
      </c>
      <c r="M153" s="517">
        <f t="shared" si="47"/>
        <v>-343</v>
      </c>
      <c r="N153" s="518">
        <f>L153/I153-1</f>
        <v>0.7648396501</v>
      </c>
      <c r="O153" s="514">
        <f t="shared" si="48"/>
        <v>65011.37026</v>
      </c>
      <c r="P153" s="528"/>
      <c r="Q153" s="528"/>
      <c r="R153" s="210" t="s">
        <v>208</v>
      </c>
      <c r="S153" s="211">
        <v>44206.0</v>
      </c>
      <c r="T153" s="212">
        <v>605.34</v>
      </c>
      <c r="U153" s="213">
        <v>150011.37</v>
      </c>
      <c r="V153" s="657"/>
      <c r="W153" s="257"/>
      <c r="X153" s="658"/>
      <c r="Y153" s="658"/>
    </row>
    <row r="154">
      <c r="A154" s="528"/>
      <c r="B154" s="528"/>
      <c r="C154" s="512">
        <f>H154/E170</f>
        <v>0</v>
      </c>
      <c r="D154" s="344" t="s">
        <v>209</v>
      </c>
      <c r="E154" s="344" t="s">
        <v>210</v>
      </c>
      <c r="F154" s="195">
        <v>8.1</v>
      </c>
      <c r="G154" s="217">
        <v>95000.0</v>
      </c>
      <c r="H154" s="217">
        <f>G154+O154</f>
        <v>0</v>
      </c>
      <c r="I154" s="216">
        <v>30.14</v>
      </c>
      <c r="J154" s="568"/>
      <c r="K154" s="516"/>
      <c r="L154" s="216"/>
      <c r="M154" s="517">
        <f t="shared" si="47"/>
        <v>-30.14</v>
      </c>
      <c r="N154" s="518">
        <f>K154/I154-1</f>
        <v>-1</v>
      </c>
      <c r="O154" s="514">
        <f t="shared" si="48"/>
        <v>-95000</v>
      </c>
      <c r="P154" s="528"/>
      <c r="Q154" s="528"/>
      <c r="R154" s="210"/>
      <c r="S154" s="211"/>
      <c r="T154" s="212"/>
      <c r="U154" s="213"/>
      <c r="V154" s="210" t="s">
        <v>211</v>
      </c>
      <c r="W154" s="211">
        <v>44258.0</v>
      </c>
      <c r="X154" s="230">
        <v>30.14</v>
      </c>
      <c r="Y154" s="213">
        <v>95000.0</v>
      </c>
    </row>
    <row r="155">
      <c r="A155" s="528"/>
      <c r="B155" s="528"/>
      <c r="C155" s="512">
        <f>H155/E170</f>
        <v>0</v>
      </c>
      <c r="D155" s="344" t="s">
        <v>209</v>
      </c>
      <c r="E155" s="344" t="s">
        <v>210</v>
      </c>
      <c r="F155" s="195">
        <v>8.1</v>
      </c>
      <c r="G155" s="217">
        <v>72000.0</v>
      </c>
      <c r="H155" s="217">
        <v>0.0</v>
      </c>
      <c r="I155" s="216">
        <v>15.74</v>
      </c>
      <c r="J155" s="568"/>
      <c r="K155" s="516"/>
      <c r="L155" s="216">
        <v>20.55</v>
      </c>
      <c r="M155" s="517">
        <f t="shared" si="47"/>
        <v>-15.74</v>
      </c>
      <c r="N155" s="518">
        <f t="shared" ref="N155:N156" si="58">L155/I155-1</f>
        <v>0.3055908513</v>
      </c>
      <c r="O155" s="514">
        <f t="shared" si="48"/>
        <v>22002.5413</v>
      </c>
      <c r="P155" s="528"/>
      <c r="Q155" s="528"/>
      <c r="R155" s="210" t="s">
        <v>211</v>
      </c>
      <c r="S155" s="211">
        <v>44211.0</v>
      </c>
      <c r="T155" s="212">
        <v>20.55</v>
      </c>
      <c r="U155" s="213">
        <v>94003.0</v>
      </c>
      <c r="V155" s="210" t="s">
        <v>211</v>
      </c>
      <c r="W155" s="211">
        <v>44210.0</v>
      </c>
      <c r="X155" s="230">
        <v>15.74</v>
      </c>
      <c r="Y155" s="213">
        <v>72000.0</v>
      </c>
    </row>
    <row r="156">
      <c r="A156" s="528"/>
      <c r="B156" s="528"/>
      <c r="C156" s="512">
        <f>H156/E170</f>
        <v>0</v>
      </c>
      <c r="D156" s="344" t="s">
        <v>209</v>
      </c>
      <c r="E156" s="344" t="s">
        <v>210</v>
      </c>
      <c r="F156" s="195">
        <v>8.1</v>
      </c>
      <c r="G156" s="217">
        <v>77000.0</v>
      </c>
      <c r="H156" s="217">
        <v>0.0</v>
      </c>
      <c r="I156" s="216">
        <v>11.2</v>
      </c>
      <c r="J156" s="568"/>
      <c r="K156" s="516"/>
      <c r="L156" s="216">
        <v>17.58</v>
      </c>
      <c r="M156" s="517">
        <f t="shared" si="47"/>
        <v>-11.2</v>
      </c>
      <c r="N156" s="518">
        <f t="shared" si="58"/>
        <v>0.5696428571</v>
      </c>
      <c r="O156" s="514">
        <f t="shared" si="48"/>
        <v>43862.5</v>
      </c>
      <c r="P156" s="528"/>
      <c r="Q156" s="528"/>
      <c r="R156" s="210" t="s">
        <v>211</v>
      </c>
      <c r="S156" s="211">
        <v>44206.0</v>
      </c>
      <c r="T156" s="212">
        <v>17.58</v>
      </c>
      <c r="U156" s="213">
        <v>120862.5</v>
      </c>
      <c r="V156" s="657"/>
      <c r="W156" s="257"/>
      <c r="X156" s="658"/>
      <c r="Y156" s="658"/>
    </row>
    <row r="157">
      <c r="A157" s="528"/>
      <c r="B157" s="528"/>
      <c r="C157" s="512">
        <f>H157/E170</f>
        <v>0</v>
      </c>
      <c r="D157" s="344" t="s">
        <v>513</v>
      </c>
      <c r="E157" s="344" t="s">
        <v>514</v>
      </c>
      <c r="F157" s="528">
        <v>8.1</v>
      </c>
      <c r="G157" s="217">
        <v>78560.0</v>
      </c>
      <c r="H157" s="514">
        <f>G157+O157</f>
        <v>0</v>
      </c>
      <c r="I157" s="216">
        <v>157.12</v>
      </c>
      <c r="J157" s="568"/>
      <c r="K157" s="516"/>
      <c r="L157" s="517"/>
      <c r="M157" s="517">
        <f t="shared" si="47"/>
        <v>-157.12</v>
      </c>
      <c r="N157" s="518">
        <f>K157/I157-1</f>
        <v>-1</v>
      </c>
      <c r="O157" s="514">
        <f t="shared" si="48"/>
        <v>-78560</v>
      </c>
      <c r="P157" s="528"/>
      <c r="Q157" s="528"/>
      <c r="R157" s="657"/>
      <c r="S157" s="257"/>
      <c r="T157" s="258"/>
      <c r="U157" s="258"/>
      <c r="V157" s="657"/>
      <c r="W157" s="257"/>
      <c r="X157" s="658"/>
      <c r="Y157" s="658"/>
    </row>
    <row r="158">
      <c r="A158" s="528"/>
      <c r="B158" s="528"/>
      <c r="C158" s="512">
        <f>H158/E170</f>
        <v>0</v>
      </c>
      <c r="D158" s="344" t="s">
        <v>834</v>
      </c>
      <c r="E158" s="344" t="s">
        <v>213</v>
      </c>
      <c r="F158" s="528">
        <v>7.6</v>
      </c>
      <c r="G158" s="217">
        <v>54000.0</v>
      </c>
      <c r="H158" s="217">
        <v>0.0</v>
      </c>
      <c r="I158" s="216">
        <v>0.18</v>
      </c>
      <c r="J158" s="568"/>
      <c r="K158" s="516"/>
      <c r="L158" s="216">
        <v>0.3308</v>
      </c>
      <c r="M158" s="517">
        <f t="shared" si="47"/>
        <v>-0.18</v>
      </c>
      <c r="N158" s="518">
        <f t="shared" ref="N158:N162" si="59">L158/I158-1</f>
        <v>0.8377777778</v>
      </c>
      <c r="O158" s="514">
        <f t="shared" si="48"/>
        <v>45240</v>
      </c>
      <c r="P158" s="528"/>
      <c r="Q158" s="528"/>
      <c r="R158" s="210" t="s">
        <v>214</v>
      </c>
      <c r="S158" s="211">
        <v>44206.0</v>
      </c>
      <c r="T158" s="212">
        <v>0.3308</v>
      </c>
      <c r="U158" s="213">
        <v>99240.0</v>
      </c>
      <c r="V158" s="657"/>
      <c r="W158" s="257"/>
      <c r="X158" s="658"/>
      <c r="Y158" s="658"/>
    </row>
    <row r="159">
      <c r="A159" s="528"/>
      <c r="B159" s="528"/>
      <c r="C159" s="512">
        <f>H159/E170</f>
        <v>0</v>
      </c>
      <c r="D159" s="104" t="s">
        <v>789</v>
      </c>
      <c r="E159" s="529" t="s">
        <v>790</v>
      </c>
      <c r="F159" s="195">
        <v>7.2</v>
      </c>
      <c r="G159" s="217">
        <v>54000.0</v>
      </c>
      <c r="H159" s="217">
        <v>0.0</v>
      </c>
      <c r="I159" s="215">
        <v>22.97</v>
      </c>
      <c r="J159" s="568"/>
      <c r="K159" s="516"/>
      <c r="L159" s="216">
        <v>24.43</v>
      </c>
      <c r="M159" s="517">
        <f t="shared" si="47"/>
        <v>-22.97</v>
      </c>
      <c r="N159" s="518">
        <f t="shared" si="59"/>
        <v>0.06356116674</v>
      </c>
      <c r="O159" s="514">
        <f t="shared" si="48"/>
        <v>3432.303004</v>
      </c>
      <c r="P159" s="528"/>
      <c r="Q159" s="528"/>
      <c r="R159" s="210" t="s">
        <v>789</v>
      </c>
      <c r="S159" s="211">
        <v>44211.0</v>
      </c>
      <c r="T159" s="212">
        <v>24.43</v>
      </c>
      <c r="U159" s="213">
        <v>57432.0</v>
      </c>
      <c r="V159" s="210" t="s">
        <v>789</v>
      </c>
      <c r="W159" s="211">
        <v>44210.0</v>
      </c>
      <c r="X159" s="665">
        <v>22.97</v>
      </c>
      <c r="Y159" s="213">
        <v>54000.0</v>
      </c>
    </row>
    <row r="160">
      <c r="A160" s="528"/>
      <c r="B160" s="528"/>
      <c r="C160" s="512">
        <f>H160/E170</f>
        <v>0</v>
      </c>
      <c r="D160" s="104" t="s">
        <v>835</v>
      </c>
      <c r="E160" s="529" t="s">
        <v>836</v>
      </c>
      <c r="F160" s="195">
        <v>7.1</v>
      </c>
      <c r="G160" s="217">
        <v>40000.0</v>
      </c>
      <c r="H160" s="217">
        <v>0.0</v>
      </c>
      <c r="I160" s="641">
        <v>0.0278</v>
      </c>
      <c r="J160" s="568"/>
      <c r="K160" s="516"/>
      <c r="L160" s="641">
        <v>0.0484</v>
      </c>
      <c r="M160" s="517">
        <f t="shared" si="47"/>
        <v>-0.0278</v>
      </c>
      <c r="N160" s="518">
        <f t="shared" si="59"/>
        <v>0.7410071942</v>
      </c>
      <c r="O160" s="514">
        <f t="shared" si="48"/>
        <v>29640.28777</v>
      </c>
      <c r="P160" s="528"/>
      <c r="Q160" s="528"/>
      <c r="R160" s="210" t="s">
        <v>837</v>
      </c>
      <c r="S160" s="211">
        <v>44236.0</v>
      </c>
      <c r="T160" s="665">
        <v>0.0484</v>
      </c>
      <c r="U160" s="213">
        <v>69640.0</v>
      </c>
      <c r="V160" s="210" t="s">
        <v>837</v>
      </c>
      <c r="W160" s="211">
        <v>44207.0</v>
      </c>
      <c r="X160" s="665">
        <v>0.0278</v>
      </c>
      <c r="Y160" s="213">
        <v>40000.0</v>
      </c>
    </row>
    <row r="161">
      <c r="A161" s="528"/>
      <c r="B161" s="528"/>
      <c r="C161" s="512">
        <f>H161/E170</f>
        <v>0</v>
      </c>
      <c r="D161" s="344" t="s">
        <v>359</v>
      </c>
      <c r="E161" s="563" t="s">
        <v>360</v>
      </c>
      <c r="F161" s="528">
        <v>7.7</v>
      </c>
      <c r="G161" s="217">
        <v>35000.0</v>
      </c>
      <c r="H161" s="217">
        <v>0.0</v>
      </c>
      <c r="I161" s="216">
        <v>149.94</v>
      </c>
      <c r="J161" s="568"/>
      <c r="K161" s="516"/>
      <c r="L161" s="216">
        <v>236.38</v>
      </c>
      <c r="M161" s="517">
        <f t="shared" si="47"/>
        <v>-149.94</v>
      </c>
      <c r="N161" s="518">
        <f t="shared" si="59"/>
        <v>0.5764972656</v>
      </c>
      <c r="O161" s="514">
        <f t="shared" si="48"/>
        <v>20177.4043</v>
      </c>
      <c r="P161" s="528"/>
      <c r="Q161" s="528"/>
      <c r="R161" s="210" t="s">
        <v>361</v>
      </c>
      <c r="S161" s="211">
        <v>44240.0</v>
      </c>
      <c r="T161" s="212">
        <v>236.38</v>
      </c>
      <c r="U161" s="213">
        <v>55177.0</v>
      </c>
      <c r="V161" s="210" t="s">
        <v>361</v>
      </c>
      <c r="W161" s="211">
        <v>44206.0</v>
      </c>
      <c r="X161" s="230">
        <v>149.94</v>
      </c>
      <c r="Y161" s="213">
        <v>35000.0</v>
      </c>
    </row>
    <row r="162">
      <c r="A162" s="528"/>
      <c r="B162" s="528"/>
      <c r="C162" s="512">
        <f>H162/E170</f>
        <v>0</v>
      </c>
      <c r="D162" s="344" t="s">
        <v>359</v>
      </c>
      <c r="E162" s="563" t="s">
        <v>360</v>
      </c>
      <c r="F162" s="528">
        <v>7.7</v>
      </c>
      <c r="G162" s="217">
        <v>49600.0</v>
      </c>
      <c r="H162" s="217">
        <v>0.0</v>
      </c>
      <c r="I162" s="216">
        <v>99.2</v>
      </c>
      <c r="J162" s="568"/>
      <c r="K162" s="516"/>
      <c r="L162" s="216">
        <v>149.94</v>
      </c>
      <c r="M162" s="517">
        <f t="shared" si="47"/>
        <v>-99.2</v>
      </c>
      <c r="N162" s="518">
        <f t="shared" si="59"/>
        <v>0.5114919355</v>
      </c>
      <c r="O162" s="514">
        <f t="shared" si="48"/>
        <v>25370</v>
      </c>
      <c r="P162" s="528"/>
      <c r="Q162" s="528"/>
      <c r="R162" s="210" t="s">
        <v>361</v>
      </c>
      <c r="S162" s="211">
        <v>44206.0</v>
      </c>
      <c r="T162" s="212">
        <v>149.94</v>
      </c>
      <c r="U162" s="213">
        <v>74970.0</v>
      </c>
      <c r="V162" s="657"/>
      <c r="W162" s="257"/>
      <c r="X162" s="658"/>
      <c r="Y162" s="658"/>
    </row>
    <row r="163">
      <c r="A163" s="13"/>
      <c r="B163" s="13"/>
      <c r="C163" s="173"/>
      <c r="D163" s="173"/>
      <c r="E163" s="173"/>
      <c r="F163" s="173"/>
      <c r="G163" s="509">
        <f t="shared" ref="G163:H163" si="60">SUM(G132:G162)</f>
        <v>2462505</v>
      </c>
      <c r="H163" s="509">
        <f t="shared" si="60"/>
        <v>0</v>
      </c>
      <c r="I163" s="607"/>
      <c r="J163" s="173"/>
      <c r="K163" s="13"/>
      <c r="L163" s="173"/>
      <c r="M163" s="173"/>
      <c r="N163" s="541">
        <f>F168</f>
        <v>1.042695738</v>
      </c>
      <c r="O163" s="193">
        <v>1104220.0</v>
      </c>
      <c r="P163" s="173"/>
      <c r="Q163" s="173"/>
      <c r="R163" s="238" t="s">
        <v>89</v>
      </c>
      <c r="S163" s="239"/>
      <c r="T163" s="241"/>
      <c r="U163" s="667">
        <f>SUM(U132:U162)</f>
        <v>2344458.96</v>
      </c>
      <c r="V163" s="238" t="s">
        <v>89</v>
      </c>
      <c r="W163" s="239"/>
      <c r="X163" s="668"/>
      <c r="Y163" s="240">
        <f>SUM(Y132:Y162)</f>
        <v>1403500</v>
      </c>
    </row>
    <row r="164">
      <c r="A164" s="13" t="s">
        <v>227</v>
      </c>
      <c r="B164" s="13" t="s">
        <v>228</v>
      </c>
      <c r="C164" s="173"/>
      <c r="D164" s="504" t="s">
        <v>838</v>
      </c>
      <c r="E164" s="504" t="s">
        <v>839</v>
      </c>
      <c r="F164" s="13" t="s">
        <v>792</v>
      </c>
      <c r="G164" s="504" t="s">
        <v>840</v>
      </c>
      <c r="H164" s="13" t="s">
        <v>233</v>
      </c>
      <c r="I164" s="13" t="s">
        <v>234</v>
      </c>
      <c r="J164" s="652" t="s">
        <v>794</v>
      </c>
      <c r="K164" s="13"/>
      <c r="L164" s="173"/>
      <c r="M164" s="173"/>
      <c r="N164" s="173"/>
      <c r="O164" s="173"/>
      <c r="P164" s="173"/>
      <c r="Q164" s="173"/>
    </row>
    <row r="165">
      <c r="A165" s="344" t="s">
        <v>374</v>
      </c>
      <c r="B165" s="512">
        <f>E165/E170</f>
        <v>0.3573229534</v>
      </c>
      <c r="C165" s="514"/>
      <c r="D165" s="611">
        <v>1427971.0</v>
      </c>
      <c r="E165" s="217">
        <v>2613866.0</v>
      </c>
      <c r="F165" s="518">
        <f>G165/D165</f>
        <v>0.07741473741</v>
      </c>
      <c r="G165" s="612">
        <v>110546.0</v>
      </c>
      <c r="H165" s="612">
        <v>44745.0</v>
      </c>
      <c r="I165" s="612">
        <v>18768.0</v>
      </c>
      <c r="J165" s="648">
        <f>G165+H165+I165</f>
        <v>174059</v>
      </c>
      <c r="K165" s="584"/>
      <c r="L165" s="528"/>
      <c r="M165" s="528"/>
      <c r="N165" s="528"/>
      <c r="O165" s="528"/>
      <c r="P165" s="528"/>
      <c r="Q165" s="528"/>
    </row>
    <row r="166">
      <c r="A166" s="344" t="s">
        <v>409</v>
      </c>
      <c r="B166" s="512">
        <f>E166/E170</f>
        <v>0.2436161132</v>
      </c>
      <c r="C166" s="514"/>
      <c r="D166" s="217">
        <v>1465805.0</v>
      </c>
      <c r="E166" s="217">
        <v>1782085.0</v>
      </c>
      <c r="F166" s="518">
        <f>G166/E166</f>
        <v>-0.1145820766</v>
      </c>
      <c r="G166" s="612">
        <v>-204195.0</v>
      </c>
      <c r="H166" s="518">
        <f>H165/E170</f>
        <v>0.006116769394</v>
      </c>
      <c r="I166" s="518">
        <f>I165/E170</f>
        <v>0.002565639244</v>
      </c>
      <c r="J166" s="518">
        <f>F165+H166+I166</f>
        <v>0.08609714605</v>
      </c>
      <c r="K166" s="653"/>
      <c r="L166" s="528"/>
      <c r="M166" s="528"/>
      <c r="N166" s="528"/>
      <c r="O166" s="528"/>
      <c r="P166" s="528"/>
      <c r="Q166" s="528"/>
    </row>
    <row r="167">
      <c r="A167" s="344" t="s">
        <v>542</v>
      </c>
      <c r="B167" s="512">
        <f>E167/E170</f>
        <v>0.04321245702</v>
      </c>
      <c r="C167" s="514"/>
      <c r="D167" s="514">
        <f>G130</f>
        <v>356545</v>
      </c>
      <c r="E167" s="217">
        <v>316105.0</v>
      </c>
      <c r="F167" s="518">
        <f t="shared" ref="F167:F168" si="61">G167/D167</f>
        <v>-0.1134218682</v>
      </c>
      <c r="G167" s="612">
        <v>-40440.0</v>
      </c>
      <c r="H167" s="565"/>
      <c r="I167" s="565"/>
      <c r="J167" s="565"/>
      <c r="K167" s="584"/>
      <c r="L167" s="528"/>
      <c r="M167" s="528"/>
      <c r="N167" s="528"/>
      <c r="O167" s="528"/>
      <c r="P167" s="528"/>
      <c r="Q167" s="528"/>
    </row>
    <row r="168">
      <c r="A168" s="344" t="s">
        <v>240</v>
      </c>
      <c r="B168" s="512">
        <f>E168/E170</f>
        <v>0.1541003476</v>
      </c>
      <c r="C168" s="514"/>
      <c r="D168" s="217">
        <v>1059005.0</v>
      </c>
      <c r="E168" s="217">
        <v>1127265.0</v>
      </c>
      <c r="F168" s="518">
        <f t="shared" si="61"/>
        <v>1.042695738</v>
      </c>
      <c r="G168" s="612">
        <v>1104220.0</v>
      </c>
      <c r="H168" s="614"/>
      <c r="I168" s="614"/>
      <c r="J168" s="614"/>
      <c r="K168" s="574"/>
      <c r="L168" s="528"/>
      <c r="M168" s="528"/>
      <c r="N168" s="528"/>
      <c r="O168" s="528"/>
      <c r="P168" s="528"/>
      <c r="Q168" s="528"/>
    </row>
    <row r="169">
      <c r="A169" s="344" t="s">
        <v>461</v>
      </c>
      <c r="B169" s="512">
        <f>E169/E170</f>
        <v>0.2017481288</v>
      </c>
      <c r="C169" s="514"/>
      <c r="D169" s="217">
        <v>2109661.0</v>
      </c>
      <c r="E169" s="217">
        <v>1475815.0</v>
      </c>
      <c r="F169" s="588" t="s">
        <v>128</v>
      </c>
      <c r="G169" s="612">
        <f>H165+I165</f>
        <v>63513</v>
      </c>
      <c r="H169" s="224"/>
      <c r="I169" s="224"/>
      <c r="J169" s="224"/>
      <c r="K169" s="528"/>
      <c r="L169" s="528"/>
      <c r="M169" s="528"/>
      <c r="N169" s="528"/>
      <c r="O169" s="528"/>
      <c r="P169" s="528"/>
      <c r="Q169" s="528"/>
    </row>
    <row r="170">
      <c r="A170" s="13" t="s">
        <v>246</v>
      </c>
      <c r="B170" s="654"/>
      <c r="C170" s="655"/>
      <c r="D170" s="616">
        <v>6418987.0</v>
      </c>
      <c r="E170" s="193">
        <v>7315136.0</v>
      </c>
      <c r="F170" s="518">
        <f>G170/D170</f>
        <v>0.1610291468</v>
      </c>
      <c r="G170" s="193">
        <v>1033644.0</v>
      </c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</row>
    <row r="172">
      <c r="A172" s="201" t="s">
        <v>248</v>
      </c>
      <c r="B172" s="617"/>
      <c r="C172" s="618" t="s">
        <v>841</v>
      </c>
      <c r="D172" s="618" t="s">
        <v>842</v>
      </c>
      <c r="E172" s="619" t="s">
        <v>15</v>
      </c>
      <c r="F172" s="620" t="s">
        <v>578</v>
      </c>
      <c r="G172" s="669"/>
    </row>
    <row r="173">
      <c r="A173" s="89" t="s">
        <v>265</v>
      </c>
      <c r="B173" s="16" t="s">
        <v>266</v>
      </c>
      <c r="C173" s="645">
        <v>30356.0</v>
      </c>
      <c r="D173" s="621">
        <v>32982.0</v>
      </c>
      <c r="E173" s="206">
        <f t="shared" ref="E173:E177" si="62">D173-C173</f>
        <v>2626</v>
      </c>
      <c r="F173" s="622">
        <f t="shared" ref="F173:F177" si="63">D173/C173-1</f>
        <v>0.08650678614</v>
      </c>
      <c r="G173" s="670"/>
    </row>
    <row r="174">
      <c r="A174" s="89" t="s">
        <v>267</v>
      </c>
      <c r="B174" s="16" t="s">
        <v>268</v>
      </c>
      <c r="C174" s="645">
        <v>3739.0</v>
      </c>
      <c r="D174" s="621">
        <v>3973.0</v>
      </c>
      <c r="E174" s="206">
        <f t="shared" si="62"/>
        <v>234</v>
      </c>
      <c r="F174" s="622">
        <f t="shared" si="63"/>
        <v>0.0625835785</v>
      </c>
      <c r="G174" s="670"/>
    </row>
    <row r="175">
      <c r="A175" s="89" t="s">
        <v>269</v>
      </c>
      <c r="B175" s="16" t="s">
        <v>270</v>
      </c>
      <c r="C175" s="645">
        <v>12882.0</v>
      </c>
      <c r="D175" s="621">
        <v>13247.0</v>
      </c>
      <c r="E175" s="206">
        <f t="shared" si="62"/>
        <v>365</v>
      </c>
      <c r="F175" s="622">
        <f t="shared" si="63"/>
        <v>0.02833410961</v>
      </c>
      <c r="G175" s="670"/>
    </row>
    <row r="176">
      <c r="A176" s="89" t="s">
        <v>271</v>
      </c>
      <c r="B176" s="16" t="s">
        <v>272</v>
      </c>
      <c r="C176" s="645">
        <v>1974.0</v>
      </c>
      <c r="D176" s="621">
        <v>2221.0</v>
      </c>
      <c r="E176" s="206">
        <f t="shared" si="62"/>
        <v>247</v>
      </c>
      <c r="F176" s="622">
        <f t="shared" si="63"/>
        <v>0.1251266464</v>
      </c>
      <c r="G176" s="670"/>
    </row>
    <row r="177">
      <c r="A177" s="89" t="s">
        <v>273</v>
      </c>
      <c r="B177" s="16" t="s">
        <v>274</v>
      </c>
      <c r="C177" s="645">
        <v>14847.56</v>
      </c>
      <c r="D177" s="621">
        <v>15602.0</v>
      </c>
      <c r="E177" s="206">
        <f t="shared" si="62"/>
        <v>754.44</v>
      </c>
      <c r="F177" s="622">
        <f t="shared" si="63"/>
        <v>0.05081238938</v>
      </c>
      <c r="G177" s="67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2.88"/>
    <col customWidth="1" min="3" max="3" width="20.0"/>
    <col customWidth="1" min="4" max="4" width="24.38"/>
    <col customWidth="1" min="5" max="5" width="24.13"/>
    <col customWidth="1" min="6" max="6" width="10.38"/>
    <col customWidth="1" min="7" max="7" width="24.13"/>
    <col customWidth="1" min="8" max="8" width="22.63"/>
    <col customWidth="1" min="9" max="9" width="19.13"/>
    <col customWidth="1" min="10" max="10" width="16.5"/>
    <col customWidth="1" min="11" max="11" width="11.25"/>
    <col customWidth="1" min="12" max="12" width="8.63"/>
    <col customWidth="1" min="13" max="13" width="11.13"/>
    <col customWidth="1" min="14" max="14" width="12.5"/>
    <col customWidth="1" min="15" max="15" width="11.5"/>
    <col customWidth="1" min="16" max="16" width="7.75"/>
    <col customWidth="1" min="17" max="17" width="9.63"/>
    <col customWidth="1" min="18" max="18" width="13.25"/>
    <col customWidth="1" min="19" max="19" width="7.63"/>
  </cols>
  <sheetData>
    <row r="1">
      <c r="A1" s="671" t="s">
        <v>843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672"/>
      <c r="R1" s="229"/>
      <c r="S1" s="229"/>
      <c r="T1" s="229"/>
      <c r="U1" s="229"/>
      <c r="V1" s="565"/>
      <c r="W1" s="565"/>
      <c r="X1" s="565"/>
      <c r="Y1" s="565"/>
    </row>
    <row r="2">
      <c r="A2" s="504" t="s">
        <v>374</v>
      </c>
      <c r="B2" s="13" t="s">
        <v>797</v>
      </c>
      <c r="C2" s="504" t="s">
        <v>729</v>
      </c>
      <c r="D2" s="13" t="s">
        <v>3</v>
      </c>
      <c r="E2" s="13" t="s">
        <v>4</v>
      </c>
      <c r="F2" s="13" t="s">
        <v>5</v>
      </c>
      <c r="G2" s="504" t="s">
        <v>229</v>
      </c>
      <c r="H2" s="505" t="s">
        <v>730</v>
      </c>
      <c r="I2" s="505" t="s">
        <v>844</v>
      </c>
      <c r="J2" s="506" t="s">
        <v>10</v>
      </c>
      <c r="K2" s="673" t="s">
        <v>11</v>
      </c>
      <c r="L2" s="508" t="s">
        <v>476</v>
      </c>
      <c r="M2" s="507" t="s">
        <v>13</v>
      </c>
      <c r="N2" s="504" t="s">
        <v>845</v>
      </c>
      <c r="O2" s="508" t="s">
        <v>468</v>
      </c>
      <c r="P2" s="13" t="s">
        <v>16</v>
      </c>
      <c r="Q2" s="509" t="s">
        <v>17</v>
      </c>
      <c r="R2" s="238" t="s">
        <v>21</v>
      </c>
      <c r="S2" s="238" t="s">
        <v>22</v>
      </c>
      <c r="T2" s="656" t="s">
        <v>23</v>
      </c>
      <c r="U2" s="656" t="s">
        <v>24</v>
      </c>
      <c r="V2" s="238" t="s">
        <v>25</v>
      </c>
      <c r="W2" s="238" t="s">
        <v>26</v>
      </c>
      <c r="X2" s="238" t="s">
        <v>27</v>
      </c>
      <c r="Y2" s="238" t="s">
        <v>28</v>
      </c>
    </row>
    <row r="3">
      <c r="A3" s="565" t="s">
        <v>733</v>
      </c>
      <c r="B3" s="565" t="s">
        <v>733</v>
      </c>
      <c r="C3" s="599">
        <f>H3/E137</f>
        <v>0</v>
      </c>
      <c r="D3" s="344" t="s">
        <v>648</v>
      </c>
      <c r="E3" s="344" t="s">
        <v>36</v>
      </c>
      <c r="F3" s="569">
        <v>7.5</v>
      </c>
      <c r="G3" s="106">
        <v>42901.0</v>
      </c>
      <c r="H3" s="674">
        <v>0.0</v>
      </c>
      <c r="I3" s="675">
        <v>429.01</v>
      </c>
      <c r="J3" s="676">
        <f>IFERROR(__xludf.DUMMYFUNCTION("GOOGLEFINANCE(E3,""changepct"")"),-3.3)</f>
        <v>-3.3</v>
      </c>
      <c r="K3" s="677">
        <f>IFERROR(__xludf.DUMMYFUNCTION("googlefinance(E3,""price"")"),417.41)</f>
        <v>417.41</v>
      </c>
      <c r="L3" s="678">
        <v>660.06</v>
      </c>
      <c r="M3" s="677">
        <f t="shared" ref="M3:M20" si="1">K3-I3</f>
        <v>-11.6</v>
      </c>
      <c r="N3" s="679">
        <f>L3/I3-1</f>
        <v>0.5385655346</v>
      </c>
      <c r="O3" s="680">
        <f t="shared" ref="O3:O20" si="2">G3*N3</f>
        <v>23105</v>
      </c>
      <c r="P3" s="569" t="s">
        <v>128</v>
      </c>
      <c r="Q3" s="514"/>
      <c r="R3" s="210" t="s">
        <v>36</v>
      </c>
      <c r="S3" s="211">
        <v>44186.0</v>
      </c>
      <c r="T3" s="212">
        <v>660.06</v>
      </c>
      <c r="U3" s="213">
        <v>66066.0</v>
      </c>
      <c r="V3" s="657"/>
      <c r="W3" s="257"/>
      <c r="X3" s="258"/>
      <c r="Y3" s="658"/>
    </row>
    <row r="4">
      <c r="A4" s="681">
        <f>B132</f>
        <v>0.09425926552</v>
      </c>
      <c r="B4" s="681">
        <f>H22/E137</f>
        <v>0.003221660988</v>
      </c>
      <c r="C4" s="599">
        <f>H4/E137</f>
        <v>0.001310642941</v>
      </c>
      <c r="D4" s="344" t="s">
        <v>346</v>
      </c>
      <c r="E4" s="344" t="s">
        <v>347</v>
      </c>
      <c r="F4" s="569">
        <v>7.8</v>
      </c>
      <c r="G4" s="106">
        <v>29398.0</v>
      </c>
      <c r="H4" s="680">
        <f t="shared" ref="H4:H5" si="3">G4+O4</f>
        <v>8413</v>
      </c>
      <c r="I4" s="675">
        <v>293.98</v>
      </c>
      <c r="J4" s="676">
        <f>IFERROR(__xludf.DUMMYFUNCTION("GOOGLEFINANCE(E4,""changepct"")"),-1.09)</f>
        <v>-1.09</v>
      </c>
      <c r="K4" s="677">
        <f>IFERROR(__xludf.DUMMYFUNCTION("googlefinance(E4,""price"")"),84.13)</f>
        <v>84.13</v>
      </c>
      <c r="L4" s="521"/>
      <c r="M4" s="677">
        <f t="shared" si="1"/>
        <v>-209.85</v>
      </c>
      <c r="N4" s="679">
        <f t="shared" ref="N4:N5" si="4">K4/I4-1</f>
        <v>-0.7138240697</v>
      </c>
      <c r="O4" s="680">
        <f t="shared" si="2"/>
        <v>-20985</v>
      </c>
      <c r="P4" s="569" t="s">
        <v>128</v>
      </c>
      <c r="Q4" s="514"/>
      <c r="R4" s="657"/>
      <c r="S4" s="257"/>
      <c r="T4" s="258"/>
      <c r="U4" s="658"/>
      <c r="V4" s="657"/>
      <c r="W4" s="257"/>
      <c r="X4" s="258"/>
      <c r="Y4" s="658"/>
    </row>
    <row r="5">
      <c r="A5" s="528"/>
      <c r="B5" s="528"/>
      <c r="C5" s="599">
        <f>H5/E137</f>
        <v>0.001310642941</v>
      </c>
      <c r="D5" s="344" t="s">
        <v>346</v>
      </c>
      <c r="E5" s="344" t="s">
        <v>347</v>
      </c>
      <c r="F5" s="569">
        <v>7.8</v>
      </c>
      <c r="G5" s="213">
        <v>26613.0</v>
      </c>
      <c r="H5" s="680">
        <f t="shared" si="3"/>
        <v>8413</v>
      </c>
      <c r="I5" s="212">
        <v>266.13</v>
      </c>
      <c r="J5" s="676">
        <f>IFERROR(__xludf.DUMMYFUNCTION("GOOGLEFINANCE(E5,""changepct"")"),-1.09)</f>
        <v>-1.09</v>
      </c>
      <c r="K5" s="677">
        <f>IFERROR(__xludf.DUMMYFUNCTION("googlefinance(E5,""price"")"),84.13)</f>
        <v>84.13</v>
      </c>
      <c r="L5" s="677"/>
      <c r="M5" s="677">
        <f t="shared" si="1"/>
        <v>-182</v>
      </c>
      <c r="N5" s="679">
        <f t="shared" si="4"/>
        <v>-0.6838763011</v>
      </c>
      <c r="O5" s="680">
        <f t="shared" si="2"/>
        <v>-18200</v>
      </c>
      <c r="P5" s="569" t="s">
        <v>128</v>
      </c>
      <c r="Q5" s="514"/>
      <c r="R5" s="657"/>
      <c r="S5" s="257"/>
      <c r="T5" s="258"/>
      <c r="U5" s="658"/>
      <c r="V5" s="210" t="s">
        <v>347</v>
      </c>
      <c r="W5" s="211">
        <v>44145.0</v>
      </c>
      <c r="X5" s="212">
        <v>266.13</v>
      </c>
      <c r="Y5" s="213">
        <v>26613.0</v>
      </c>
    </row>
    <row r="6">
      <c r="A6" s="528"/>
      <c r="B6" s="528"/>
      <c r="C6" s="599">
        <f>H6/E137</f>
        <v>0</v>
      </c>
      <c r="D6" s="344" t="s">
        <v>530</v>
      </c>
      <c r="E6" s="344" t="s">
        <v>34</v>
      </c>
      <c r="F6" s="569">
        <v>7.7</v>
      </c>
      <c r="G6" s="106">
        <v>31647.5</v>
      </c>
      <c r="H6" s="674">
        <v>0.0</v>
      </c>
      <c r="I6" s="675">
        <v>126.59</v>
      </c>
      <c r="J6" s="676">
        <f>IFERROR(__xludf.DUMMYFUNCTION("GOOGLEFINANCE(E6,""changepct"")"),-2.94)</f>
        <v>-2.94</v>
      </c>
      <c r="K6" s="677">
        <f>IFERROR(__xludf.DUMMYFUNCTION("googlefinance(E6,""price"")"),84.05)</f>
        <v>84.05</v>
      </c>
      <c r="L6" s="678">
        <v>199.12</v>
      </c>
      <c r="M6" s="677">
        <f t="shared" si="1"/>
        <v>-42.54</v>
      </c>
      <c r="N6" s="679">
        <f t="shared" ref="N6:N7" si="5">L6/I6-1</f>
        <v>0.5729520499</v>
      </c>
      <c r="O6" s="680">
        <f t="shared" si="2"/>
        <v>18132.5</v>
      </c>
      <c r="P6" s="569" t="s">
        <v>128</v>
      </c>
      <c r="Q6" s="514"/>
      <c r="R6" s="210" t="s">
        <v>34</v>
      </c>
      <c r="S6" s="211">
        <v>44186.0</v>
      </c>
      <c r="T6" s="212">
        <v>199.12</v>
      </c>
      <c r="U6" s="213">
        <v>49780.0</v>
      </c>
      <c r="V6" s="657"/>
      <c r="W6" s="257"/>
      <c r="X6" s="258"/>
      <c r="Y6" s="658"/>
    </row>
    <row r="7">
      <c r="A7" s="528"/>
      <c r="B7" s="528"/>
      <c r="C7" s="599">
        <f>H7/E137</f>
        <v>0</v>
      </c>
      <c r="D7" s="344" t="s">
        <v>734</v>
      </c>
      <c r="E7" s="344" t="s">
        <v>74</v>
      </c>
      <c r="F7" s="569">
        <v>7.2</v>
      </c>
      <c r="G7" s="522">
        <v>31549.5</v>
      </c>
      <c r="H7" s="674">
        <v>0.0</v>
      </c>
      <c r="I7" s="521">
        <v>210.33</v>
      </c>
      <c r="J7" s="676">
        <f>IFERROR(__xludf.DUMMYFUNCTION("GOOGLEFINANCE(E7,""changepct"")"),-1.32)</f>
        <v>-1.32</v>
      </c>
      <c r="K7" s="677">
        <f>IFERROR(__xludf.DUMMYFUNCTION("googlefinance(E7,""price"")"),424.83)</f>
        <v>424.83</v>
      </c>
      <c r="L7" s="521">
        <v>219.3</v>
      </c>
      <c r="M7" s="677">
        <f t="shared" si="1"/>
        <v>214.5</v>
      </c>
      <c r="N7" s="679">
        <f t="shared" si="5"/>
        <v>0.04264726858</v>
      </c>
      <c r="O7" s="680">
        <f t="shared" si="2"/>
        <v>1345.5</v>
      </c>
      <c r="P7" s="682">
        <v>0.0114</v>
      </c>
      <c r="Q7" s="106">
        <v>95.0</v>
      </c>
      <c r="R7" s="210" t="s">
        <v>74</v>
      </c>
      <c r="S7" s="211">
        <v>44186.0</v>
      </c>
      <c r="T7" s="212">
        <v>219.3</v>
      </c>
      <c r="U7" s="213">
        <v>32895.0</v>
      </c>
      <c r="V7" s="657"/>
      <c r="W7" s="257"/>
      <c r="X7" s="258"/>
      <c r="Y7" s="658"/>
    </row>
    <row r="8">
      <c r="A8" s="528"/>
      <c r="B8" s="528"/>
      <c r="C8" s="599">
        <f>H8/E137</f>
        <v>0.0006003751059</v>
      </c>
      <c r="D8" s="344" t="s">
        <v>30</v>
      </c>
      <c r="E8" s="344" t="s">
        <v>31</v>
      </c>
      <c r="F8" s="569">
        <v>7.1</v>
      </c>
      <c r="G8" s="522">
        <v>29392.0</v>
      </c>
      <c r="H8" s="680">
        <f>G8+O8</f>
        <v>3853.8</v>
      </c>
      <c r="I8" s="521">
        <v>1469.6</v>
      </c>
      <c r="J8" s="676">
        <f>IFERROR(__xludf.DUMMYFUNCTION("GOOGLEFINANCE(E8,""changepct"")"),-0.7)</f>
        <v>-0.7</v>
      </c>
      <c r="K8" s="677">
        <f>IFERROR(__xludf.DUMMYFUNCTION("googlefinance(E8,""price"")"),192.69)</f>
        <v>192.69</v>
      </c>
      <c r="L8" s="677"/>
      <c r="M8" s="677">
        <f t="shared" si="1"/>
        <v>-1276.91</v>
      </c>
      <c r="N8" s="679">
        <f>K8/I8-1</f>
        <v>-0.8688826892</v>
      </c>
      <c r="O8" s="680">
        <f t="shared" si="2"/>
        <v>-25538.2</v>
      </c>
      <c r="P8" s="569" t="s">
        <v>128</v>
      </c>
      <c r="Q8" s="514"/>
      <c r="R8" s="657"/>
      <c r="S8" s="257"/>
      <c r="T8" s="258"/>
      <c r="U8" s="658"/>
      <c r="V8" s="657"/>
      <c r="W8" s="257"/>
      <c r="X8" s="258"/>
      <c r="Y8" s="658"/>
    </row>
    <row r="9">
      <c r="A9" s="528"/>
      <c r="B9" s="528"/>
      <c r="C9" s="599">
        <f>H9/E137</f>
        <v>0</v>
      </c>
      <c r="D9" s="344" t="s">
        <v>632</v>
      </c>
      <c r="E9" s="344" t="s">
        <v>674</v>
      </c>
      <c r="F9" s="569">
        <v>7.2</v>
      </c>
      <c r="G9" s="522">
        <v>26190.0</v>
      </c>
      <c r="H9" s="674">
        <v>0.0</v>
      </c>
      <c r="I9" s="521">
        <v>261.9</v>
      </c>
      <c r="J9" s="676">
        <f>IFERROR(__xludf.DUMMYFUNCTION("GOOGLEFINANCE(E9,""changepct"")"),0.0)</f>
        <v>0</v>
      </c>
      <c r="K9" s="677">
        <f>IFERROR(__xludf.DUMMYFUNCTION("googlefinance(E9,""price"")"),185.26)</f>
        <v>185.26</v>
      </c>
      <c r="L9" s="521">
        <v>273.91</v>
      </c>
      <c r="M9" s="677">
        <f t="shared" si="1"/>
        <v>-76.64</v>
      </c>
      <c r="N9" s="679">
        <f t="shared" ref="N9:N20" si="6">L9/I9-1</f>
        <v>0.0458571974</v>
      </c>
      <c r="O9" s="680">
        <f t="shared" si="2"/>
        <v>1201</v>
      </c>
      <c r="P9" s="569" t="s">
        <v>128</v>
      </c>
      <c r="Q9" s="514"/>
      <c r="R9" s="210" t="s">
        <v>674</v>
      </c>
      <c r="S9" s="211">
        <v>44186.0</v>
      </c>
      <c r="T9" s="212">
        <v>273.91</v>
      </c>
      <c r="U9" s="213">
        <v>27391.0</v>
      </c>
      <c r="V9" s="657"/>
      <c r="W9" s="257"/>
      <c r="X9" s="258"/>
      <c r="Y9" s="658"/>
    </row>
    <row r="10">
      <c r="A10" s="528"/>
      <c r="B10" s="528"/>
      <c r="C10" s="599">
        <f>H10/E137</f>
        <v>0</v>
      </c>
      <c r="D10" s="344" t="s">
        <v>846</v>
      </c>
      <c r="E10" s="344" t="s">
        <v>652</v>
      </c>
      <c r="F10" s="569">
        <v>6.8</v>
      </c>
      <c r="G10" s="106">
        <v>26680.0</v>
      </c>
      <c r="H10" s="674">
        <v>0.0</v>
      </c>
      <c r="I10" s="675">
        <v>6.67</v>
      </c>
      <c r="J10" s="676">
        <f>IFERROR(__xludf.DUMMYFUNCTION("GOOGLEFINANCE(E10,""changepct"")"),13.39)</f>
        <v>13.39</v>
      </c>
      <c r="K10" s="677">
        <f>IFERROR(__xludf.DUMMYFUNCTION("googlefinance(E10,""price"")"),9.74)</f>
        <v>9.74</v>
      </c>
      <c r="L10" s="678">
        <v>7.83</v>
      </c>
      <c r="M10" s="677">
        <f t="shared" si="1"/>
        <v>3.07</v>
      </c>
      <c r="N10" s="679">
        <f t="shared" si="6"/>
        <v>0.1739130435</v>
      </c>
      <c r="O10" s="680">
        <f t="shared" si="2"/>
        <v>4640</v>
      </c>
      <c r="P10" s="569" t="s">
        <v>128</v>
      </c>
      <c r="Q10" s="514"/>
      <c r="R10" s="210" t="s">
        <v>652</v>
      </c>
      <c r="S10" s="211">
        <v>44118.0</v>
      </c>
      <c r="T10" s="212">
        <v>7.83</v>
      </c>
      <c r="U10" s="213">
        <v>31320.0</v>
      </c>
      <c r="V10" s="657"/>
      <c r="W10" s="257"/>
      <c r="X10" s="258"/>
      <c r="Y10" s="658"/>
    </row>
    <row r="11">
      <c r="A11" s="528"/>
      <c r="B11" s="528"/>
      <c r="C11" s="599">
        <f>H10/E137</f>
        <v>0</v>
      </c>
      <c r="D11" s="344" t="s">
        <v>749</v>
      </c>
      <c r="E11" s="344" t="s">
        <v>582</v>
      </c>
      <c r="F11" s="569">
        <v>7.1</v>
      </c>
      <c r="G11" s="522">
        <v>25001.5</v>
      </c>
      <c r="H11" s="674">
        <v>0.0</v>
      </c>
      <c r="I11" s="521">
        <v>500.03</v>
      </c>
      <c r="J11" s="676">
        <f>IFERROR(__xludf.DUMMYFUNCTION("GOOGLEFINANCE(E11,""changepct"")"),-0.78)</f>
        <v>-0.78</v>
      </c>
      <c r="K11" s="677">
        <f>IFERROR(__xludf.DUMMYFUNCTION("googlefinance(E11,""price"")"),900.43)</f>
        <v>900.43</v>
      </c>
      <c r="L11" s="678">
        <v>553.76</v>
      </c>
      <c r="M11" s="677">
        <f t="shared" si="1"/>
        <v>400.4</v>
      </c>
      <c r="N11" s="679">
        <f t="shared" si="6"/>
        <v>0.1074535528</v>
      </c>
      <c r="O11" s="680">
        <f t="shared" si="2"/>
        <v>2686.5</v>
      </c>
      <c r="P11" s="569" t="s">
        <v>128</v>
      </c>
      <c r="Q11" s="514"/>
      <c r="R11" s="210" t="s">
        <v>582</v>
      </c>
      <c r="S11" s="211">
        <v>44118.0</v>
      </c>
      <c r="T11" s="212">
        <v>553.76</v>
      </c>
      <c r="U11" s="213">
        <v>27688.0</v>
      </c>
      <c r="V11" s="657"/>
      <c r="W11" s="257"/>
      <c r="X11" s="258"/>
      <c r="Y11" s="658"/>
    </row>
    <row r="12">
      <c r="A12" s="517"/>
      <c r="B12" s="528"/>
      <c r="C12" s="683">
        <f>H12/E137</f>
        <v>0</v>
      </c>
      <c r="D12" s="104" t="s">
        <v>847</v>
      </c>
      <c r="E12" s="104" t="s">
        <v>379</v>
      </c>
      <c r="F12" s="569">
        <v>7.2</v>
      </c>
      <c r="G12" s="217">
        <v>27600.0</v>
      </c>
      <c r="H12" s="674">
        <v>0.0</v>
      </c>
      <c r="I12" s="216">
        <v>92.0</v>
      </c>
      <c r="J12" s="676">
        <f>IFERROR(__xludf.DUMMYFUNCTION("GOOGLEFINANCE(E12,""changepct"")"),-2.8)</f>
        <v>-2.8</v>
      </c>
      <c r="K12" s="677">
        <f>IFERROR(__xludf.DUMMYFUNCTION("googlefinance(E12,""price"")"),57.61)</f>
        <v>57.61</v>
      </c>
      <c r="L12" s="216">
        <v>104.82</v>
      </c>
      <c r="M12" s="677">
        <f t="shared" si="1"/>
        <v>-34.39</v>
      </c>
      <c r="N12" s="679">
        <f t="shared" si="6"/>
        <v>0.1393478261</v>
      </c>
      <c r="O12" s="680">
        <f t="shared" si="2"/>
        <v>3846</v>
      </c>
      <c r="P12" s="538">
        <v>0.003</v>
      </c>
      <c r="Q12" s="514"/>
      <c r="R12" s="210" t="s">
        <v>379</v>
      </c>
      <c r="S12" s="211">
        <v>44118.0</v>
      </c>
      <c r="T12" s="212">
        <v>104.82</v>
      </c>
      <c r="U12" s="213">
        <v>31446.0</v>
      </c>
      <c r="V12" s="657"/>
      <c r="W12" s="257"/>
      <c r="X12" s="258"/>
      <c r="Y12" s="658"/>
    </row>
    <row r="13">
      <c r="A13" s="528"/>
      <c r="B13" s="528"/>
      <c r="C13" s="683">
        <f>H13/E137</f>
        <v>0</v>
      </c>
      <c r="D13" s="104" t="s">
        <v>741</v>
      </c>
      <c r="E13" s="104" t="s">
        <v>742</v>
      </c>
      <c r="F13" s="569">
        <v>7.2</v>
      </c>
      <c r="G13" s="217">
        <v>23547.0</v>
      </c>
      <c r="H13" s="674">
        <v>0.0</v>
      </c>
      <c r="I13" s="216">
        <v>78.49</v>
      </c>
      <c r="J13" s="676">
        <f>IFERROR(__xludf.DUMMYFUNCTION("GOOGLEFINANCE(E13,""changepct"")"),-1.31)</f>
        <v>-1.31</v>
      </c>
      <c r="K13" s="677">
        <f>IFERROR(__xludf.DUMMYFUNCTION("googlefinance(E13,""price"")"),120.09)</f>
        <v>120.09</v>
      </c>
      <c r="L13" s="216">
        <v>84.88</v>
      </c>
      <c r="M13" s="677">
        <f t="shared" si="1"/>
        <v>41.6</v>
      </c>
      <c r="N13" s="679">
        <f t="shared" si="6"/>
        <v>0.0814116448</v>
      </c>
      <c r="O13" s="680">
        <f t="shared" si="2"/>
        <v>1917</v>
      </c>
      <c r="P13" s="538">
        <v>0.0035</v>
      </c>
      <c r="Q13" s="514"/>
      <c r="R13" s="210" t="s">
        <v>742</v>
      </c>
      <c r="S13" s="211">
        <v>44118.0</v>
      </c>
      <c r="T13" s="212">
        <v>84.88</v>
      </c>
      <c r="U13" s="213">
        <v>25484.0</v>
      </c>
      <c r="V13" s="657"/>
      <c r="W13" s="257"/>
      <c r="X13" s="258"/>
      <c r="Y13" s="658"/>
    </row>
    <row r="14">
      <c r="A14" s="528"/>
      <c r="B14" s="528"/>
      <c r="C14" s="683">
        <f>H14/E137</f>
        <v>0</v>
      </c>
      <c r="D14" s="104" t="s">
        <v>747</v>
      </c>
      <c r="E14" s="104" t="s">
        <v>748</v>
      </c>
      <c r="F14" s="569">
        <v>6.7</v>
      </c>
      <c r="G14" s="217">
        <v>28224.0</v>
      </c>
      <c r="H14" s="674">
        <v>0.0</v>
      </c>
      <c r="I14" s="216">
        <v>188.16</v>
      </c>
      <c r="J14" s="676">
        <f>IFERROR(__xludf.DUMMYFUNCTION("GOOGLEFINANCE(E14,""changepct"")"),-1.1)</f>
        <v>-1.1</v>
      </c>
      <c r="K14" s="677">
        <f>IFERROR(__xludf.DUMMYFUNCTION("googlefinance(E14,""price"")"),245.43)</f>
        <v>245.43</v>
      </c>
      <c r="L14" s="216">
        <v>199.98</v>
      </c>
      <c r="M14" s="677">
        <f t="shared" si="1"/>
        <v>57.27</v>
      </c>
      <c r="N14" s="679">
        <f t="shared" si="6"/>
        <v>0.06281887755</v>
      </c>
      <c r="O14" s="680">
        <f t="shared" si="2"/>
        <v>1773</v>
      </c>
      <c r="P14" s="195" t="s">
        <v>128</v>
      </c>
      <c r="Q14" s="514"/>
      <c r="R14" s="210" t="s">
        <v>748</v>
      </c>
      <c r="S14" s="211">
        <v>44118.0</v>
      </c>
      <c r="T14" s="212">
        <v>199.98</v>
      </c>
      <c r="U14" s="213">
        <v>29997.0</v>
      </c>
      <c r="V14" s="657"/>
      <c r="W14" s="257"/>
      <c r="X14" s="258"/>
      <c r="Y14" s="658"/>
    </row>
    <row r="15">
      <c r="A15" s="528"/>
      <c r="B15" s="528"/>
      <c r="C15" s="683">
        <f>H15/E137</f>
        <v>0</v>
      </c>
      <c r="D15" s="104" t="s">
        <v>848</v>
      </c>
      <c r="E15" s="104" t="s">
        <v>849</v>
      </c>
      <c r="F15" s="569">
        <v>7.3</v>
      </c>
      <c r="G15" s="217">
        <v>22057.5</v>
      </c>
      <c r="H15" s="674">
        <v>0.0</v>
      </c>
      <c r="I15" s="216">
        <v>88.23</v>
      </c>
      <c r="J15" s="676">
        <f>IFERROR(__xludf.DUMMYFUNCTION("GOOGLEFINANCE(E15,""changepct"")"),-0.26)</f>
        <v>-0.26</v>
      </c>
      <c r="K15" s="677">
        <f>IFERROR(__xludf.DUMMYFUNCTION("googlefinance(E15,""price"")"),65.16)</f>
        <v>65.16</v>
      </c>
      <c r="L15" s="216">
        <v>98.08</v>
      </c>
      <c r="M15" s="677">
        <f t="shared" si="1"/>
        <v>-23.07</v>
      </c>
      <c r="N15" s="679">
        <f t="shared" si="6"/>
        <v>0.1116400317</v>
      </c>
      <c r="O15" s="680">
        <f t="shared" si="2"/>
        <v>2462.5</v>
      </c>
      <c r="P15" s="538">
        <v>0.0023</v>
      </c>
      <c r="Q15" s="217"/>
      <c r="R15" s="210" t="s">
        <v>849</v>
      </c>
      <c r="S15" s="211">
        <v>44120.0</v>
      </c>
      <c r="T15" s="212">
        <v>98.08</v>
      </c>
      <c r="U15" s="213">
        <v>24520.0</v>
      </c>
      <c r="V15" s="657"/>
      <c r="W15" s="257"/>
      <c r="X15" s="258"/>
      <c r="Y15" s="658"/>
    </row>
    <row r="16">
      <c r="A16" s="528"/>
      <c r="B16" s="528"/>
      <c r="C16" s="684">
        <f>H16/E137</f>
        <v>0</v>
      </c>
      <c r="D16" s="685" t="s">
        <v>743</v>
      </c>
      <c r="E16" s="104" t="s">
        <v>744</v>
      </c>
      <c r="F16" s="569">
        <v>7.2</v>
      </c>
      <c r="G16" s="217">
        <v>34800.0</v>
      </c>
      <c r="H16" s="674">
        <v>0.0</v>
      </c>
      <c r="I16" s="521">
        <v>34.8</v>
      </c>
      <c r="J16" s="676">
        <f>IFERROR(__xludf.DUMMYFUNCTION("GOOGLEFINANCE(E16,""changepct"")"),-1.13)</f>
        <v>-1.13</v>
      </c>
      <c r="K16" s="677">
        <f>IFERROR(__xludf.DUMMYFUNCTION("googlefinance(E16,""price"")"),63.81)</f>
        <v>63.81</v>
      </c>
      <c r="L16" s="216">
        <v>43.52</v>
      </c>
      <c r="M16" s="677">
        <f t="shared" si="1"/>
        <v>29.01</v>
      </c>
      <c r="N16" s="679">
        <f t="shared" si="6"/>
        <v>0.2505747126</v>
      </c>
      <c r="O16" s="680">
        <f t="shared" si="2"/>
        <v>8720</v>
      </c>
      <c r="P16" s="538">
        <v>0.0144</v>
      </c>
      <c r="Q16" s="217"/>
      <c r="R16" s="210" t="s">
        <v>744</v>
      </c>
      <c r="S16" s="211">
        <v>44186.0</v>
      </c>
      <c r="T16" s="212">
        <v>43.52</v>
      </c>
      <c r="U16" s="213">
        <v>43520.0</v>
      </c>
      <c r="V16" s="657"/>
      <c r="W16" s="257"/>
      <c r="X16" s="258"/>
      <c r="Y16" s="658"/>
    </row>
    <row r="17">
      <c r="A17" s="528"/>
      <c r="B17" s="528"/>
      <c r="C17" s="684">
        <f>H17/E137</f>
        <v>0</v>
      </c>
      <c r="D17" s="685" t="s">
        <v>803</v>
      </c>
      <c r="E17" s="104" t="s">
        <v>804</v>
      </c>
      <c r="F17" s="569">
        <v>7.7</v>
      </c>
      <c r="G17" s="522">
        <v>42110.0</v>
      </c>
      <c r="H17" s="674">
        <v>0.0</v>
      </c>
      <c r="I17" s="521">
        <v>84.22</v>
      </c>
      <c r="J17" s="676">
        <f>IFERROR(__xludf.DUMMYFUNCTION("GOOGLEFINANCE(E17,""changepct"")"),0.78)</f>
        <v>0.78</v>
      </c>
      <c r="K17" s="677">
        <f>IFERROR(__xludf.DUMMYFUNCTION("googlefinance(E17,""price"")"),46.0)</f>
        <v>46</v>
      </c>
      <c r="L17" s="216">
        <v>96.9</v>
      </c>
      <c r="M17" s="677">
        <f t="shared" si="1"/>
        <v>-38.22</v>
      </c>
      <c r="N17" s="679">
        <f t="shared" si="6"/>
        <v>0.1505580622</v>
      </c>
      <c r="O17" s="680">
        <f t="shared" si="2"/>
        <v>6340</v>
      </c>
      <c r="P17" s="195" t="s">
        <v>128</v>
      </c>
      <c r="Q17" s="514"/>
      <c r="R17" s="210" t="s">
        <v>804</v>
      </c>
      <c r="S17" s="211">
        <v>44186.0</v>
      </c>
      <c r="T17" s="212">
        <v>96.9</v>
      </c>
      <c r="U17" s="213">
        <v>48450.0</v>
      </c>
      <c r="V17" s="657"/>
      <c r="W17" s="257"/>
      <c r="X17" s="258"/>
      <c r="Y17" s="658"/>
    </row>
    <row r="18">
      <c r="A18" s="528"/>
      <c r="B18" s="528"/>
      <c r="C18" s="683">
        <f>H18/E137</f>
        <v>0</v>
      </c>
      <c r="D18" s="104" t="s">
        <v>337</v>
      </c>
      <c r="E18" s="104" t="s">
        <v>338</v>
      </c>
      <c r="F18" s="569">
        <v>6.5</v>
      </c>
      <c r="G18" s="217">
        <v>25890.0</v>
      </c>
      <c r="H18" s="674">
        <v>0.0</v>
      </c>
      <c r="I18" s="521">
        <v>51.78</v>
      </c>
      <c r="J18" s="676">
        <f>IFERROR(__xludf.DUMMYFUNCTION("GOOGLEFINANCE(E18,""changepct"")"),-2.36)</f>
        <v>-2.36</v>
      </c>
      <c r="K18" s="677">
        <f>IFERROR(__xludf.DUMMYFUNCTION("googlefinance(E18,""price"")"),19.82)</f>
        <v>19.82</v>
      </c>
      <c r="L18" s="216">
        <v>53.72</v>
      </c>
      <c r="M18" s="677">
        <f t="shared" si="1"/>
        <v>-31.96</v>
      </c>
      <c r="N18" s="679">
        <f t="shared" si="6"/>
        <v>0.03746620317</v>
      </c>
      <c r="O18" s="680">
        <f t="shared" si="2"/>
        <v>970</v>
      </c>
      <c r="P18" s="538">
        <v>0.0022</v>
      </c>
      <c r="Q18" s="514"/>
      <c r="R18" s="210" t="s">
        <v>338</v>
      </c>
      <c r="S18" s="211">
        <v>44118.0</v>
      </c>
      <c r="T18" s="212">
        <v>53.72</v>
      </c>
      <c r="U18" s="213">
        <v>26860.0</v>
      </c>
      <c r="V18" s="657"/>
      <c r="W18" s="257"/>
      <c r="X18" s="258"/>
      <c r="Y18" s="658"/>
    </row>
    <row r="19">
      <c r="A19" s="584"/>
      <c r="B19" s="563"/>
      <c r="C19" s="686">
        <f>H19/E137</f>
        <v>0</v>
      </c>
      <c r="D19" s="529" t="s">
        <v>490</v>
      </c>
      <c r="E19" s="529" t="s">
        <v>349</v>
      </c>
      <c r="F19" s="588">
        <v>6.8</v>
      </c>
      <c r="G19" s="687">
        <v>21220.0</v>
      </c>
      <c r="H19" s="688">
        <v>0.0</v>
      </c>
      <c r="I19" s="689">
        <v>21.22</v>
      </c>
      <c r="J19" s="676">
        <f>IFERROR(__xludf.DUMMYFUNCTION("GOOGLEFINANCE(E19,""changepct"")"),-2.23)</f>
        <v>-2.23</v>
      </c>
      <c r="K19" s="677">
        <f>IFERROR(__xludf.DUMMYFUNCTION("googlefinance(E19,""price"")"),4.38)</f>
        <v>4.38</v>
      </c>
      <c r="L19" s="689">
        <v>26.16</v>
      </c>
      <c r="M19" s="677">
        <f t="shared" si="1"/>
        <v>-16.84</v>
      </c>
      <c r="N19" s="679">
        <f t="shared" si="6"/>
        <v>0.232799246</v>
      </c>
      <c r="O19" s="680">
        <f t="shared" si="2"/>
        <v>4940</v>
      </c>
      <c r="P19" s="588" t="s">
        <v>128</v>
      </c>
      <c r="Q19" s="690"/>
      <c r="R19" s="210" t="s">
        <v>349</v>
      </c>
      <c r="S19" s="211">
        <v>44118.0</v>
      </c>
      <c r="T19" s="212">
        <v>26.16</v>
      </c>
      <c r="U19" s="213">
        <v>26160.0</v>
      </c>
      <c r="V19" s="657"/>
      <c r="W19" s="257"/>
      <c r="X19" s="258"/>
      <c r="Y19" s="658"/>
    </row>
    <row r="20">
      <c r="A20" s="584"/>
      <c r="B20" s="563"/>
      <c r="C20" s="686">
        <f>H20/E137</f>
        <v>0</v>
      </c>
      <c r="D20" s="529" t="s">
        <v>850</v>
      </c>
      <c r="E20" s="529" t="s">
        <v>851</v>
      </c>
      <c r="F20" s="588">
        <v>7.1</v>
      </c>
      <c r="G20" s="687">
        <v>29850.0</v>
      </c>
      <c r="H20" s="688">
        <v>0.0</v>
      </c>
      <c r="I20" s="689">
        <v>59.7</v>
      </c>
      <c r="J20" s="676">
        <f>IFERROR(__xludf.DUMMYFUNCTION("GOOGLEFINANCE(E20,""changepct"")"),-1.21)</f>
        <v>-1.21</v>
      </c>
      <c r="K20" s="677">
        <f>IFERROR(__xludf.DUMMYFUNCTION("googlefinance(E20,""price"")"),166.91)</f>
        <v>166.91</v>
      </c>
      <c r="L20" s="689">
        <v>64.79</v>
      </c>
      <c r="M20" s="677">
        <f t="shared" si="1"/>
        <v>107.21</v>
      </c>
      <c r="N20" s="679">
        <f t="shared" si="6"/>
        <v>0.08525963149</v>
      </c>
      <c r="O20" s="680">
        <f t="shared" si="2"/>
        <v>2545</v>
      </c>
      <c r="P20" s="572">
        <v>0.0168</v>
      </c>
      <c r="Q20" s="690"/>
      <c r="R20" s="210" t="s">
        <v>851</v>
      </c>
      <c r="S20" s="211">
        <v>44186.0</v>
      </c>
      <c r="T20" s="212">
        <v>64.79</v>
      </c>
      <c r="U20" s="213">
        <v>32395.0</v>
      </c>
      <c r="V20" s="657"/>
      <c r="W20" s="257"/>
      <c r="X20" s="258"/>
      <c r="Y20" s="658"/>
    </row>
    <row r="21">
      <c r="A21" s="584"/>
      <c r="B21" s="563"/>
      <c r="C21" s="529" t="s">
        <v>128</v>
      </c>
      <c r="D21" s="529" t="s">
        <v>852</v>
      </c>
      <c r="E21" s="529" t="s">
        <v>853</v>
      </c>
      <c r="F21" s="584"/>
      <c r="G21" s="690"/>
      <c r="H21" s="691"/>
      <c r="I21" s="692"/>
      <c r="J21" s="584"/>
      <c r="K21" s="584"/>
      <c r="L21" s="692"/>
      <c r="M21" s="584"/>
      <c r="N21" s="679"/>
      <c r="O21" s="680"/>
      <c r="P21" s="584"/>
      <c r="Q21" s="690"/>
      <c r="R21" s="657"/>
      <c r="S21" s="257"/>
      <c r="T21" s="258"/>
      <c r="U21" s="658"/>
      <c r="V21" s="657"/>
      <c r="W21" s="257"/>
      <c r="X21" s="258"/>
      <c r="Y21" s="658"/>
    </row>
    <row r="22">
      <c r="A22" s="173"/>
      <c r="B22" s="13" t="s">
        <v>89</v>
      </c>
      <c r="C22" s="173"/>
      <c r="D22" s="173"/>
      <c r="E22" s="173"/>
      <c r="F22" s="173"/>
      <c r="G22" s="693">
        <f t="shared" ref="G22:H22" si="7">SUM(G3:G18)</f>
        <v>473601</v>
      </c>
      <c r="H22" s="694">
        <f t="shared" si="7"/>
        <v>20679.8</v>
      </c>
      <c r="I22" s="607"/>
      <c r="J22" s="173"/>
      <c r="K22" s="173"/>
      <c r="L22" s="173"/>
      <c r="M22" s="173"/>
      <c r="N22" s="695">
        <f>O22/G22</f>
        <v>0.02621573856</v>
      </c>
      <c r="O22" s="693">
        <f>SUM(O3:O18)</f>
        <v>12415.8</v>
      </c>
      <c r="P22" s="173"/>
      <c r="Q22" s="693">
        <f>SUM(Q3:Q21)</f>
        <v>95</v>
      </c>
      <c r="R22" s="238" t="s">
        <v>89</v>
      </c>
      <c r="S22" s="239"/>
      <c r="T22" s="241"/>
      <c r="U22" s="240">
        <f>SUM(U3:U21)</f>
        <v>523972</v>
      </c>
      <c r="V22" s="238" t="s">
        <v>89</v>
      </c>
      <c r="W22" s="239"/>
      <c r="X22" s="241"/>
      <c r="Y22" s="240">
        <f>SUM(Y3:Y21)</f>
        <v>26613</v>
      </c>
    </row>
    <row r="23">
      <c r="A23" s="173"/>
      <c r="B23" s="13" t="s">
        <v>807</v>
      </c>
      <c r="C23" s="504" t="s">
        <v>729</v>
      </c>
      <c r="D23" s="13" t="s">
        <v>3</v>
      </c>
      <c r="E23" s="13" t="s">
        <v>4</v>
      </c>
      <c r="F23" s="13" t="s">
        <v>5</v>
      </c>
      <c r="G23" s="504" t="s">
        <v>229</v>
      </c>
      <c r="H23" s="505" t="s">
        <v>730</v>
      </c>
      <c r="I23" s="505" t="s">
        <v>844</v>
      </c>
      <c r="J23" s="506" t="s">
        <v>10</v>
      </c>
      <c r="K23" s="673" t="s">
        <v>11</v>
      </c>
      <c r="L23" s="508" t="s">
        <v>476</v>
      </c>
      <c r="M23" s="507" t="s">
        <v>13</v>
      </c>
      <c r="N23" s="504" t="s">
        <v>845</v>
      </c>
      <c r="O23" s="508" t="s">
        <v>468</v>
      </c>
      <c r="P23" s="13" t="s">
        <v>16</v>
      </c>
      <c r="Q23" s="13" t="s">
        <v>17</v>
      </c>
      <c r="R23" s="238" t="s">
        <v>21</v>
      </c>
      <c r="S23" s="238" t="s">
        <v>22</v>
      </c>
      <c r="T23" s="238" t="s">
        <v>23</v>
      </c>
      <c r="U23" s="238" t="s">
        <v>24</v>
      </c>
      <c r="V23" s="238" t="s">
        <v>25</v>
      </c>
      <c r="W23" s="238" t="s">
        <v>26</v>
      </c>
      <c r="X23" s="238" t="s">
        <v>27</v>
      </c>
      <c r="Y23" s="238" t="s">
        <v>28</v>
      </c>
    </row>
    <row r="24">
      <c r="A24" s="565" t="s">
        <v>733</v>
      </c>
      <c r="B24" s="681">
        <f>H35/E137</f>
        <v>0.03934572158</v>
      </c>
      <c r="C24" s="599">
        <f>H24/E137</f>
        <v>0.01390440195</v>
      </c>
      <c r="D24" s="344" t="s">
        <v>677</v>
      </c>
      <c r="E24" s="344" t="s">
        <v>315</v>
      </c>
      <c r="F24" s="651">
        <v>7.9</v>
      </c>
      <c r="G24" s="106">
        <v>61296.0</v>
      </c>
      <c r="H24" s="696">
        <f t="shared" ref="H24:H25" si="8">G24+O24</f>
        <v>89252.17534</v>
      </c>
      <c r="I24" s="675">
        <v>63.19</v>
      </c>
      <c r="J24" s="676">
        <f>IFERROR(__xludf.DUMMYFUNCTION("GOOGLEFINANCE(E24,""changepct"")"),-2.23)</f>
        <v>-2.23</v>
      </c>
      <c r="K24" s="677">
        <f>IFERROR(__xludf.DUMMYFUNCTION("googlefinance(E24,""price"")"),92.01)</f>
        <v>92.01</v>
      </c>
      <c r="L24" s="697"/>
      <c r="M24" s="697">
        <f t="shared" ref="M24:M34" si="9">K24-I24</f>
        <v>28.82</v>
      </c>
      <c r="N24" s="698">
        <f t="shared" ref="N24:N25" si="10">K24/I24-1</f>
        <v>0.4560848235</v>
      </c>
      <c r="O24" s="697">
        <f t="shared" ref="O24:O34" si="11">G24*N24</f>
        <v>27956.17534</v>
      </c>
      <c r="P24" s="682">
        <v>0.0327</v>
      </c>
      <c r="Q24" s="106">
        <v>515.0</v>
      </c>
      <c r="R24" s="657"/>
      <c r="S24" s="257"/>
      <c r="T24" s="258"/>
      <c r="U24" s="658"/>
      <c r="V24" s="257"/>
      <c r="W24" s="257"/>
      <c r="X24" s="257"/>
      <c r="Y24" s="257"/>
    </row>
    <row r="25">
      <c r="A25" s="528"/>
      <c r="B25" s="528"/>
      <c r="C25" s="599">
        <f>H25/E137</f>
        <v>0.002339777289</v>
      </c>
      <c r="D25" s="344" t="s">
        <v>854</v>
      </c>
      <c r="E25" s="344" t="s">
        <v>855</v>
      </c>
      <c r="F25" s="569">
        <v>7.1</v>
      </c>
      <c r="G25" s="106">
        <v>28368.0</v>
      </c>
      <c r="H25" s="696">
        <f t="shared" si="8"/>
        <v>15019</v>
      </c>
      <c r="I25" s="675">
        <v>283.68</v>
      </c>
      <c r="J25" s="676">
        <f>IFERROR(__xludf.DUMMYFUNCTION("GOOGLEFINANCE(E25,""changepct"")"),-0.74)</f>
        <v>-0.74</v>
      </c>
      <c r="K25" s="677">
        <f>IFERROR(__xludf.DUMMYFUNCTION("googlefinance(E25,""price"")"),150.19)</f>
        <v>150.19</v>
      </c>
      <c r="L25" s="697"/>
      <c r="M25" s="697">
        <f t="shared" si="9"/>
        <v>-133.49</v>
      </c>
      <c r="N25" s="698">
        <f t="shared" si="10"/>
        <v>-0.4705654258</v>
      </c>
      <c r="O25" s="697">
        <f t="shared" si="11"/>
        <v>-13349</v>
      </c>
      <c r="P25" s="569" t="s">
        <v>128</v>
      </c>
      <c r="Q25" s="514"/>
      <c r="R25" s="657"/>
      <c r="S25" s="257"/>
      <c r="T25" s="258"/>
      <c r="U25" s="658"/>
      <c r="V25" s="257"/>
      <c r="W25" s="257"/>
      <c r="X25" s="257"/>
      <c r="Y25" s="257"/>
    </row>
    <row r="26">
      <c r="A26" s="528"/>
      <c r="B26" s="528"/>
      <c r="C26" s="683">
        <f>H26/E137</f>
        <v>0</v>
      </c>
      <c r="D26" s="104" t="s">
        <v>856</v>
      </c>
      <c r="E26" s="104" t="s">
        <v>755</v>
      </c>
      <c r="F26" s="651">
        <v>7.8</v>
      </c>
      <c r="G26" s="106">
        <v>29776.0</v>
      </c>
      <c r="H26" s="106">
        <v>0.0</v>
      </c>
      <c r="I26" s="675">
        <v>148.88</v>
      </c>
      <c r="J26" s="676">
        <f>IFERROR(__xludf.DUMMYFUNCTION("GOOGLEFINANCE(E26,""changepct"")"),-1.18)</f>
        <v>-1.18</v>
      </c>
      <c r="K26" s="677">
        <f>IFERROR(__xludf.DUMMYFUNCTION("googlefinance(E26,""price"")"),143.34)</f>
        <v>143.34</v>
      </c>
      <c r="L26" s="675">
        <v>148.23</v>
      </c>
      <c r="M26" s="697">
        <f t="shared" si="9"/>
        <v>-5.54</v>
      </c>
      <c r="N26" s="698">
        <f t="shared" ref="N26:N27" si="12">L26/I26-1</f>
        <v>-0.004365932294</v>
      </c>
      <c r="O26" s="697">
        <f t="shared" si="11"/>
        <v>-130</v>
      </c>
      <c r="P26" s="569" t="s">
        <v>128</v>
      </c>
      <c r="Q26" s="514"/>
      <c r="R26" s="210" t="s">
        <v>755</v>
      </c>
      <c r="S26" s="211">
        <v>44118.0</v>
      </c>
      <c r="T26" s="212">
        <v>148.23</v>
      </c>
      <c r="U26" s="213">
        <v>29646.0</v>
      </c>
      <c r="V26" s="257"/>
      <c r="W26" s="257"/>
      <c r="X26" s="257"/>
      <c r="Y26" s="257"/>
    </row>
    <row r="27">
      <c r="A27" s="528"/>
      <c r="B27" s="528"/>
      <c r="C27" s="599">
        <f>H27/E137</f>
        <v>0</v>
      </c>
      <c r="D27" s="344" t="s">
        <v>857</v>
      </c>
      <c r="E27" s="344" t="s">
        <v>858</v>
      </c>
      <c r="F27" s="569">
        <v>7.2</v>
      </c>
      <c r="G27" s="106">
        <v>34329.0</v>
      </c>
      <c r="H27" s="106">
        <v>0.0</v>
      </c>
      <c r="I27" s="675">
        <v>114.43</v>
      </c>
      <c r="J27" s="676" t="str">
        <f>IFERROR(__xludf.DUMMYFUNCTION("GOOGLEFINANCE(E27,""changepct"")"),"#N/A")</f>
        <v>#N/A</v>
      </c>
      <c r="K27" s="677" t="str">
        <f>IFERROR(__xludf.DUMMYFUNCTION("googlefinance(E27,""price"")"),"#N/A")</f>
        <v>#N/A</v>
      </c>
      <c r="L27" s="675">
        <v>123.72</v>
      </c>
      <c r="M27" s="697" t="str">
        <f t="shared" si="9"/>
        <v>#N/A</v>
      </c>
      <c r="N27" s="698">
        <f t="shared" si="12"/>
        <v>0.08118500393</v>
      </c>
      <c r="O27" s="697">
        <f t="shared" si="11"/>
        <v>2787</v>
      </c>
      <c r="P27" s="569" t="s">
        <v>128</v>
      </c>
      <c r="Q27" s="514"/>
      <c r="R27" s="210" t="s">
        <v>858</v>
      </c>
      <c r="S27" s="211">
        <v>44118.0</v>
      </c>
      <c r="T27" s="212">
        <v>123.72</v>
      </c>
      <c r="U27" s="213">
        <v>37116.0</v>
      </c>
      <c r="V27" s="257"/>
      <c r="W27" s="257"/>
      <c r="X27" s="257"/>
      <c r="Y27" s="257"/>
    </row>
    <row r="28">
      <c r="A28" s="528"/>
      <c r="B28" s="528"/>
      <c r="C28" s="599">
        <f>H28/E137</f>
        <v>0.006550098949</v>
      </c>
      <c r="D28" s="344" t="s">
        <v>750</v>
      </c>
      <c r="E28" s="344" t="s">
        <v>317</v>
      </c>
      <c r="F28" s="569">
        <v>7.1</v>
      </c>
      <c r="G28" s="217">
        <v>45217.5</v>
      </c>
      <c r="H28" s="696">
        <f t="shared" ref="H28:H31" si="13">G28+O28</f>
        <v>42045</v>
      </c>
      <c r="I28" s="216">
        <v>60.29</v>
      </c>
      <c r="J28" s="676">
        <f>IFERROR(__xludf.DUMMYFUNCTION("GOOGLEFINANCE(E28,""changepct"")"),-2.81)</f>
        <v>-2.81</v>
      </c>
      <c r="K28" s="677">
        <f>IFERROR(__xludf.DUMMYFUNCTION("googlefinance(E28,""price"")"),56.06)</f>
        <v>56.06</v>
      </c>
      <c r="L28" s="697"/>
      <c r="M28" s="697">
        <f t="shared" si="9"/>
        <v>-4.23</v>
      </c>
      <c r="N28" s="698">
        <f t="shared" ref="N28:N31" si="14">K28/I28-1</f>
        <v>-0.07016088904</v>
      </c>
      <c r="O28" s="697">
        <f t="shared" si="11"/>
        <v>-3172.5</v>
      </c>
      <c r="P28" s="682">
        <v>0.0296</v>
      </c>
      <c r="Q28" s="217">
        <v>340.0</v>
      </c>
      <c r="R28" s="657"/>
      <c r="S28" s="257"/>
      <c r="T28" s="258"/>
      <c r="U28" s="658"/>
      <c r="V28" s="257"/>
      <c r="W28" s="257"/>
      <c r="X28" s="257"/>
      <c r="Y28" s="257"/>
    </row>
    <row r="29">
      <c r="A29" s="528"/>
      <c r="B29" s="528"/>
      <c r="C29" s="699">
        <f>H29/E137</f>
        <v>0.006396647945</v>
      </c>
      <c r="D29" s="567" t="s">
        <v>859</v>
      </c>
      <c r="E29" s="104" t="s">
        <v>860</v>
      </c>
      <c r="F29" s="569">
        <v>7.3</v>
      </c>
      <c r="G29" s="217">
        <v>31935.0</v>
      </c>
      <c r="H29" s="696">
        <f t="shared" si="13"/>
        <v>41060</v>
      </c>
      <c r="I29" s="216">
        <v>63.87</v>
      </c>
      <c r="J29" s="676">
        <f>IFERROR(__xludf.DUMMYFUNCTION("GOOGLEFINANCE(E29,""changepct"")"),-1.17)</f>
        <v>-1.17</v>
      </c>
      <c r="K29" s="677">
        <f>IFERROR(__xludf.DUMMYFUNCTION("googlefinance(E29,""price"")"),82.12)</f>
        <v>82.12</v>
      </c>
      <c r="L29" s="675"/>
      <c r="M29" s="697">
        <f t="shared" si="9"/>
        <v>18.25</v>
      </c>
      <c r="N29" s="698">
        <f t="shared" si="14"/>
        <v>0.2857366526</v>
      </c>
      <c r="O29" s="697">
        <f t="shared" si="11"/>
        <v>9125</v>
      </c>
      <c r="P29" s="682">
        <v>0.0303</v>
      </c>
      <c r="Q29" s="217">
        <v>268.0</v>
      </c>
      <c r="R29" s="657"/>
      <c r="S29" s="257"/>
      <c r="T29" s="258"/>
      <c r="U29" s="658"/>
      <c r="V29" s="257"/>
      <c r="W29" s="257"/>
      <c r="X29" s="257"/>
      <c r="Y29" s="257"/>
    </row>
    <row r="30">
      <c r="A30" s="528"/>
      <c r="B30" s="528"/>
      <c r="C30" s="699">
        <f>H30/E137</f>
        <v>0.0009107356036</v>
      </c>
      <c r="D30" s="567" t="s">
        <v>861</v>
      </c>
      <c r="E30" s="104" t="s">
        <v>862</v>
      </c>
      <c r="F30" s="569">
        <v>7.1</v>
      </c>
      <c r="G30" s="217">
        <v>29962.0</v>
      </c>
      <c r="H30" s="696">
        <f t="shared" si="13"/>
        <v>5846</v>
      </c>
      <c r="I30" s="216">
        <v>299.62</v>
      </c>
      <c r="J30" s="676">
        <f>IFERROR(__xludf.DUMMYFUNCTION("GOOGLEFINANCE(E30,""changepct"")"),-1.4)</f>
        <v>-1.4</v>
      </c>
      <c r="K30" s="677">
        <f>IFERROR(__xludf.DUMMYFUNCTION("googlefinance(E30,""price"")"),58.46)</f>
        <v>58.46</v>
      </c>
      <c r="L30" s="675"/>
      <c r="M30" s="697">
        <f t="shared" si="9"/>
        <v>-241.16</v>
      </c>
      <c r="N30" s="698">
        <f t="shared" si="14"/>
        <v>-0.8048861892</v>
      </c>
      <c r="O30" s="697">
        <f t="shared" si="11"/>
        <v>-24116</v>
      </c>
      <c r="P30" s="682">
        <v>0.0034</v>
      </c>
      <c r="Q30" s="217">
        <v>28.0</v>
      </c>
      <c r="R30" s="657"/>
      <c r="S30" s="257"/>
      <c r="T30" s="258"/>
      <c r="U30" s="658"/>
      <c r="V30" s="257"/>
      <c r="W30" s="257"/>
      <c r="X30" s="257"/>
      <c r="Y30" s="257"/>
    </row>
    <row r="31">
      <c r="A31" s="528"/>
      <c r="B31" s="528"/>
      <c r="C31" s="699">
        <f>H31/E137</f>
        <v>0.005128145609</v>
      </c>
      <c r="D31" s="567" t="s">
        <v>751</v>
      </c>
      <c r="E31" s="104" t="s">
        <v>752</v>
      </c>
      <c r="F31" s="569">
        <v>7.2</v>
      </c>
      <c r="G31" s="217">
        <v>33852.5</v>
      </c>
      <c r="H31" s="696">
        <f t="shared" si="13"/>
        <v>32917.5</v>
      </c>
      <c r="I31" s="216">
        <v>135.41</v>
      </c>
      <c r="J31" s="676">
        <f>IFERROR(__xludf.DUMMYFUNCTION("GOOGLEFINANCE(E31,""changepct"")"),-1.39)</f>
        <v>-1.39</v>
      </c>
      <c r="K31" s="677">
        <f>IFERROR(__xludf.DUMMYFUNCTION("googlefinance(E31,""price"")"),131.67)</f>
        <v>131.67</v>
      </c>
      <c r="L31" s="675"/>
      <c r="M31" s="697">
        <f t="shared" si="9"/>
        <v>-3.74</v>
      </c>
      <c r="N31" s="698">
        <f t="shared" si="14"/>
        <v>-0.02761982128</v>
      </c>
      <c r="O31" s="697">
        <f t="shared" si="11"/>
        <v>-935</v>
      </c>
      <c r="P31" s="569" t="s">
        <v>128</v>
      </c>
      <c r="Q31" s="514"/>
      <c r="R31" s="657"/>
      <c r="S31" s="257"/>
      <c r="T31" s="258"/>
      <c r="U31" s="658"/>
      <c r="V31" s="257"/>
      <c r="W31" s="257"/>
      <c r="X31" s="257"/>
      <c r="Y31" s="257"/>
    </row>
    <row r="32">
      <c r="A32" s="528"/>
      <c r="B32" s="528"/>
      <c r="C32" s="699">
        <f>H32/E137</f>
        <v>0</v>
      </c>
      <c r="D32" s="567" t="s">
        <v>654</v>
      </c>
      <c r="E32" s="104" t="s">
        <v>655</v>
      </c>
      <c r="F32" s="569">
        <v>7.1</v>
      </c>
      <c r="G32" s="217">
        <v>35375.0</v>
      </c>
      <c r="H32" s="106">
        <v>0.0</v>
      </c>
      <c r="I32" s="216">
        <v>70.75</v>
      </c>
      <c r="J32" s="676">
        <f>IFERROR(__xludf.DUMMYFUNCTION("GOOGLEFINANCE(E32,""changepct"")"),-1.87)</f>
        <v>-1.87</v>
      </c>
      <c r="K32" s="677">
        <f>IFERROR(__xludf.DUMMYFUNCTION("googlefinance(E32,""price"")"),39.38)</f>
        <v>39.38</v>
      </c>
      <c r="L32" s="675">
        <v>77.5</v>
      </c>
      <c r="M32" s="697">
        <f t="shared" si="9"/>
        <v>-31.37</v>
      </c>
      <c r="N32" s="698">
        <f>L32/I32-1</f>
        <v>0.09540636042</v>
      </c>
      <c r="O32" s="697">
        <f t="shared" si="11"/>
        <v>3375</v>
      </c>
      <c r="P32" s="682">
        <v>0.0574</v>
      </c>
      <c r="Q32" s="514"/>
      <c r="R32" s="210" t="s">
        <v>655</v>
      </c>
      <c r="S32" s="211">
        <v>44118.0</v>
      </c>
      <c r="T32" s="212">
        <v>77.5</v>
      </c>
      <c r="U32" s="213">
        <v>38750.0</v>
      </c>
      <c r="V32" s="257"/>
      <c r="W32" s="257"/>
      <c r="X32" s="257"/>
      <c r="Y32" s="257"/>
    </row>
    <row r="33">
      <c r="A33" s="528"/>
      <c r="B33" s="528"/>
      <c r="C33" s="683">
        <f>H33/E137</f>
        <v>0.00411591424</v>
      </c>
      <c r="D33" s="104" t="s">
        <v>105</v>
      </c>
      <c r="E33" s="104" t="s">
        <v>106</v>
      </c>
      <c r="F33" s="569">
        <v>7.4</v>
      </c>
      <c r="G33" s="217">
        <v>36700.0</v>
      </c>
      <c r="H33" s="696">
        <f>G33+O33</f>
        <v>26420</v>
      </c>
      <c r="I33" s="216">
        <v>36.7</v>
      </c>
      <c r="J33" s="676">
        <f>IFERROR(__xludf.DUMMYFUNCTION("GOOGLEFINANCE(E33,""changepct"")"),-0.75)</f>
        <v>-0.75</v>
      </c>
      <c r="K33" s="677">
        <f>IFERROR(__xludf.DUMMYFUNCTION("googlefinance(E33,""price"")"),26.42)</f>
        <v>26.42</v>
      </c>
      <c r="L33" s="697"/>
      <c r="M33" s="697">
        <f t="shared" si="9"/>
        <v>-10.28</v>
      </c>
      <c r="N33" s="698">
        <f>K33/I33-1</f>
        <v>-0.2801089918</v>
      </c>
      <c r="O33" s="697">
        <f t="shared" si="11"/>
        <v>-10280</v>
      </c>
      <c r="P33" s="682">
        <v>0.0268</v>
      </c>
      <c r="Q33" s="217">
        <v>245.0</v>
      </c>
      <c r="R33" s="657"/>
      <c r="S33" s="257"/>
      <c r="T33" s="258"/>
      <c r="U33" s="658"/>
      <c r="V33" s="257"/>
      <c r="W33" s="257"/>
      <c r="X33" s="257"/>
      <c r="Y33" s="257"/>
    </row>
    <row r="34">
      <c r="A34" s="528"/>
      <c r="B34" s="528"/>
      <c r="C34" s="599">
        <f>H34/E137</f>
        <v>0</v>
      </c>
      <c r="D34" s="344" t="s">
        <v>863</v>
      </c>
      <c r="E34" s="344" t="s">
        <v>864</v>
      </c>
      <c r="F34" s="569">
        <v>7.2</v>
      </c>
      <c r="G34" s="217">
        <v>35680.0</v>
      </c>
      <c r="H34" s="106">
        <v>0.0</v>
      </c>
      <c r="I34" s="216">
        <v>17.84</v>
      </c>
      <c r="J34" s="676">
        <f>IFERROR(__xludf.DUMMYFUNCTION("GOOGLEFINANCE(E34,""changepct"")"),-0.75)</f>
        <v>-0.75</v>
      </c>
      <c r="K34" s="677">
        <f>IFERROR(__xludf.DUMMYFUNCTION("googlefinance(E34,""price"")"),13.17)</f>
        <v>13.17</v>
      </c>
      <c r="L34" s="675">
        <v>17.39</v>
      </c>
      <c r="M34" s="697">
        <f t="shared" si="9"/>
        <v>-4.67</v>
      </c>
      <c r="N34" s="698">
        <f>L34/I34-1</f>
        <v>-0.02522421525</v>
      </c>
      <c r="O34" s="697">
        <f t="shared" si="11"/>
        <v>-900</v>
      </c>
      <c r="P34" s="682">
        <v>0.0462</v>
      </c>
      <c r="Q34" s="217"/>
      <c r="R34" s="210" t="s">
        <v>864</v>
      </c>
      <c r="S34" s="211">
        <v>44118.0</v>
      </c>
      <c r="T34" s="212">
        <v>17.39</v>
      </c>
      <c r="U34" s="213">
        <v>34780.0</v>
      </c>
      <c r="V34" s="257"/>
      <c r="W34" s="257"/>
      <c r="X34" s="257"/>
      <c r="Y34" s="257"/>
    </row>
    <row r="35">
      <c r="A35" s="173"/>
      <c r="B35" s="13" t="s">
        <v>89</v>
      </c>
      <c r="C35" s="173"/>
      <c r="D35" s="173"/>
      <c r="E35" s="173"/>
      <c r="F35" s="173"/>
      <c r="G35" s="693">
        <f t="shared" ref="G35:H35" si="15">SUM(G24:G34)</f>
        <v>402491</v>
      </c>
      <c r="H35" s="693">
        <f t="shared" si="15"/>
        <v>252559.6753</v>
      </c>
      <c r="I35" s="173"/>
      <c r="J35" s="173"/>
      <c r="K35" s="173"/>
      <c r="L35" s="173"/>
      <c r="M35" s="173"/>
      <c r="N35" s="695">
        <f>O35/G35</f>
        <v>-0.02394916819</v>
      </c>
      <c r="O35" s="693">
        <f>SUM(O24:O34)</f>
        <v>-9639.324656</v>
      </c>
      <c r="P35" s="173"/>
      <c r="Q35" s="693">
        <f>SUM(Q24:Q34)</f>
        <v>1396</v>
      </c>
      <c r="R35" s="238" t="s">
        <v>89</v>
      </c>
      <c r="S35" s="239"/>
      <c r="T35" s="241"/>
      <c r="U35" s="240">
        <f>SUM(U24:U34)</f>
        <v>140292</v>
      </c>
      <c r="V35" s="238" t="s">
        <v>89</v>
      </c>
      <c r="W35" s="239"/>
      <c r="X35" s="239"/>
      <c r="Y35" s="240"/>
    </row>
    <row r="36">
      <c r="A36" s="173"/>
      <c r="B36" s="13" t="s">
        <v>812</v>
      </c>
      <c r="C36" s="504" t="s">
        <v>729</v>
      </c>
      <c r="D36" s="13" t="s">
        <v>3</v>
      </c>
      <c r="E36" s="13" t="s">
        <v>4</v>
      </c>
      <c r="F36" s="13" t="s">
        <v>5</v>
      </c>
      <c r="G36" s="504" t="s">
        <v>229</v>
      </c>
      <c r="H36" s="505" t="s">
        <v>730</v>
      </c>
      <c r="I36" s="505" t="s">
        <v>844</v>
      </c>
      <c r="J36" s="506" t="s">
        <v>10</v>
      </c>
      <c r="K36" s="673" t="s">
        <v>11</v>
      </c>
      <c r="L36" s="508" t="s">
        <v>476</v>
      </c>
      <c r="M36" s="507" t="s">
        <v>13</v>
      </c>
      <c r="N36" s="504" t="s">
        <v>845</v>
      </c>
      <c r="O36" s="508" t="s">
        <v>468</v>
      </c>
      <c r="P36" s="13" t="s">
        <v>16</v>
      </c>
      <c r="Q36" s="13" t="s">
        <v>17</v>
      </c>
      <c r="R36" s="238" t="s">
        <v>21</v>
      </c>
      <c r="S36" s="238" t="s">
        <v>22</v>
      </c>
      <c r="T36" s="238" t="s">
        <v>23</v>
      </c>
      <c r="U36" s="238" t="s">
        <v>24</v>
      </c>
      <c r="V36" s="238" t="s">
        <v>25</v>
      </c>
      <c r="W36" s="238" t="s">
        <v>26</v>
      </c>
      <c r="X36" s="238" t="s">
        <v>27</v>
      </c>
      <c r="Y36" s="238" t="s">
        <v>28</v>
      </c>
    </row>
    <row r="37">
      <c r="A37" s="565"/>
      <c r="B37" s="681"/>
      <c r="C37" s="699">
        <f>H37/E137</f>
        <v>0</v>
      </c>
      <c r="D37" s="567" t="s">
        <v>813</v>
      </c>
      <c r="E37" s="567" t="s">
        <v>307</v>
      </c>
      <c r="F37" s="569">
        <v>7.8</v>
      </c>
      <c r="G37" s="213">
        <v>29730.0</v>
      </c>
      <c r="H37" s="106">
        <v>0.0</v>
      </c>
      <c r="I37" s="675">
        <v>19.82</v>
      </c>
      <c r="J37" s="700">
        <f>IFERROR(__xludf.DUMMYFUNCTION("GOOGLEFINANCE(E37,""changepct"")"),-0.87)</f>
        <v>-0.87</v>
      </c>
      <c r="K37" s="677">
        <f>IFERROR(__xludf.DUMMYFUNCTION("googlefinance(E37,""price"")"),11.43)</f>
        <v>11.43</v>
      </c>
      <c r="L37" s="678">
        <v>25.96</v>
      </c>
      <c r="M37" s="697">
        <f t="shared" ref="M37:M46" si="16">K37-I37</f>
        <v>-8.39</v>
      </c>
      <c r="N37" s="698">
        <f t="shared" ref="N37:N38" si="17">L37/I37-1</f>
        <v>0.3097880928</v>
      </c>
      <c r="O37" s="696">
        <f t="shared" ref="O37:O46" si="18">G37*N37</f>
        <v>9210</v>
      </c>
      <c r="P37" s="682">
        <v>0.03</v>
      </c>
      <c r="Q37" s="106">
        <v>45.0</v>
      </c>
      <c r="R37" s="210" t="s">
        <v>307</v>
      </c>
      <c r="S37" s="211">
        <v>44186.0</v>
      </c>
      <c r="T37" s="212">
        <v>25.96</v>
      </c>
      <c r="U37" s="213">
        <v>38940.0</v>
      </c>
      <c r="V37" s="210" t="s">
        <v>307</v>
      </c>
      <c r="W37" s="211">
        <v>44137.0</v>
      </c>
      <c r="X37" s="212">
        <v>19.82</v>
      </c>
      <c r="Y37" s="213">
        <v>29730.0</v>
      </c>
    </row>
    <row r="38">
      <c r="A38" s="565" t="s">
        <v>733</v>
      </c>
      <c r="B38" s="681">
        <f>H47/E137</f>
        <v>0.006285925138</v>
      </c>
      <c r="C38" s="699">
        <f>H38/E137</f>
        <v>0</v>
      </c>
      <c r="D38" s="567" t="s">
        <v>813</v>
      </c>
      <c r="E38" s="567" t="s">
        <v>307</v>
      </c>
      <c r="F38" s="569">
        <v>7.8</v>
      </c>
      <c r="G38" s="106">
        <v>18490.0</v>
      </c>
      <c r="H38" s="106">
        <v>0.0</v>
      </c>
      <c r="I38" s="675">
        <v>18.49</v>
      </c>
      <c r="J38" s="700">
        <f>IFERROR(__xludf.DUMMYFUNCTION("GOOGLEFINANCE(E38,""changepct"")"),-0.87)</f>
        <v>-0.87</v>
      </c>
      <c r="K38" s="677">
        <f>IFERROR(__xludf.DUMMYFUNCTION("googlefinance(E38,""price"")"),11.43)</f>
        <v>11.43</v>
      </c>
      <c r="L38" s="678">
        <v>21.13</v>
      </c>
      <c r="M38" s="697">
        <f t="shared" si="16"/>
        <v>-7.06</v>
      </c>
      <c r="N38" s="698">
        <f t="shared" si="17"/>
        <v>0.142779881</v>
      </c>
      <c r="O38" s="696">
        <f t="shared" si="18"/>
        <v>2640</v>
      </c>
      <c r="P38" s="682">
        <v>0.03</v>
      </c>
      <c r="Q38" s="696"/>
      <c r="R38" s="210" t="s">
        <v>307</v>
      </c>
      <c r="S38" s="211">
        <v>44118.0</v>
      </c>
      <c r="T38" s="212">
        <v>21.13</v>
      </c>
      <c r="U38" s="213">
        <v>21130.0</v>
      </c>
      <c r="V38" s="657"/>
      <c r="W38" s="257"/>
      <c r="X38" s="258"/>
      <c r="Y38" s="658"/>
    </row>
    <row r="39">
      <c r="A39" s="528"/>
      <c r="B39" s="528"/>
      <c r="C39" s="683">
        <f>H39/E137</f>
        <v>0.001571275966</v>
      </c>
      <c r="D39" s="104" t="s">
        <v>814</v>
      </c>
      <c r="E39" s="104" t="s">
        <v>305</v>
      </c>
      <c r="F39" s="569">
        <v>7.7</v>
      </c>
      <c r="G39" s="213">
        <v>21216.0</v>
      </c>
      <c r="H39" s="106">
        <f>G39+O39</f>
        <v>10086</v>
      </c>
      <c r="I39" s="212">
        <v>70.72</v>
      </c>
      <c r="J39" s="700">
        <f>IFERROR(__xludf.DUMMYFUNCTION("GOOGLEFINANCE(E39,""changepct"")"),-0.97)</f>
        <v>-0.97</v>
      </c>
      <c r="K39" s="677">
        <f>IFERROR(__xludf.DUMMYFUNCTION("googlefinance(E39,""price"")"),33.62)</f>
        <v>33.62</v>
      </c>
      <c r="L39" s="678"/>
      <c r="M39" s="697">
        <f t="shared" si="16"/>
        <v>-37.1</v>
      </c>
      <c r="N39" s="698">
        <f>K39/I39-1</f>
        <v>-0.5246040724</v>
      </c>
      <c r="O39" s="696">
        <f t="shared" si="18"/>
        <v>-11130</v>
      </c>
      <c r="P39" s="682">
        <v>0.0154</v>
      </c>
      <c r="Q39" s="106">
        <v>188.0</v>
      </c>
      <c r="R39" s="210"/>
      <c r="S39" s="211"/>
      <c r="T39" s="212"/>
      <c r="U39" s="213"/>
      <c r="V39" s="210" t="s">
        <v>305</v>
      </c>
      <c r="W39" s="211">
        <v>44137.0</v>
      </c>
      <c r="X39" s="212">
        <v>70.72</v>
      </c>
      <c r="Y39" s="213">
        <v>21216.0</v>
      </c>
    </row>
    <row r="40">
      <c r="A40" s="528"/>
      <c r="B40" s="528"/>
      <c r="C40" s="683">
        <f>H40/E137</f>
        <v>0</v>
      </c>
      <c r="D40" s="104" t="s">
        <v>814</v>
      </c>
      <c r="E40" s="104" t="s">
        <v>305</v>
      </c>
      <c r="F40" s="569">
        <v>7.7</v>
      </c>
      <c r="G40" s="106">
        <v>25916.0</v>
      </c>
      <c r="H40" s="106">
        <v>0.0</v>
      </c>
      <c r="I40" s="216">
        <v>64.79</v>
      </c>
      <c r="J40" s="700">
        <f>IFERROR(__xludf.DUMMYFUNCTION("GOOGLEFINANCE(E40,""changepct"")"),-0.97)</f>
        <v>-0.97</v>
      </c>
      <c r="K40" s="677">
        <f>IFERROR(__xludf.DUMMYFUNCTION("googlefinance(E40,""price"")"),33.62)</f>
        <v>33.62</v>
      </c>
      <c r="L40" s="678">
        <v>74.95</v>
      </c>
      <c r="M40" s="697">
        <f t="shared" si="16"/>
        <v>-31.17</v>
      </c>
      <c r="N40" s="698">
        <f>L40/I40-1</f>
        <v>0.1568143232</v>
      </c>
      <c r="O40" s="696">
        <f t="shared" si="18"/>
        <v>4064</v>
      </c>
      <c r="P40" s="682">
        <v>0.0154</v>
      </c>
      <c r="Q40" s="696"/>
      <c r="R40" s="210" t="s">
        <v>305</v>
      </c>
      <c r="S40" s="211">
        <v>44118.0</v>
      </c>
      <c r="T40" s="212">
        <v>74.95</v>
      </c>
      <c r="U40" s="213">
        <v>29980.0</v>
      </c>
      <c r="V40" s="657"/>
      <c r="W40" s="257"/>
      <c r="X40" s="258"/>
      <c r="Y40" s="658"/>
    </row>
    <row r="41">
      <c r="A41" s="528"/>
      <c r="B41" s="528"/>
      <c r="C41" s="683">
        <f>H41/E137</f>
        <v>0.002045494094</v>
      </c>
      <c r="D41" s="104" t="s">
        <v>678</v>
      </c>
      <c r="E41" s="104" t="s">
        <v>679</v>
      </c>
      <c r="F41" s="569">
        <v>7.9</v>
      </c>
      <c r="G41" s="106">
        <v>27715.0</v>
      </c>
      <c r="H41" s="696">
        <f>G41+O41</f>
        <v>13130</v>
      </c>
      <c r="I41" s="675">
        <v>55.43</v>
      </c>
      <c r="J41" s="700">
        <f>IFERROR(__xludf.DUMMYFUNCTION("GOOGLEFINANCE(E41,""changepct"")"),-1.57)</f>
        <v>-1.57</v>
      </c>
      <c r="K41" s="677">
        <f>IFERROR(__xludf.DUMMYFUNCTION("googlefinance(E41,""price"")"),26.26)</f>
        <v>26.26</v>
      </c>
      <c r="L41" s="678"/>
      <c r="M41" s="697">
        <f t="shared" si="16"/>
        <v>-29.17</v>
      </c>
      <c r="N41" s="698">
        <f>K41/I41-1</f>
        <v>-0.5262493235</v>
      </c>
      <c r="O41" s="696">
        <f t="shared" si="18"/>
        <v>-14585</v>
      </c>
      <c r="P41" s="682">
        <v>0.0092</v>
      </c>
      <c r="Q41" s="106">
        <v>92.0</v>
      </c>
      <c r="R41" s="657"/>
      <c r="S41" s="257"/>
      <c r="T41" s="258"/>
      <c r="U41" s="658"/>
      <c r="V41" s="657"/>
      <c r="W41" s="257"/>
      <c r="X41" s="258"/>
      <c r="Y41" s="658"/>
    </row>
    <row r="42">
      <c r="A42" s="528"/>
      <c r="B42" s="528"/>
      <c r="C42" s="701">
        <f>H42/E137</f>
        <v>0</v>
      </c>
      <c r="D42" s="571" t="s">
        <v>350</v>
      </c>
      <c r="E42" s="567" t="s">
        <v>351</v>
      </c>
      <c r="F42" s="569">
        <v>7.1</v>
      </c>
      <c r="G42" s="106">
        <v>33100.0</v>
      </c>
      <c r="H42" s="106">
        <v>0.0</v>
      </c>
      <c r="I42" s="675">
        <v>66.2</v>
      </c>
      <c r="J42" s="700">
        <f>IFERROR(__xludf.DUMMYFUNCTION("GOOGLEFINANCE(E42,""changepct"")"),-2.5)</f>
        <v>-2.5</v>
      </c>
      <c r="K42" s="677">
        <f>IFERROR(__xludf.DUMMYFUNCTION("googlefinance(E42,""price"")"),178.07)</f>
        <v>178.07</v>
      </c>
      <c r="L42" s="675">
        <v>84.11</v>
      </c>
      <c r="M42" s="697">
        <f t="shared" si="16"/>
        <v>111.87</v>
      </c>
      <c r="N42" s="698">
        <f>L42/I42-1</f>
        <v>0.2705438066</v>
      </c>
      <c r="O42" s="696">
        <f t="shared" si="18"/>
        <v>8955</v>
      </c>
      <c r="P42" s="569" t="s">
        <v>128</v>
      </c>
      <c r="Q42" s="696"/>
      <c r="R42" s="210" t="s">
        <v>351</v>
      </c>
      <c r="S42" s="211">
        <v>44118.0</v>
      </c>
      <c r="T42" s="212">
        <v>84.11</v>
      </c>
      <c r="U42" s="213">
        <v>42055.0</v>
      </c>
      <c r="V42" s="657"/>
      <c r="W42" s="257"/>
      <c r="X42" s="258"/>
      <c r="Y42" s="658"/>
    </row>
    <row r="43">
      <c r="A43" s="528"/>
      <c r="B43" s="528"/>
      <c r="C43" s="699">
        <f>H43/E137</f>
        <v>0.002669155078</v>
      </c>
      <c r="D43" s="567" t="s">
        <v>391</v>
      </c>
      <c r="E43" s="567" t="s">
        <v>392</v>
      </c>
      <c r="F43" s="569">
        <v>6.8</v>
      </c>
      <c r="G43" s="106">
        <v>26275.0</v>
      </c>
      <c r="H43" s="696">
        <f>G43+O43</f>
        <v>17133.27175</v>
      </c>
      <c r="I43" s="675">
        <v>35.18</v>
      </c>
      <c r="J43" s="700">
        <f>IFERROR(__xludf.DUMMYFUNCTION("GOOGLEFINANCE(E43,""changepct"")"),-0.52)</f>
        <v>-0.52</v>
      </c>
      <c r="K43" s="677">
        <f>IFERROR(__xludf.DUMMYFUNCTION("googlefinance(E43,""price"")"),22.94)</f>
        <v>22.94</v>
      </c>
      <c r="L43" s="675"/>
      <c r="M43" s="697">
        <f t="shared" si="16"/>
        <v>-12.24</v>
      </c>
      <c r="N43" s="698">
        <f>K43/I43-1</f>
        <v>-0.3479249574</v>
      </c>
      <c r="O43" s="696">
        <f t="shared" si="18"/>
        <v>-9141.728255</v>
      </c>
      <c r="P43" s="682">
        <v>0.0268</v>
      </c>
      <c r="Q43" s="106">
        <v>216.0</v>
      </c>
      <c r="R43" s="657"/>
      <c r="S43" s="257"/>
      <c r="T43" s="258"/>
      <c r="U43" s="658"/>
      <c r="V43" s="657"/>
      <c r="W43" s="257"/>
      <c r="X43" s="258"/>
      <c r="Y43" s="658"/>
    </row>
    <row r="44">
      <c r="A44" s="528"/>
      <c r="B44" s="528"/>
      <c r="C44" s="599">
        <f>H44/E137</f>
        <v>0</v>
      </c>
      <c r="D44" s="344" t="s">
        <v>865</v>
      </c>
      <c r="E44" s="344" t="s">
        <v>494</v>
      </c>
      <c r="F44" s="569">
        <v>6.7</v>
      </c>
      <c r="G44" s="217">
        <v>34920.0</v>
      </c>
      <c r="H44" s="106">
        <v>0.0</v>
      </c>
      <c r="I44" s="216">
        <v>17.46</v>
      </c>
      <c r="J44" s="700">
        <f>IFERROR(__xludf.DUMMYFUNCTION("GOOGLEFINANCE(E44,""changepct"")"),0.45)</f>
        <v>0.45</v>
      </c>
      <c r="K44" s="677">
        <f>IFERROR(__xludf.DUMMYFUNCTION("googlefinance(E44,""price"")"),29.09)</f>
        <v>29.09</v>
      </c>
      <c r="L44" s="675">
        <v>20.56</v>
      </c>
      <c r="M44" s="697">
        <f t="shared" si="16"/>
        <v>11.63</v>
      </c>
      <c r="N44" s="698">
        <f t="shared" ref="N44:N46" si="19">L44/I44-1</f>
        <v>0.1775486827</v>
      </c>
      <c r="O44" s="696">
        <f t="shared" si="18"/>
        <v>6200</v>
      </c>
      <c r="P44" s="682">
        <v>0.0991</v>
      </c>
      <c r="Q44" s="217">
        <v>720.0</v>
      </c>
      <c r="R44" s="210" t="s">
        <v>494</v>
      </c>
      <c r="S44" s="211">
        <v>44186.0</v>
      </c>
      <c r="T44" s="212">
        <v>20.56</v>
      </c>
      <c r="U44" s="213">
        <v>41120.0</v>
      </c>
      <c r="V44" s="657"/>
      <c r="W44" s="257"/>
      <c r="X44" s="258"/>
      <c r="Y44" s="658"/>
    </row>
    <row r="45">
      <c r="A45" s="528"/>
      <c r="B45" s="528"/>
      <c r="C45" s="702">
        <f>H45/E137</f>
        <v>0</v>
      </c>
      <c r="D45" s="631" t="s">
        <v>815</v>
      </c>
      <c r="E45" s="631" t="s">
        <v>816</v>
      </c>
      <c r="F45" s="569">
        <v>7.2</v>
      </c>
      <c r="G45" s="106">
        <v>54000.0</v>
      </c>
      <c r="H45" s="106">
        <v>0.0</v>
      </c>
      <c r="I45" s="675">
        <v>4.36</v>
      </c>
      <c r="J45" s="700" t="str">
        <f>IFERROR(__xludf.DUMMYFUNCTION("GOOGLEFINANCE(E45,""changepct"")"),"#N/A")</f>
        <v>#N/A</v>
      </c>
      <c r="K45" s="677" t="str">
        <f>IFERROR(__xludf.DUMMYFUNCTION("googlefinance(E45,""price"")"),"#N/A")</f>
        <v>#N/A</v>
      </c>
      <c r="L45" s="675">
        <v>5.39</v>
      </c>
      <c r="M45" s="697" t="str">
        <f t="shared" si="16"/>
        <v>#N/A</v>
      </c>
      <c r="N45" s="698">
        <f t="shared" si="19"/>
        <v>0.2362385321</v>
      </c>
      <c r="O45" s="696">
        <f t="shared" si="18"/>
        <v>12756.88073</v>
      </c>
      <c r="P45" s="703">
        <v>0.1</v>
      </c>
      <c r="Q45" s="106">
        <v>1221.0</v>
      </c>
      <c r="R45" s="210" t="s">
        <v>816</v>
      </c>
      <c r="S45" s="211">
        <v>44186.0</v>
      </c>
      <c r="T45" s="212">
        <v>5.36</v>
      </c>
      <c r="U45" s="213">
        <v>66757.0</v>
      </c>
      <c r="V45" s="657"/>
      <c r="W45" s="257"/>
      <c r="X45" s="258"/>
      <c r="Y45" s="658"/>
    </row>
    <row r="46">
      <c r="A46" s="528"/>
      <c r="B46" s="528"/>
      <c r="C46" s="599">
        <f>H46/E137</f>
        <v>0</v>
      </c>
      <c r="D46" s="344" t="s">
        <v>680</v>
      </c>
      <c r="E46" s="344" t="s">
        <v>681</v>
      </c>
      <c r="F46" s="569">
        <v>7.1</v>
      </c>
      <c r="G46" s="217">
        <v>59544.0</v>
      </c>
      <c r="H46" s="106">
        <v>0.0</v>
      </c>
      <c r="I46" s="216">
        <v>57.41</v>
      </c>
      <c r="J46" s="700">
        <f>IFERROR(__xludf.DUMMYFUNCTION("GOOGLEFINANCE(E46,""changepct"")"),0.0)</f>
        <v>0</v>
      </c>
      <c r="K46" s="677">
        <f>IFERROR(__xludf.DUMMYFUNCTION("googlefinance(E46,""price"")"),6.96)</f>
        <v>6.96</v>
      </c>
      <c r="L46" s="675">
        <v>67.64</v>
      </c>
      <c r="M46" s="697">
        <f t="shared" si="16"/>
        <v>-50.45</v>
      </c>
      <c r="N46" s="698">
        <f t="shared" si="19"/>
        <v>0.1781919526</v>
      </c>
      <c r="O46" s="696">
        <f t="shared" si="18"/>
        <v>10610.26163</v>
      </c>
      <c r="P46" s="682">
        <v>0.0964</v>
      </c>
      <c r="Q46" s="217">
        <v>1425.0</v>
      </c>
      <c r="R46" s="210" t="s">
        <v>681</v>
      </c>
      <c r="S46" s="211">
        <v>44186.0</v>
      </c>
      <c r="T46" s="212">
        <v>67.64</v>
      </c>
      <c r="U46" s="213">
        <v>70154.0</v>
      </c>
      <c r="V46" s="657"/>
      <c r="W46" s="257"/>
      <c r="X46" s="258"/>
      <c r="Y46" s="658"/>
    </row>
    <row r="47">
      <c r="A47" s="173"/>
      <c r="B47" s="13" t="s">
        <v>89</v>
      </c>
      <c r="C47" s="173"/>
      <c r="D47" s="173"/>
      <c r="E47" s="173"/>
      <c r="F47" s="173"/>
      <c r="G47" s="693">
        <f t="shared" ref="G47:H47" si="20">SUM(G38:G46)</f>
        <v>301176</v>
      </c>
      <c r="H47" s="693">
        <f t="shared" si="20"/>
        <v>40349.27175</v>
      </c>
      <c r="I47" s="607"/>
      <c r="J47" s="173"/>
      <c r="K47" s="173"/>
      <c r="L47" s="173"/>
      <c r="M47" s="173"/>
      <c r="N47" s="695">
        <f>O47/G47</f>
        <v>0.03442974907</v>
      </c>
      <c r="O47" s="693">
        <f>SUM(O38:O46)</f>
        <v>10369.41411</v>
      </c>
      <c r="P47" s="173"/>
      <c r="Q47" s="693">
        <f>SUM(Q37:Q46)</f>
        <v>3907</v>
      </c>
      <c r="R47" s="238" t="s">
        <v>89</v>
      </c>
      <c r="S47" s="239"/>
      <c r="T47" s="241"/>
      <c r="U47" s="240">
        <f>SUM(U38:U46)</f>
        <v>271196</v>
      </c>
      <c r="V47" s="238" t="s">
        <v>89</v>
      </c>
      <c r="W47" s="239"/>
      <c r="X47" s="241"/>
      <c r="Y47" s="240">
        <f>SUM(Y37:Y46)</f>
        <v>50946</v>
      </c>
    </row>
    <row r="48">
      <c r="A48" s="173"/>
      <c r="B48" s="504" t="s">
        <v>817</v>
      </c>
      <c r="C48" s="504" t="s">
        <v>729</v>
      </c>
      <c r="D48" s="13" t="s">
        <v>3</v>
      </c>
      <c r="E48" s="13" t="s">
        <v>4</v>
      </c>
      <c r="F48" s="13" t="s">
        <v>5</v>
      </c>
      <c r="G48" s="504" t="s">
        <v>229</v>
      </c>
      <c r="H48" s="505" t="s">
        <v>730</v>
      </c>
      <c r="I48" s="505" t="s">
        <v>844</v>
      </c>
      <c r="J48" s="506" t="s">
        <v>10</v>
      </c>
      <c r="K48" s="673" t="s">
        <v>11</v>
      </c>
      <c r="L48" s="508" t="s">
        <v>476</v>
      </c>
      <c r="M48" s="507" t="s">
        <v>13</v>
      </c>
      <c r="N48" s="504" t="s">
        <v>845</v>
      </c>
      <c r="O48" s="508" t="s">
        <v>468</v>
      </c>
      <c r="P48" s="13" t="s">
        <v>16</v>
      </c>
      <c r="Q48" s="13" t="s">
        <v>17</v>
      </c>
      <c r="R48" s="238" t="s">
        <v>21</v>
      </c>
      <c r="S48" s="238" t="s">
        <v>22</v>
      </c>
      <c r="T48" s="238" t="s">
        <v>23</v>
      </c>
      <c r="U48" s="238" t="s">
        <v>24</v>
      </c>
      <c r="V48" s="238" t="s">
        <v>25</v>
      </c>
      <c r="W48" s="238" t="s">
        <v>26</v>
      </c>
      <c r="X48" s="238" t="s">
        <v>27</v>
      </c>
      <c r="Y48" s="238" t="s">
        <v>28</v>
      </c>
    </row>
    <row r="49">
      <c r="A49" s="565" t="s">
        <v>733</v>
      </c>
      <c r="B49" s="681" t="str">
        <f>H58/E137</f>
        <v>#N/A</v>
      </c>
      <c r="C49" s="599">
        <f>H49/E137</f>
        <v>0</v>
      </c>
      <c r="D49" s="344" t="s">
        <v>764</v>
      </c>
      <c r="E49" s="344" t="s">
        <v>765</v>
      </c>
      <c r="F49" s="569">
        <v>6.8</v>
      </c>
      <c r="G49" s="106">
        <v>21805.0</v>
      </c>
      <c r="H49" s="106">
        <v>0.0</v>
      </c>
      <c r="I49" s="675">
        <v>6.23</v>
      </c>
      <c r="J49" s="676">
        <f>IFERROR(__xludf.DUMMYFUNCTION("GOOGLEFINANCE(E49,""changepct"")"),-1.16)</f>
        <v>-1.16</v>
      </c>
      <c r="K49" s="677">
        <f>IFERROR(__xludf.DUMMYFUNCTION("googlefinance(E49,""price"")"),168.1)</f>
        <v>168.1</v>
      </c>
      <c r="L49" s="675">
        <v>10.73</v>
      </c>
      <c r="M49" s="697">
        <f t="shared" ref="M49:M57" si="21">K49-I49</f>
        <v>161.87</v>
      </c>
      <c r="N49" s="698">
        <f t="shared" ref="N49:N50" si="22">L49/I49-1</f>
        <v>0.7223113965</v>
      </c>
      <c r="O49" s="696">
        <f t="shared" ref="O49:O57" si="23">G49*N49</f>
        <v>15750</v>
      </c>
      <c r="P49" s="682">
        <v>0.0059</v>
      </c>
      <c r="Q49" s="106">
        <v>56.0</v>
      </c>
      <c r="R49" s="210" t="s">
        <v>765</v>
      </c>
      <c r="S49" s="211">
        <v>44186.0</v>
      </c>
      <c r="T49" s="212">
        <v>10.73</v>
      </c>
      <c r="U49" s="213">
        <v>37555.0</v>
      </c>
      <c r="V49" s="257"/>
      <c r="W49" s="257"/>
      <c r="X49" s="258"/>
      <c r="Y49" s="658"/>
    </row>
    <row r="50">
      <c r="A50" s="528"/>
      <c r="B50" s="528"/>
      <c r="C50" s="683">
        <f>H50/E137</f>
        <v>0</v>
      </c>
      <c r="D50" s="104" t="s">
        <v>536</v>
      </c>
      <c r="E50" s="104" t="s">
        <v>136</v>
      </c>
      <c r="F50" s="569">
        <v>7.5</v>
      </c>
      <c r="G50" s="106">
        <v>30300.0</v>
      </c>
      <c r="H50" s="106">
        <v>0.0</v>
      </c>
      <c r="I50" s="675">
        <v>10.1</v>
      </c>
      <c r="J50" s="676">
        <f>IFERROR(__xludf.DUMMYFUNCTION("GOOGLEFINANCE(E50,""changepct"")"),-2.21)</f>
        <v>-2.21</v>
      </c>
      <c r="K50" s="677">
        <f>IFERROR(__xludf.DUMMYFUNCTION("googlefinance(E50,""price"")"),51.33)</f>
        <v>51.33</v>
      </c>
      <c r="L50" s="675">
        <v>13.1</v>
      </c>
      <c r="M50" s="697">
        <f t="shared" si="21"/>
        <v>41.23</v>
      </c>
      <c r="N50" s="698">
        <f t="shared" si="22"/>
        <v>0.297029703</v>
      </c>
      <c r="O50" s="696">
        <f t="shared" si="23"/>
        <v>9000</v>
      </c>
      <c r="P50" s="569" t="s">
        <v>128</v>
      </c>
      <c r="Q50" s="514"/>
      <c r="R50" s="210" t="s">
        <v>136</v>
      </c>
      <c r="S50" s="211">
        <v>44186.0</v>
      </c>
      <c r="T50" s="212">
        <v>13.1</v>
      </c>
      <c r="U50" s="213">
        <v>39300.0</v>
      </c>
      <c r="V50" s="257"/>
      <c r="W50" s="257"/>
      <c r="X50" s="258"/>
      <c r="Y50" s="658"/>
    </row>
    <row r="51">
      <c r="A51" s="528"/>
      <c r="B51" s="528"/>
      <c r="C51" s="701" t="str">
        <f>H51/E137</f>
        <v>#N/A</v>
      </c>
      <c r="D51" s="571" t="s">
        <v>683</v>
      </c>
      <c r="E51" s="104" t="s">
        <v>684</v>
      </c>
      <c r="F51" s="569">
        <v>8.1</v>
      </c>
      <c r="G51" s="106">
        <v>48300.0</v>
      </c>
      <c r="H51" s="106" t="str">
        <f t="shared" ref="H51:H53" si="24">G51+O51</f>
        <v>#N/A</v>
      </c>
      <c r="I51" s="675">
        <v>24.15</v>
      </c>
      <c r="J51" s="676" t="str">
        <f>IFERROR(__xludf.DUMMYFUNCTION("GOOGLEFINANCE(E51,""changepct"")"),"#N/A")</f>
        <v>#N/A</v>
      </c>
      <c r="K51" s="677" t="str">
        <f>IFERROR(__xludf.DUMMYFUNCTION("googlefinance(E51,""price"")"),"#N/A")</f>
        <v>#N/A</v>
      </c>
      <c r="L51" s="675"/>
      <c r="M51" s="697" t="str">
        <f t="shared" si="21"/>
        <v>#N/A</v>
      </c>
      <c r="N51" s="698" t="str">
        <f t="shared" ref="N51:N53" si="25">K51/I51-1</f>
        <v>#N/A</v>
      </c>
      <c r="O51" s="696" t="str">
        <f t="shared" si="23"/>
        <v>#N/A</v>
      </c>
      <c r="P51" s="682">
        <v>0.0541</v>
      </c>
      <c r="Q51" s="217">
        <v>851.0</v>
      </c>
      <c r="R51" s="257"/>
      <c r="S51" s="257"/>
      <c r="T51" s="258"/>
      <c r="U51" s="658"/>
      <c r="V51" s="257"/>
      <c r="W51" s="257"/>
      <c r="X51" s="258"/>
      <c r="Y51" s="658"/>
    </row>
    <row r="52">
      <c r="A52" s="528"/>
      <c r="B52" s="528"/>
      <c r="C52" s="684">
        <f>H52/E137</f>
        <v>0.005681581845</v>
      </c>
      <c r="D52" s="685" t="s">
        <v>145</v>
      </c>
      <c r="E52" s="104" t="s">
        <v>146</v>
      </c>
      <c r="F52" s="569">
        <v>7.9</v>
      </c>
      <c r="G52" s="106">
        <v>34340.0</v>
      </c>
      <c r="H52" s="106">
        <f t="shared" si="24"/>
        <v>36470</v>
      </c>
      <c r="I52" s="675">
        <v>34.34</v>
      </c>
      <c r="J52" s="676">
        <f>IFERROR(__xludf.DUMMYFUNCTION("GOOGLEFINANCE(E52,""changepct"")"),-2.33)</f>
        <v>-2.33</v>
      </c>
      <c r="K52" s="677">
        <f>IFERROR(__xludf.DUMMYFUNCTION("googlefinance(E52,""price"")"),36.47)</f>
        <v>36.47</v>
      </c>
      <c r="L52" s="675"/>
      <c r="M52" s="697">
        <f t="shared" si="21"/>
        <v>2.13</v>
      </c>
      <c r="N52" s="698">
        <f t="shared" si="25"/>
        <v>0.06202679091</v>
      </c>
      <c r="O52" s="696">
        <f t="shared" si="23"/>
        <v>2130</v>
      </c>
      <c r="P52" s="682">
        <v>0.022</v>
      </c>
      <c r="Q52" s="217">
        <v>267.0</v>
      </c>
      <c r="R52" s="210"/>
      <c r="S52" s="211"/>
      <c r="T52" s="212"/>
      <c r="U52" s="213"/>
      <c r="V52" s="210" t="s">
        <v>146</v>
      </c>
      <c r="W52" s="211">
        <v>44109.0</v>
      </c>
      <c r="X52" s="212">
        <v>34.34</v>
      </c>
      <c r="Y52" s="213">
        <v>34000.0</v>
      </c>
    </row>
    <row r="53">
      <c r="A53" s="528"/>
      <c r="B53" s="528"/>
      <c r="C53" s="684">
        <f>H53/E137</f>
        <v>0.001402090392</v>
      </c>
      <c r="D53" s="685" t="s">
        <v>661</v>
      </c>
      <c r="E53" s="104" t="s">
        <v>144</v>
      </c>
      <c r="F53" s="569">
        <v>8.1</v>
      </c>
      <c r="G53" s="213">
        <v>29640.0</v>
      </c>
      <c r="H53" s="106">
        <f t="shared" si="24"/>
        <v>9000</v>
      </c>
      <c r="I53" s="212">
        <v>9.88</v>
      </c>
      <c r="J53" s="676">
        <f>IFERROR(__xludf.DUMMYFUNCTION("GOOGLEFINANCE(E53,""changepct"")"),-2.91)</f>
        <v>-2.91</v>
      </c>
      <c r="K53" s="677">
        <f>IFERROR(__xludf.DUMMYFUNCTION("googlefinance(E53,""price"")"),3.0)</f>
        <v>3</v>
      </c>
      <c r="L53" s="675"/>
      <c r="M53" s="697">
        <f t="shared" si="21"/>
        <v>-6.88</v>
      </c>
      <c r="N53" s="698">
        <f t="shared" si="25"/>
        <v>-0.6963562753</v>
      </c>
      <c r="O53" s="696">
        <f t="shared" si="23"/>
        <v>-20640</v>
      </c>
      <c r="P53" s="569" t="s">
        <v>128</v>
      </c>
      <c r="Q53" s="514"/>
      <c r="R53" s="210"/>
      <c r="S53" s="211"/>
      <c r="T53" s="212"/>
      <c r="U53" s="213"/>
      <c r="V53" s="210" t="s">
        <v>144</v>
      </c>
      <c r="W53" s="211">
        <v>44137.0</v>
      </c>
      <c r="X53" s="212">
        <v>9.88</v>
      </c>
      <c r="Y53" s="213">
        <v>29640.0</v>
      </c>
    </row>
    <row r="54">
      <c r="A54" s="528"/>
      <c r="B54" s="528"/>
      <c r="C54" s="684">
        <v>0.0</v>
      </c>
      <c r="D54" s="685" t="s">
        <v>661</v>
      </c>
      <c r="E54" s="104" t="s">
        <v>144</v>
      </c>
      <c r="F54" s="569">
        <v>8.1</v>
      </c>
      <c r="G54" s="106">
        <v>34170.0</v>
      </c>
      <c r="H54" s="106">
        <v>0.0</v>
      </c>
      <c r="I54" s="675">
        <v>11.39</v>
      </c>
      <c r="J54" s="676">
        <f>IFERROR(__xludf.DUMMYFUNCTION("GOOGLEFINANCE(E54,""changepct"")"),-2.91)</f>
        <v>-2.91</v>
      </c>
      <c r="K54" s="677">
        <f>IFERROR(__xludf.DUMMYFUNCTION("googlefinance(E54,""price"")"),3.0)</f>
        <v>3</v>
      </c>
      <c r="L54" s="675">
        <v>16.25</v>
      </c>
      <c r="M54" s="697">
        <f t="shared" si="21"/>
        <v>-8.39</v>
      </c>
      <c r="N54" s="698">
        <f t="shared" ref="N54:N57" si="26">L54/I54-1</f>
        <v>0.426690079</v>
      </c>
      <c r="O54" s="696">
        <f t="shared" si="23"/>
        <v>14580</v>
      </c>
      <c r="P54" s="569" t="s">
        <v>128</v>
      </c>
      <c r="Q54" s="514"/>
      <c r="R54" s="210" t="s">
        <v>144</v>
      </c>
      <c r="S54" s="211">
        <v>44109.0</v>
      </c>
      <c r="T54" s="212">
        <v>16.25</v>
      </c>
      <c r="U54" s="213">
        <v>48750.0</v>
      </c>
      <c r="V54" s="257"/>
      <c r="W54" s="257"/>
      <c r="X54" s="258"/>
      <c r="Y54" s="658"/>
    </row>
    <row r="55">
      <c r="A55" s="528"/>
      <c r="B55" s="528"/>
      <c r="C55" s="683">
        <v>0.0</v>
      </c>
      <c r="D55" s="104" t="s">
        <v>866</v>
      </c>
      <c r="E55" s="104" t="s">
        <v>867</v>
      </c>
      <c r="F55" s="569" t="s">
        <v>128</v>
      </c>
      <c r="G55" s="106">
        <v>26250.0</v>
      </c>
      <c r="H55" s="106">
        <v>0.0</v>
      </c>
      <c r="I55" s="675">
        <v>5.25</v>
      </c>
      <c r="J55" s="676">
        <f>IFERROR(__xludf.DUMMYFUNCTION("GOOGLEFINANCE(E55,""changepct"")"),0.84)</f>
        <v>0.84</v>
      </c>
      <c r="K55" s="677">
        <f>IFERROR(__xludf.DUMMYFUNCTION("googlefinance(E55,""price"")"),2.63)</f>
        <v>2.63</v>
      </c>
      <c r="L55" s="675">
        <v>5.25</v>
      </c>
      <c r="M55" s="697">
        <f t="shared" si="21"/>
        <v>-2.62</v>
      </c>
      <c r="N55" s="698">
        <f t="shared" si="26"/>
        <v>0</v>
      </c>
      <c r="O55" s="696">
        <f t="shared" si="23"/>
        <v>0</v>
      </c>
      <c r="P55" s="569" t="s">
        <v>128</v>
      </c>
      <c r="Q55" s="696"/>
      <c r="R55" s="210" t="s">
        <v>867</v>
      </c>
      <c r="S55" s="211">
        <v>44109.0</v>
      </c>
      <c r="T55" s="212">
        <v>5.25</v>
      </c>
      <c r="U55" s="213">
        <v>26250.0</v>
      </c>
      <c r="V55" s="257"/>
      <c r="W55" s="257"/>
      <c r="X55" s="258"/>
      <c r="Y55" s="658"/>
    </row>
    <row r="56">
      <c r="A56" s="528"/>
      <c r="B56" s="528"/>
      <c r="C56" s="683">
        <f>H56/E137</f>
        <v>0</v>
      </c>
      <c r="D56" s="104" t="s">
        <v>868</v>
      </c>
      <c r="E56" s="104" t="s">
        <v>148</v>
      </c>
      <c r="F56" s="569">
        <v>7.1</v>
      </c>
      <c r="G56" s="106">
        <v>26784.0</v>
      </c>
      <c r="H56" s="106">
        <v>0.0</v>
      </c>
      <c r="I56" s="675">
        <v>89.28</v>
      </c>
      <c r="J56" s="676">
        <f>IFERROR(__xludf.DUMMYFUNCTION("GOOGLEFINANCE(E56,""changepct"")"),-2.44)</f>
        <v>-2.44</v>
      </c>
      <c r="K56" s="677">
        <f>IFERROR(__xludf.DUMMYFUNCTION("googlefinance(E56,""price"")"),86.14)</f>
        <v>86.14</v>
      </c>
      <c r="L56" s="675">
        <v>137.64</v>
      </c>
      <c r="M56" s="697">
        <f t="shared" si="21"/>
        <v>-3.14</v>
      </c>
      <c r="N56" s="698">
        <f t="shared" si="26"/>
        <v>0.5416666667</v>
      </c>
      <c r="O56" s="696">
        <f t="shared" si="23"/>
        <v>14508</v>
      </c>
      <c r="P56" s="682">
        <v>0.025</v>
      </c>
      <c r="Q56" s="106">
        <v>256.0</v>
      </c>
      <c r="R56" s="210" t="s">
        <v>148</v>
      </c>
      <c r="S56" s="211">
        <v>44186.0</v>
      </c>
      <c r="T56" s="212">
        <v>137.64</v>
      </c>
      <c r="U56" s="213">
        <v>41292.0</v>
      </c>
      <c r="V56" s="257"/>
      <c r="W56" s="257"/>
      <c r="X56" s="258"/>
      <c r="Y56" s="658"/>
    </row>
    <row r="57">
      <c r="A57" s="528"/>
      <c r="B57" s="528"/>
      <c r="C57" s="683">
        <f>H57/E137</f>
        <v>0</v>
      </c>
      <c r="D57" s="104" t="s">
        <v>662</v>
      </c>
      <c r="E57" s="104" t="s">
        <v>663</v>
      </c>
      <c r="F57" s="569">
        <v>7.0</v>
      </c>
      <c r="G57" s="106">
        <v>30037.5</v>
      </c>
      <c r="H57" s="106">
        <v>0.0</v>
      </c>
      <c r="I57" s="675">
        <v>40.05</v>
      </c>
      <c r="J57" s="676">
        <f>IFERROR(__xludf.DUMMYFUNCTION("GOOGLEFINANCE(E57,""changepct"")"),-0.72)</f>
        <v>-0.72</v>
      </c>
      <c r="K57" s="677">
        <f>IFERROR(__xludf.DUMMYFUNCTION("googlefinance(E57,""price"")"),41.54)</f>
        <v>41.54</v>
      </c>
      <c r="L57" s="675">
        <v>58.27</v>
      </c>
      <c r="M57" s="697">
        <f t="shared" si="21"/>
        <v>1.49</v>
      </c>
      <c r="N57" s="698">
        <f t="shared" si="26"/>
        <v>0.4549313358</v>
      </c>
      <c r="O57" s="696">
        <f t="shared" si="23"/>
        <v>13665</v>
      </c>
      <c r="P57" s="682" t="s">
        <v>128</v>
      </c>
      <c r="Q57" s="514"/>
      <c r="R57" s="210" t="s">
        <v>663</v>
      </c>
      <c r="S57" s="211">
        <v>44186.0</v>
      </c>
      <c r="T57" s="212">
        <v>58.27</v>
      </c>
      <c r="U57" s="213">
        <v>43703.0</v>
      </c>
      <c r="V57" s="257"/>
      <c r="W57" s="257"/>
      <c r="X57" s="258"/>
      <c r="Y57" s="658"/>
    </row>
    <row r="58">
      <c r="A58" s="173"/>
      <c r="B58" s="13" t="s">
        <v>89</v>
      </c>
      <c r="C58" s="173"/>
      <c r="D58" s="173"/>
      <c r="E58" s="173"/>
      <c r="F58" s="173"/>
      <c r="G58" s="693">
        <f t="shared" ref="G58:H58" si="27">SUM(G49:G57)</f>
        <v>281626.5</v>
      </c>
      <c r="H58" s="693" t="str">
        <f t="shared" si="27"/>
        <v>#N/A</v>
      </c>
      <c r="I58" s="607"/>
      <c r="J58" s="173"/>
      <c r="K58" s="173"/>
      <c r="L58" s="173"/>
      <c r="M58" s="173"/>
      <c r="N58" s="695" t="str">
        <f>O58/G58</f>
        <v>#N/A</v>
      </c>
      <c r="O58" s="693" t="str">
        <f>SUM(O49:O57)</f>
        <v>#N/A</v>
      </c>
      <c r="P58" s="173"/>
      <c r="Q58" s="693">
        <f>SUM(Q49:Q57)</f>
        <v>1430</v>
      </c>
      <c r="R58" s="238" t="s">
        <v>89</v>
      </c>
      <c r="S58" s="239"/>
      <c r="T58" s="239"/>
      <c r="U58" s="240">
        <f>SUM(U49:U57)</f>
        <v>236850</v>
      </c>
      <c r="V58" s="238" t="s">
        <v>89</v>
      </c>
      <c r="W58" s="239"/>
      <c r="X58" s="241"/>
      <c r="Y58" s="240">
        <f>SUM(Y49:Y57)</f>
        <v>63640</v>
      </c>
    </row>
    <row r="59">
      <c r="A59" s="173"/>
      <c r="B59" s="13" t="s">
        <v>821</v>
      </c>
      <c r="C59" s="504" t="s">
        <v>729</v>
      </c>
      <c r="D59" s="13" t="s">
        <v>3</v>
      </c>
      <c r="E59" s="13" t="s">
        <v>4</v>
      </c>
      <c r="F59" s="13" t="s">
        <v>5</v>
      </c>
      <c r="G59" s="504" t="s">
        <v>229</v>
      </c>
      <c r="H59" s="505" t="s">
        <v>730</v>
      </c>
      <c r="I59" s="505" t="s">
        <v>844</v>
      </c>
      <c r="J59" s="506" t="s">
        <v>10</v>
      </c>
      <c r="K59" s="673" t="s">
        <v>11</v>
      </c>
      <c r="L59" s="508" t="s">
        <v>476</v>
      </c>
      <c r="M59" s="507" t="s">
        <v>13</v>
      </c>
      <c r="N59" s="504" t="s">
        <v>845</v>
      </c>
      <c r="O59" s="508" t="s">
        <v>468</v>
      </c>
      <c r="P59" s="13" t="s">
        <v>16</v>
      </c>
      <c r="Q59" s="704" t="s">
        <v>17</v>
      </c>
      <c r="R59" s="238" t="s">
        <v>21</v>
      </c>
      <c r="S59" s="238" t="s">
        <v>22</v>
      </c>
      <c r="T59" s="238" t="s">
        <v>23</v>
      </c>
      <c r="U59" s="238" t="s">
        <v>24</v>
      </c>
      <c r="V59" s="238" t="s">
        <v>25</v>
      </c>
      <c r="W59" s="238" t="s">
        <v>26</v>
      </c>
      <c r="X59" s="238" t="s">
        <v>27</v>
      </c>
      <c r="Y59" s="238" t="s">
        <v>28</v>
      </c>
    </row>
    <row r="60">
      <c r="A60" s="565" t="s">
        <v>733</v>
      </c>
      <c r="B60" s="681">
        <f>H69/E137</f>
        <v>0</v>
      </c>
      <c r="C60" s="683">
        <f>H60/E137</f>
        <v>0</v>
      </c>
      <c r="D60" s="104" t="s">
        <v>869</v>
      </c>
      <c r="E60" s="104" t="s">
        <v>870</v>
      </c>
      <c r="F60" s="569">
        <v>6.8</v>
      </c>
      <c r="G60" s="106">
        <v>23510.0</v>
      </c>
      <c r="H60" s="106">
        <v>0.0</v>
      </c>
      <c r="I60" s="675">
        <v>23.51</v>
      </c>
      <c r="J60" s="700">
        <f>IFERROR(__xludf.DUMMYFUNCTION("GOOGLEFINANCE(E60,""changepct"")"),-0.98)</f>
        <v>-0.98</v>
      </c>
      <c r="K60" s="677">
        <f>IFERROR(__xludf.DUMMYFUNCTION("googlefinance(E60,""price"")"),70.41)</f>
        <v>70.41</v>
      </c>
      <c r="L60" s="675">
        <v>29.79</v>
      </c>
      <c r="M60" s="697">
        <f t="shared" ref="M60:M68" si="28">K60-I60</f>
        <v>46.9</v>
      </c>
      <c r="N60" s="679">
        <f t="shared" ref="N60:N68" si="29">L60/I60-1</f>
        <v>0.2671203743</v>
      </c>
      <c r="O60" s="696">
        <f t="shared" ref="O60:O68" si="30">G60*N60</f>
        <v>6280</v>
      </c>
      <c r="P60" s="682">
        <v>0.0133</v>
      </c>
      <c r="Q60" s="106">
        <v>100.0</v>
      </c>
      <c r="R60" s="210" t="s">
        <v>870</v>
      </c>
      <c r="S60" s="211">
        <v>44186.0</v>
      </c>
      <c r="T60" s="212">
        <v>29.79</v>
      </c>
      <c r="U60" s="213">
        <v>29790.0</v>
      </c>
      <c r="V60" s="257"/>
      <c r="W60" s="257"/>
      <c r="X60" s="257"/>
      <c r="Y60" s="257"/>
    </row>
    <row r="61">
      <c r="A61" s="528"/>
      <c r="B61" s="528"/>
      <c r="C61" s="599">
        <f>H61/E137</f>
        <v>0</v>
      </c>
      <c r="D61" s="344" t="s">
        <v>539</v>
      </c>
      <c r="E61" s="104" t="s">
        <v>540</v>
      </c>
      <c r="F61" s="569">
        <v>7.1</v>
      </c>
      <c r="G61" s="106">
        <v>30145.5</v>
      </c>
      <c r="H61" s="106">
        <v>0.0</v>
      </c>
      <c r="I61" s="675">
        <v>200.97</v>
      </c>
      <c r="J61" s="700">
        <f>IFERROR(__xludf.DUMMYFUNCTION("GOOGLEFINANCE(E61,""changepct"")"),-0.46)</f>
        <v>-0.46</v>
      </c>
      <c r="K61" s="677">
        <f>IFERROR(__xludf.DUMMYFUNCTION("googlefinance(E61,""price"")"),573.55)</f>
        <v>573.55</v>
      </c>
      <c r="L61" s="521">
        <v>256.98</v>
      </c>
      <c r="M61" s="697">
        <f t="shared" si="28"/>
        <v>372.58</v>
      </c>
      <c r="N61" s="679">
        <f t="shared" si="29"/>
        <v>0.2786983132</v>
      </c>
      <c r="O61" s="696">
        <f t="shared" si="30"/>
        <v>8401.5</v>
      </c>
      <c r="P61" s="682">
        <v>0.0253</v>
      </c>
      <c r="Q61" s="106">
        <v>240.0</v>
      </c>
      <c r="R61" s="210" t="s">
        <v>540</v>
      </c>
      <c r="S61" s="211">
        <v>44186.0</v>
      </c>
      <c r="T61" s="212">
        <v>256.98</v>
      </c>
      <c r="U61" s="213">
        <v>38547.0</v>
      </c>
      <c r="V61" s="257"/>
      <c r="W61" s="257"/>
      <c r="X61" s="257"/>
      <c r="Y61" s="257"/>
    </row>
    <row r="62">
      <c r="A62" s="528"/>
      <c r="B62" s="528"/>
      <c r="C62" s="599">
        <f>H62/E137</f>
        <v>0</v>
      </c>
      <c r="D62" s="344" t="s">
        <v>871</v>
      </c>
      <c r="E62" s="344" t="s">
        <v>872</v>
      </c>
      <c r="F62" s="569">
        <v>7.2</v>
      </c>
      <c r="G62" s="217">
        <v>24090.0</v>
      </c>
      <c r="H62" s="106">
        <v>0.0</v>
      </c>
      <c r="I62" s="216">
        <v>24.09</v>
      </c>
      <c r="J62" s="700">
        <f>IFERROR(__xludf.DUMMYFUNCTION("GOOGLEFINANCE(E62,""changepct"")"),-0.97)</f>
        <v>-0.97</v>
      </c>
      <c r="K62" s="677">
        <f>IFERROR(__xludf.DUMMYFUNCTION("googlefinance(E62,""price"")"),43.91)</f>
        <v>43.91</v>
      </c>
      <c r="L62" s="675">
        <v>23.96</v>
      </c>
      <c r="M62" s="697">
        <f t="shared" si="28"/>
        <v>19.82</v>
      </c>
      <c r="N62" s="679">
        <f t="shared" si="29"/>
        <v>-0.005396430054</v>
      </c>
      <c r="O62" s="696">
        <f t="shared" si="30"/>
        <v>-130</v>
      </c>
      <c r="P62" s="682">
        <v>0.03</v>
      </c>
      <c r="Q62" s="217"/>
      <c r="R62" s="210" t="s">
        <v>872</v>
      </c>
      <c r="S62" s="211">
        <v>44118.0</v>
      </c>
      <c r="T62" s="212">
        <v>23.96</v>
      </c>
      <c r="U62" s="213">
        <v>23960.0</v>
      </c>
      <c r="V62" s="257"/>
      <c r="W62" s="257"/>
      <c r="X62" s="257"/>
      <c r="Y62" s="257"/>
    </row>
    <row r="63">
      <c r="A63" s="528"/>
      <c r="B63" s="528"/>
      <c r="C63" s="599">
        <f>H63/E137</f>
        <v>0</v>
      </c>
      <c r="D63" s="344" t="s">
        <v>615</v>
      </c>
      <c r="E63" s="344" t="s">
        <v>616</v>
      </c>
      <c r="F63" s="569">
        <v>7.2</v>
      </c>
      <c r="G63" s="217">
        <v>28881.0</v>
      </c>
      <c r="H63" s="106">
        <v>0.0</v>
      </c>
      <c r="I63" s="216">
        <v>96.27</v>
      </c>
      <c r="J63" s="700">
        <f>IFERROR(__xludf.DUMMYFUNCTION("GOOGLEFINANCE(E63,""changepct"")"),-0.77)</f>
        <v>-0.77</v>
      </c>
      <c r="K63" s="677">
        <f>IFERROR(__xludf.DUMMYFUNCTION("googlefinance(E63,""price"")"),239.32)</f>
        <v>239.32</v>
      </c>
      <c r="L63" s="521">
        <v>123.71</v>
      </c>
      <c r="M63" s="697">
        <f t="shared" si="28"/>
        <v>143.05</v>
      </c>
      <c r="N63" s="679">
        <f t="shared" si="29"/>
        <v>0.2850316817</v>
      </c>
      <c r="O63" s="696">
        <f t="shared" si="30"/>
        <v>8232</v>
      </c>
      <c r="P63" s="682">
        <v>0.0376</v>
      </c>
      <c r="Q63" s="217">
        <v>348.0</v>
      </c>
      <c r="R63" s="210" t="s">
        <v>616</v>
      </c>
      <c r="S63" s="211">
        <v>44186.0</v>
      </c>
      <c r="T63" s="212">
        <v>123.71</v>
      </c>
      <c r="U63" s="213">
        <v>37113.0</v>
      </c>
      <c r="V63" s="257"/>
      <c r="W63" s="257"/>
      <c r="X63" s="257"/>
      <c r="Y63" s="257"/>
    </row>
    <row r="64">
      <c r="A64" s="528"/>
      <c r="B64" s="528"/>
      <c r="C64" s="599">
        <f>H64/E137</f>
        <v>0</v>
      </c>
      <c r="D64" s="344" t="s">
        <v>822</v>
      </c>
      <c r="E64" s="344" t="s">
        <v>823</v>
      </c>
      <c r="F64" s="569">
        <v>7.3</v>
      </c>
      <c r="G64" s="106">
        <v>35010.0</v>
      </c>
      <c r="H64" s="106">
        <v>0.0</v>
      </c>
      <c r="I64" s="216">
        <v>11.67</v>
      </c>
      <c r="J64" s="700" t="str">
        <f>IFERROR(__xludf.DUMMYFUNCTION("GOOGLEFINANCE(E64,""changepct"")"),"#N/A")</f>
        <v>#N/A</v>
      </c>
      <c r="K64" s="677" t="str">
        <f>IFERROR(__xludf.DUMMYFUNCTION("googlefinance(E64,""price"")"),"#N/A")</f>
        <v>#N/A</v>
      </c>
      <c r="L64" s="678">
        <v>14.15</v>
      </c>
      <c r="M64" s="697" t="str">
        <f t="shared" si="28"/>
        <v>#N/A</v>
      </c>
      <c r="N64" s="679">
        <f t="shared" si="29"/>
        <v>0.2125107112</v>
      </c>
      <c r="O64" s="696">
        <f t="shared" si="30"/>
        <v>7440</v>
      </c>
      <c r="P64" s="682">
        <v>0.0958</v>
      </c>
      <c r="Q64" s="106">
        <v>1008.0</v>
      </c>
      <c r="R64" s="210" t="s">
        <v>823</v>
      </c>
      <c r="S64" s="211">
        <v>44186.0</v>
      </c>
      <c r="T64" s="212">
        <v>14.15</v>
      </c>
      <c r="U64" s="213">
        <v>42450.0</v>
      </c>
      <c r="V64" s="257"/>
      <c r="W64" s="257"/>
      <c r="X64" s="257"/>
      <c r="Y64" s="257"/>
    </row>
    <row r="65">
      <c r="A65" s="528"/>
      <c r="B65" s="528"/>
      <c r="C65" s="684">
        <f>H65/E137</f>
        <v>0</v>
      </c>
      <c r="D65" s="685" t="s">
        <v>824</v>
      </c>
      <c r="E65" s="104" t="s">
        <v>569</v>
      </c>
      <c r="F65" s="569">
        <v>7.1</v>
      </c>
      <c r="G65" s="217">
        <v>17840.0</v>
      </c>
      <c r="H65" s="106">
        <v>0.0</v>
      </c>
      <c r="I65" s="216">
        <v>35.68</v>
      </c>
      <c r="J65" s="700">
        <f>IFERROR(__xludf.DUMMYFUNCTION("GOOGLEFINANCE(E65,""changepct"")"),-0.25)</f>
        <v>-0.25</v>
      </c>
      <c r="K65" s="677">
        <f>IFERROR(__xludf.DUMMYFUNCTION("googlefinance(E65,""price"")"),60.42)</f>
        <v>60.42</v>
      </c>
      <c r="L65" s="521">
        <v>38.95</v>
      </c>
      <c r="M65" s="697">
        <f t="shared" si="28"/>
        <v>24.74</v>
      </c>
      <c r="N65" s="679">
        <f t="shared" si="29"/>
        <v>0.09164798206</v>
      </c>
      <c r="O65" s="696">
        <f t="shared" si="30"/>
        <v>1635</v>
      </c>
      <c r="P65" s="682">
        <v>0.0358</v>
      </c>
      <c r="Q65" s="514"/>
      <c r="R65" s="210" t="s">
        <v>569</v>
      </c>
      <c r="S65" s="211">
        <v>44118.0</v>
      </c>
      <c r="T65" s="212">
        <v>38.95</v>
      </c>
      <c r="U65" s="213">
        <v>19475.0</v>
      </c>
      <c r="V65" s="257"/>
      <c r="W65" s="257"/>
      <c r="X65" s="257"/>
      <c r="Y65" s="257"/>
    </row>
    <row r="66">
      <c r="A66" s="528"/>
      <c r="B66" s="528"/>
      <c r="C66" s="683">
        <f>H66/E137</f>
        <v>0</v>
      </c>
      <c r="D66" s="104" t="s">
        <v>873</v>
      </c>
      <c r="E66" s="104" t="s">
        <v>874</v>
      </c>
      <c r="F66" s="569">
        <v>7.3</v>
      </c>
      <c r="G66" s="217">
        <v>31005.0</v>
      </c>
      <c r="H66" s="106">
        <v>0.0</v>
      </c>
      <c r="I66" s="216">
        <v>62.01</v>
      </c>
      <c r="J66" s="700">
        <f>IFERROR(__xludf.DUMMYFUNCTION("GOOGLEFINANCE(E66,""changepct"")"),-1.05)</f>
        <v>-1.05</v>
      </c>
      <c r="K66" s="677">
        <f>IFERROR(__xludf.DUMMYFUNCTION("googlefinance(E66,""price"")"),144.38)</f>
        <v>144.38</v>
      </c>
      <c r="L66" s="675">
        <v>78.13</v>
      </c>
      <c r="M66" s="697">
        <f t="shared" si="28"/>
        <v>82.37</v>
      </c>
      <c r="N66" s="679">
        <f t="shared" si="29"/>
        <v>0.2599580713</v>
      </c>
      <c r="O66" s="696">
        <f t="shared" si="30"/>
        <v>8060</v>
      </c>
      <c r="P66" s="682">
        <v>0.0178</v>
      </c>
      <c r="Q66" s="217">
        <v>174.0</v>
      </c>
      <c r="R66" s="210" t="s">
        <v>874</v>
      </c>
      <c r="S66" s="211">
        <v>44186.0</v>
      </c>
      <c r="T66" s="212">
        <v>78.13</v>
      </c>
      <c r="U66" s="213">
        <v>39065.0</v>
      </c>
      <c r="V66" s="257"/>
      <c r="W66" s="257"/>
      <c r="X66" s="257"/>
      <c r="Y66" s="257"/>
    </row>
    <row r="67">
      <c r="A67" s="528"/>
      <c r="B67" s="528"/>
      <c r="C67" s="599">
        <f>H67/E137</f>
        <v>0</v>
      </c>
      <c r="D67" s="344" t="s">
        <v>768</v>
      </c>
      <c r="E67" s="344" t="s">
        <v>769</v>
      </c>
      <c r="F67" s="569">
        <v>7.2</v>
      </c>
      <c r="G67" s="106">
        <v>33462.0</v>
      </c>
      <c r="H67" s="106">
        <v>0.0</v>
      </c>
      <c r="I67" s="675">
        <v>167.31</v>
      </c>
      <c r="J67" s="700">
        <f>IFERROR(__xludf.DUMMYFUNCTION("GOOGLEFINANCE(E67,""changepct"")"),-0.84)</f>
        <v>-0.84</v>
      </c>
      <c r="K67" s="677">
        <f>IFERROR(__xludf.DUMMYFUNCTION("googlefinance(E67,""price"")"),231.53)</f>
        <v>231.53</v>
      </c>
      <c r="L67" s="521">
        <v>182.18</v>
      </c>
      <c r="M67" s="697">
        <f t="shared" si="28"/>
        <v>64.22</v>
      </c>
      <c r="N67" s="679">
        <f t="shared" si="29"/>
        <v>0.08887693503</v>
      </c>
      <c r="O67" s="696">
        <f t="shared" si="30"/>
        <v>2974</v>
      </c>
      <c r="P67" s="682">
        <v>0.0191</v>
      </c>
      <c r="Q67" s="106">
        <v>177.0</v>
      </c>
      <c r="R67" s="210" t="s">
        <v>769</v>
      </c>
      <c r="S67" s="211">
        <v>44186.0</v>
      </c>
      <c r="T67" s="212">
        <v>182.18</v>
      </c>
      <c r="U67" s="213">
        <v>36436.0</v>
      </c>
      <c r="V67" s="257"/>
      <c r="W67" s="257"/>
      <c r="X67" s="257"/>
      <c r="Y67" s="257"/>
    </row>
    <row r="68">
      <c r="A68" s="528"/>
      <c r="B68" s="528"/>
      <c r="C68" s="599">
        <f>H68/E137</f>
        <v>0</v>
      </c>
      <c r="D68" s="344" t="s">
        <v>664</v>
      </c>
      <c r="E68" s="344" t="s">
        <v>665</v>
      </c>
      <c r="F68" s="569">
        <v>7.1</v>
      </c>
      <c r="G68" s="106">
        <v>39994.0</v>
      </c>
      <c r="H68" s="106">
        <v>0.0</v>
      </c>
      <c r="I68" s="216">
        <v>199.97</v>
      </c>
      <c r="J68" s="700">
        <f>IFERROR(__xludf.DUMMYFUNCTION("GOOGLEFINANCE(E68,""changepct"")"),-1.05)</f>
        <v>-1.05</v>
      </c>
      <c r="K68" s="677">
        <f>IFERROR(__xludf.DUMMYFUNCTION("googlefinance(E68,""price"")"),315.31)</f>
        <v>315.31</v>
      </c>
      <c r="L68" s="675">
        <v>202.29</v>
      </c>
      <c r="M68" s="697">
        <f t="shared" si="28"/>
        <v>115.34</v>
      </c>
      <c r="N68" s="679">
        <f t="shared" si="29"/>
        <v>0.01160174026</v>
      </c>
      <c r="O68" s="696">
        <f t="shared" si="30"/>
        <v>464</v>
      </c>
      <c r="P68" s="682">
        <v>0.0067</v>
      </c>
      <c r="Q68" s="696"/>
      <c r="R68" s="210" t="s">
        <v>665</v>
      </c>
      <c r="S68" s="211">
        <v>44118.0</v>
      </c>
      <c r="T68" s="212">
        <v>202.29</v>
      </c>
      <c r="U68" s="213">
        <v>40458.0</v>
      </c>
      <c r="V68" s="257"/>
      <c r="W68" s="257"/>
      <c r="X68" s="257"/>
      <c r="Y68" s="257"/>
    </row>
    <row r="69">
      <c r="A69" s="173"/>
      <c r="B69" s="13" t="s">
        <v>89</v>
      </c>
      <c r="C69" s="173"/>
      <c r="D69" s="173"/>
      <c r="E69" s="173"/>
      <c r="F69" s="173"/>
      <c r="G69" s="693">
        <f t="shared" ref="G69:H69" si="31">SUM(G60:G68)</f>
        <v>263937.5</v>
      </c>
      <c r="H69" s="693">
        <f t="shared" si="31"/>
        <v>0</v>
      </c>
      <c r="I69" s="607"/>
      <c r="J69" s="173"/>
      <c r="K69" s="173"/>
      <c r="L69" s="173"/>
      <c r="M69" s="173"/>
      <c r="N69" s="695">
        <f>O69/G69</f>
        <v>0.1642680559</v>
      </c>
      <c r="O69" s="693">
        <f>SUM(O60:O68)</f>
        <v>43356.5</v>
      </c>
      <c r="P69" s="173"/>
      <c r="Q69" s="693">
        <f>SUM(Q60:Q68)</f>
        <v>2047</v>
      </c>
      <c r="R69" s="238" t="s">
        <v>89</v>
      </c>
      <c r="S69" s="239"/>
      <c r="T69" s="241"/>
      <c r="U69" s="240">
        <f>SUM(U60:U68)</f>
        <v>307294</v>
      </c>
      <c r="V69" s="238" t="s">
        <v>89</v>
      </c>
      <c r="W69" s="239"/>
      <c r="X69" s="239"/>
      <c r="Y69" s="240"/>
    </row>
    <row r="70">
      <c r="A70" s="13" t="s">
        <v>772</v>
      </c>
      <c r="B70" s="13" t="s">
        <v>825</v>
      </c>
      <c r="C70" s="504" t="s">
        <v>729</v>
      </c>
      <c r="D70" s="13" t="s">
        <v>150</v>
      </c>
      <c r="E70" s="13" t="s">
        <v>4</v>
      </c>
      <c r="F70" s="13" t="s">
        <v>5</v>
      </c>
      <c r="G70" s="504" t="s">
        <v>229</v>
      </c>
      <c r="H70" s="505" t="s">
        <v>730</v>
      </c>
      <c r="I70" s="505" t="s">
        <v>844</v>
      </c>
      <c r="J70" s="506" t="s">
        <v>10</v>
      </c>
      <c r="K70" s="673" t="s">
        <v>11</v>
      </c>
      <c r="L70" s="508" t="s">
        <v>476</v>
      </c>
      <c r="M70" s="507" t="s">
        <v>13</v>
      </c>
      <c r="N70" s="504" t="s">
        <v>845</v>
      </c>
      <c r="O70" s="508" t="s">
        <v>468</v>
      </c>
      <c r="P70" s="13" t="s">
        <v>16</v>
      </c>
      <c r="Q70" s="13" t="s">
        <v>17</v>
      </c>
      <c r="R70" s="238" t="s">
        <v>21</v>
      </c>
      <c r="S70" s="238" t="s">
        <v>22</v>
      </c>
      <c r="T70" s="238" t="s">
        <v>23</v>
      </c>
      <c r="U70" s="238" t="s">
        <v>24</v>
      </c>
      <c r="V70" s="238" t="s">
        <v>25</v>
      </c>
      <c r="W70" s="238" t="s">
        <v>26</v>
      </c>
      <c r="X70" s="238" t="s">
        <v>27</v>
      </c>
      <c r="Y70" s="238" t="s">
        <v>28</v>
      </c>
    </row>
    <row r="71">
      <c r="A71" s="565" t="s">
        <v>733</v>
      </c>
      <c r="B71" s="681"/>
      <c r="C71" s="599" t="str">
        <f>H71/E137</f>
        <v>#N/A</v>
      </c>
      <c r="D71" s="344" t="s">
        <v>151</v>
      </c>
      <c r="E71" s="344" t="s">
        <v>152</v>
      </c>
      <c r="F71" s="569">
        <v>9.1</v>
      </c>
      <c r="G71" s="106">
        <v>190590.0</v>
      </c>
      <c r="H71" s="696" t="str">
        <f t="shared" ref="H71:H94" si="32">G71+O71</f>
        <v>#N/A</v>
      </c>
      <c r="I71" s="675">
        <v>1905.9</v>
      </c>
      <c r="J71" s="515"/>
      <c r="K71" s="705" t="str">
        <f>IFERROR(__xludf.DUMMYFUNCTION("Index(ImportHTML(""https://www.apmex.com/spotprices/gold-price"",""table"",8),2,2)
"),"#N/A")</f>
        <v>#N/A</v>
      </c>
      <c r="L71" s="697"/>
      <c r="M71" s="697" t="str">
        <f t="shared" ref="M71:M94" si="33">K71-I71</f>
        <v>#N/A</v>
      </c>
      <c r="N71" s="698" t="str">
        <f t="shared" ref="N71:N94" si="34">K71/I71-1</f>
        <v>#N/A</v>
      </c>
      <c r="O71" s="696" t="str">
        <f t="shared" ref="O71:O94" si="35">G71*N71</f>
        <v>#N/A</v>
      </c>
      <c r="P71" s="569" t="s">
        <v>128</v>
      </c>
      <c r="Q71" s="514"/>
      <c r="R71" s="257"/>
      <c r="S71" s="257"/>
      <c r="T71" s="257"/>
      <c r="U71" s="257"/>
      <c r="V71" s="657"/>
      <c r="W71" s="257"/>
      <c r="X71" s="258"/>
      <c r="Y71" s="658"/>
    </row>
    <row r="72">
      <c r="A72" s="344" t="s">
        <v>153</v>
      </c>
      <c r="B72" s="596" t="str">
        <f>H71+H72</f>
        <v>#N/A</v>
      </c>
      <c r="C72" s="599" t="str">
        <f>H72/E137</f>
        <v>#N/A</v>
      </c>
      <c r="D72" s="344" t="s">
        <v>154</v>
      </c>
      <c r="E72" s="344" t="s">
        <v>155</v>
      </c>
      <c r="F72" s="569">
        <v>9.2</v>
      </c>
      <c r="G72" s="106">
        <v>118750.0</v>
      </c>
      <c r="H72" s="696" t="str">
        <f t="shared" si="32"/>
        <v>#N/A</v>
      </c>
      <c r="I72" s="675">
        <v>23.75</v>
      </c>
      <c r="J72" s="515"/>
      <c r="K72" s="705" t="str">
        <f>IFERROR(__xludf.DUMMYFUNCTION("Index(ImportHTML(""https://www.apmex.com/spotprices/silver-price"",""table"",8),2,2)"),"#N/A")</f>
        <v>#N/A</v>
      </c>
      <c r="L72" s="697"/>
      <c r="M72" s="697" t="str">
        <f t="shared" si="33"/>
        <v>#N/A</v>
      </c>
      <c r="N72" s="698" t="str">
        <f t="shared" si="34"/>
        <v>#N/A</v>
      </c>
      <c r="O72" s="696" t="str">
        <f t="shared" si="35"/>
        <v>#N/A</v>
      </c>
      <c r="P72" s="569" t="s">
        <v>128</v>
      </c>
      <c r="Q72" s="514"/>
      <c r="R72" s="257"/>
      <c r="S72" s="257"/>
      <c r="T72" s="257"/>
      <c r="U72" s="257"/>
      <c r="V72" s="657"/>
      <c r="W72" s="257"/>
      <c r="X72" s="258"/>
      <c r="Y72" s="658"/>
    </row>
    <row r="73">
      <c r="A73" s="104" t="s">
        <v>156</v>
      </c>
      <c r="B73" s="598" t="str">
        <f>B72/E137</f>
        <v>#N/A</v>
      </c>
      <c r="C73" s="599">
        <f>H73/E137</f>
        <v>0.0102936803</v>
      </c>
      <c r="D73" s="344" t="s">
        <v>773</v>
      </c>
      <c r="E73" s="344" t="s">
        <v>774</v>
      </c>
      <c r="F73" s="569">
        <v>9.1</v>
      </c>
      <c r="G73" s="106">
        <v>54100.0</v>
      </c>
      <c r="H73" s="696">
        <f t="shared" si="32"/>
        <v>66075</v>
      </c>
      <c r="I73" s="675">
        <v>21.64</v>
      </c>
      <c r="J73" s="676">
        <f>IFERROR(__xludf.DUMMYFUNCTION("GOOGLEFINANCE(E73,""changepct"")"),-1.23)</f>
        <v>-1.23</v>
      </c>
      <c r="K73" s="677">
        <f>IFERROR(__xludf.DUMMYFUNCTION("googlefinance(E73,""price"")"),26.43)</f>
        <v>26.43</v>
      </c>
      <c r="L73" s="675"/>
      <c r="M73" s="697">
        <f t="shared" si="33"/>
        <v>4.79</v>
      </c>
      <c r="N73" s="698">
        <f t="shared" si="34"/>
        <v>0.221349353</v>
      </c>
      <c r="O73" s="696">
        <f t="shared" si="35"/>
        <v>11975</v>
      </c>
      <c r="P73" s="569" t="s">
        <v>128</v>
      </c>
      <c r="Q73" s="514"/>
      <c r="R73" s="257"/>
      <c r="S73" s="257"/>
      <c r="T73" s="257"/>
      <c r="U73" s="257"/>
      <c r="V73" s="657"/>
      <c r="W73" s="257"/>
      <c r="X73" s="258"/>
      <c r="Y73" s="658"/>
    </row>
    <row r="74">
      <c r="A74" s="344" t="s">
        <v>159</v>
      </c>
      <c r="B74" s="596" t="str">
        <f>H73+H74+H75+H76+H77+H79+H84+H86+H87+H89+H91+H92+H93+H94+H81+H83+H78+H80+H82+H85+H88+H90</f>
        <v>#N/A</v>
      </c>
      <c r="C74" s="599">
        <f>H74/E137</f>
        <v>0.01578286418</v>
      </c>
      <c r="D74" s="344" t="s">
        <v>570</v>
      </c>
      <c r="E74" s="344" t="s">
        <v>158</v>
      </c>
      <c r="F74" s="569">
        <v>8.9</v>
      </c>
      <c r="G74" s="106">
        <v>117480.0</v>
      </c>
      <c r="H74" s="696">
        <f t="shared" si="32"/>
        <v>101310</v>
      </c>
      <c r="I74" s="675">
        <v>39.16</v>
      </c>
      <c r="J74" s="676">
        <f>IFERROR(__xludf.DUMMYFUNCTION("GOOGLEFINANCE(E74,""changepct"")"),-1.43)</f>
        <v>-1.43</v>
      </c>
      <c r="K74" s="677">
        <f>IFERROR(__xludf.DUMMYFUNCTION("googlefinance(E74,""price"")"),33.77)</f>
        <v>33.77</v>
      </c>
      <c r="L74" s="675"/>
      <c r="M74" s="697">
        <f t="shared" si="33"/>
        <v>-5.39</v>
      </c>
      <c r="N74" s="698">
        <f t="shared" si="34"/>
        <v>-0.1376404494</v>
      </c>
      <c r="O74" s="696">
        <f t="shared" si="35"/>
        <v>-16170</v>
      </c>
      <c r="P74" s="682">
        <v>0.0081</v>
      </c>
      <c r="Q74" s="106">
        <v>220.0</v>
      </c>
      <c r="R74" s="257"/>
      <c r="S74" s="257"/>
      <c r="T74" s="257"/>
      <c r="U74" s="257"/>
      <c r="V74" s="657"/>
      <c r="W74" s="257"/>
      <c r="X74" s="258"/>
      <c r="Y74" s="658"/>
    </row>
    <row r="75">
      <c r="A75" s="104" t="s">
        <v>708</v>
      </c>
      <c r="B75" s="598" t="str">
        <f>B74/E137</f>
        <v>#N/A</v>
      </c>
      <c r="C75" s="599">
        <f>H75/E137</f>
        <v>0.0131858812</v>
      </c>
      <c r="D75" s="344" t="s">
        <v>160</v>
      </c>
      <c r="E75" s="344" t="s">
        <v>161</v>
      </c>
      <c r="F75" s="569">
        <v>9.0</v>
      </c>
      <c r="G75" s="106">
        <v>110720.0</v>
      </c>
      <c r="H75" s="696">
        <f t="shared" si="32"/>
        <v>84640</v>
      </c>
      <c r="I75" s="675">
        <v>55.36</v>
      </c>
      <c r="J75" s="676">
        <f>IFERROR(__xludf.DUMMYFUNCTION("GOOGLEFINANCE(E75,""changepct"")"),-1.7)</f>
        <v>-1.7</v>
      </c>
      <c r="K75" s="677">
        <f>IFERROR(__xludf.DUMMYFUNCTION("googlefinance(E75,""price"")"),42.32)</f>
        <v>42.32</v>
      </c>
      <c r="L75" s="675"/>
      <c r="M75" s="697">
        <f t="shared" si="33"/>
        <v>-13.04</v>
      </c>
      <c r="N75" s="698">
        <f t="shared" si="34"/>
        <v>-0.2355491329</v>
      </c>
      <c r="O75" s="696">
        <f t="shared" si="35"/>
        <v>-26080</v>
      </c>
      <c r="P75" s="682">
        <v>0.0057</v>
      </c>
      <c r="Q75" s="106">
        <v>154.0</v>
      </c>
      <c r="R75" s="257"/>
      <c r="S75" s="257"/>
      <c r="T75" s="257"/>
      <c r="U75" s="257"/>
      <c r="V75" s="657"/>
      <c r="W75" s="257"/>
      <c r="X75" s="258"/>
      <c r="Y75" s="658"/>
    </row>
    <row r="76">
      <c r="A76" s="104" t="s">
        <v>775</v>
      </c>
      <c r="B76" s="344" t="str">
        <f>B72+B74</f>
        <v>#N/A</v>
      </c>
      <c r="C76" s="683">
        <f>H76/E137</f>
        <v>0.02111314449</v>
      </c>
      <c r="D76" s="104" t="s">
        <v>776</v>
      </c>
      <c r="E76" s="104" t="s">
        <v>548</v>
      </c>
      <c r="F76" s="569">
        <v>8.2</v>
      </c>
      <c r="G76" s="106">
        <v>66075.0</v>
      </c>
      <c r="H76" s="696">
        <f t="shared" si="32"/>
        <v>135525</v>
      </c>
      <c r="I76" s="675">
        <v>8.81</v>
      </c>
      <c r="J76" s="676">
        <f>IFERROR(__xludf.DUMMYFUNCTION("GOOGLEFINANCE(E76,""changepct"")"),-1.53)</f>
        <v>-1.53</v>
      </c>
      <c r="K76" s="677">
        <f>IFERROR(__xludf.DUMMYFUNCTION("googlefinance(E76,""price"")"),18.07)</f>
        <v>18.07</v>
      </c>
      <c r="L76" s="675"/>
      <c r="M76" s="697">
        <f t="shared" si="33"/>
        <v>9.26</v>
      </c>
      <c r="N76" s="698">
        <f t="shared" si="34"/>
        <v>1.05107832</v>
      </c>
      <c r="O76" s="696">
        <f t="shared" si="35"/>
        <v>69450</v>
      </c>
      <c r="P76" s="682">
        <v>0.0074</v>
      </c>
      <c r="Q76" s="106">
        <v>120.0</v>
      </c>
      <c r="R76" s="257"/>
      <c r="S76" s="257"/>
      <c r="T76" s="257"/>
      <c r="U76" s="257"/>
      <c r="V76" s="657"/>
      <c r="W76" s="257"/>
      <c r="X76" s="258"/>
      <c r="Y76" s="658"/>
    </row>
    <row r="77">
      <c r="A77" s="104" t="s">
        <v>777</v>
      </c>
      <c r="B77" s="599" t="str">
        <f>B76/E137</f>
        <v>#N/A</v>
      </c>
      <c r="C77" s="599" t="str">
        <f>H77/E137</f>
        <v>#N/A</v>
      </c>
      <c r="D77" s="344" t="s">
        <v>709</v>
      </c>
      <c r="E77" s="344" t="s">
        <v>710</v>
      </c>
      <c r="F77" s="569">
        <v>8.7</v>
      </c>
      <c r="G77" s="106">
        <v>73095.0</v>
      </c>
      <c r="H77" s="696" t="str">
        <f t="shared" si="32"/>
        <v>#N/A</v>
      </c>
      <c r="I77" s="675">
        <v>48.73</v>
      </c>
      <c r="J77" s="676" t="str">
        <f>IFERROR(__xludf.DUMMYFUNCTION("GOOGLEFINANCE(E77,""changepct"")"),"#N/A")</f>
        <v>#N/A</v>
      </c>
      <c r="K77" s="677" t="str">
        <f>IFERROR(__xludf.DUMMYFUNCTION("googlefinance(E77,""price"")"),"#N/A")</f>
        <v>#N/A</v>
      </c>
      <c r="L77" s="675"/>
      <c r="M77" s="697" t="str">
        <f t="shared" si="33"/>
        <v>#N/A</v>
      </c>
      <c r="N77" s="698" t="str">
        <f t="shared" si="34"/>
        <v>#N/A</v>
      </c>
      <c r="O77" s="696" t="str">
        <f t="shared" si="35"/>
        <v>#N/A</v>
      </c>
      <c r="P77" s="682">
        <v>0.0114</v>
      </c>
      <c r="Q77" s="106">
        <v>177.0</v>
      </c>
      <c r="R77" s="257"/>
      <c r="S77" s="257"/>
      <c r="T77" s="257"/>
      <c r="U77" s="257"/>
      <c r="V77" s="657"/>
      <c r="W77" s="257"/>
      <c r="X77" s="258"/>
      <c r="Y77" s="658"/>
    </row>
    <row r="78">
      <c r="A78" s="528"/>
      <c r="B78" s="528"/>
      <c r="C78" s="599" t="str">
        <f>H78/E137</f>
        <v>#N/A</v>
      </c>
      <c r="D78" s="344" t="s">
        <v>709</v>
      </c>
      <c r="E78" s="344" t="s">
        <v>710</v>
      </c>
      <c r="F78" s="569">
        <v>8.7</v>
      </c>
      <c r="G78" s="213">
        <v>39630.0</v>
      </c>
      <c r="H78" s="696" t="str">
        <f t="shared" si="32"/>
        <v>#N/A</v>
      </c>
      <c r="I78" s="212">
        <v>39.63</v>
      </c>
      <c r="J78" s="676" t="str">
        <f>IFERROR(__xludf.DUMMYFUNCTION("GOOGLEFINANCE(E78,""changepct"")"),"#N/A")</f>
        <v>#N/A</v>
      </c>
      <c r="K78" s="677" t="str">
        <f>IFERROR(__xludf.DUMMYFUNCTION("googlefinance(E78,""price"")"),"#N/A")</f>
        <v>#N/A</v>
      </c>
      <c r="L78" s="675"/>
      <c r="M78" s="697" t="str">
        <f t="shared" si="33"/>
        <v>#N/A</v>
      </c>
      <c r="N78" s="698" t="str">
        <f t="shared" si="34"/>
        <v>#N/A</v>
      </c>
      <c r="O78" s="696" t="str">
        <f t="shared" si="35"/>
        <v>#N/A</v>
      </c>
      <c r="P78" s="682"/>
      <c r="Q78" s="217"/>
      <c r="R78" s="257"/>
      <c r="S78" s="257"/>
      <c r="T78" s="257"/>
      <c r="U78" s="257"/>
      <c r="V78" s="210" t="s">
        <v>710</v>
      </c>
      <c r="W78" s="211">
        <v>44165.0</v>
      </c>
      <c r="X78" s="212">
        <v>39.63</v>
      </c>
      <c r="Y78" s="213">
        <v>39630.0</v>
      </c>
    </row>
    <row r="79">
      <c r="A79" s="528"/>
      <c r="B79" s="528"/>
      <c r="C79" s="599">
        <f>H79/E137</f>
        <v>0.00576414939</v>
      </c>
      <c r="D79" s="344" t="s">
        <v>506</v>
      </c>
      <c r="E79" s="344" t="s">
        <v>169</v>
      </c>
      <c r="F79" s="569">
        <v>8.8</v>
      </c>
      <c r="G79" s="106">
        <v>63450.0</v>
      </c>
      <c r="H79" s="696">
        <f t="shared" si="32"/>
        <v>37000</v>
      </c>
      <c r="I79" s="675">
        <v>63.45</v>
      </c>
      <c r="J79" s="676">
        <f>IFERROR(__xludf.DUMMYFUNCTION("GOOGLEFINANCE(E79,""changepct"")"),-2.22)</f>
        <v>-2.22</v>
      </c>
      <c r="K79" s="677">
        <f>IFERROR(__xludf.DUMMYFUNCTION("googlefinance(E79,""price"")"),37.0)</f>
        <v>37</v>
      </c>
      <c r="L79" s="675"/>
      <c r="M79" s="697">
        <f t="shared" si="33"/>
        <v>-26.45</v>
      </c>
      <c r="N79" s="698">
        <f t="shared" si="34"/>
        <v>-0.4168636722</v>
      </c>
      <c r="O79" s="696">
        <f t="shared" si="35"/>
        <v>-26450</v>
      </c>
      <c r="P79" s="682">
        <v>0.0267</v>
      </c>
      <c r="Q79" s="217">
        <v>400.0</v>
      </c>
      <c r="R79" s="257"/>
      <c r="S79" s="257"/>
      <c r="T79" s="257"/>
      <c r="U79" s="257"/>
      <c r="V79" s="657"/>
      <c r="W79" s="257"/>
      <c r="X79" s="258"/>
      <c r="Y79" s="658"/>
    </row>
    <row r="80">
      <c r="A80" s="528"/>
      <c r="B80" s="528"/>
      <c r="C80" s="683">
        <f>H80/E137</f>
        <v>0.00576414939</v>
      </c>
      <c r="D80" s="344" t="s">
        <v>506</v>
      </c>
      <c r="E80" s="344" t="s">
        <v>169</v>
      </c>
      <c r="F80" s="569">
        <v>8.8</v>
      </c>
      <c r="G80" s="213">
        <v>57600.0</v>
      </c>
      <c r="H80" s="696">
        <f t="shared" si="32"/>
        <v>37000</v>
      </c>
      <c r="I80" s="212">
        <v>57.6</v>
      </c>
      <c r="J80" s="676">
        <f>IFERROR(__xludf.DUMMYFUNCTION("GOOGLEFINANCE(E80,""changepct"")"),-2.22)</f>
        <v>-2.22</v>
      </c>
      <c r="K80" s="677">
        <f>IFERROR(__xludf.DUMMYFUNCTION("googlefinance(E80,""price"")"),37.0)</f>
        <v>37</v>
      </c>
      <c r="L80" s="675"/>
      <c r="M80" s="697">
        <f t="shared" si="33"/>
        <v>-20.6</v>
      </c>
      <c r="N80" s="698">
        <f t="shared" si="34"/>
        <v>-0.3576388889</v>
      </c>
      <c r="O80" s="696">
        <f t="shared" si="35"/>
        <v>-20600</v>
      </c>
      <c r="P80" s="682">
        <v>0.0267</v>
      </c>
      <c r="Q80" s="217">
        <v>400.0</v>
      </c>
      <c r="R80" s="257"/>
      <c r="S80" s="257"/>
      <c r="T80" s="257"/>
      <c r="U80" s="257"/>
      <c r="V80" s="210" t="s">
        <v>169</v>
      </c>
      <c r="W80" s="211">
        <v>44165.0</v>
      </c>
      <c r="X80" s="212">
        <v>57.6</v>
      </c>
      <c r="Y80" s="213">
        <v>57600.0</v>
      </c>
    </row>
    <row r="81">
      <c r="A81" s="528"/>
      <c r="B81" s="528"/>
      <c r="C81" s="683">
        <f>H79/E137</f>
        <v>0.00576414939</v>
      </c>
      <c r="D81" s="104" t="s">
        <v>177</v>
      </c>
      <c r="E81" s="104" t="s">
        <v>178</v>
      </c>
      <c r="F81" s="569">
        <v>8.7</v>
      </c>
      <c r="G81" s="213">
        <v>64900.0</v>
      </c>
      <c r="H81" s="696">
        <f t="shared" si="32"/>
        <v>24200</v>
      </c>
      <c r="I81" s="212">
        <v>6.49</v>
      </c>
      <c r="J81" s="676">
        <f>IFERROR(__xludf.DUMMYFUNCTION("GOOGLEFINANCE(E81,""changepct"")"),-2.02)</f>
        <v>-2.02</v>
      </c>
      <c r="K81" s="677">
        <f>IFERROR(__xludf.DUMMYFUNCTION("googlefinance(E81,""price"")"),2.42)</f>
        <v>2.42</v>
      </c>
      <c r="L81" s="675"/>
      <c r="M81" s="697">
        <f t="shared" si="33"/>
        <v>-4.07</v>
      </c>
      <c r="N81" s="698">
        <f t="shared" si="34"/>
        <v>-0.6271186441</v>
      </c>
      <c r="O81" s="696">
        <f t="shared" si="35"/>
        <v>-40700</v>
      </c>
      <c r="P81" s="682"/>
      <c r="Q81" s="514"/>
      <c r="R81" s="257"/>
      <c r="S81" s="257"/>
      <c r="T81" s="257"/>
      <c r="U81" s="257"/>
      <c r="V81" s="210" t="s">
        <v>178</v>
      </c>
      <c r="W81" s="211">
        <v>44144.0</v>
      </c>
      <c r="X81" s="212">
        <v>6.49</v>
      </c>
      <c r="Y81" s="213">
        <v>64900.0</v>
      </c>
    </row>
    <row r="82">
      <c r="A82" s="528"/>
      <c r="B82" s="528"/>
      <c r="C82" s="683">
        <f>H82/E137</f>
        <v>0.003770065277</v>
      </c>
      <c r="D82" s="104" t="s">
        <v>177</v>
      </c>
      <c r="E82" s="104" t="s">
        <v>178</v>
      </c>
      <c r="F82" s="569">
        <v>8.7</v>
      </c>
      <c r="G82" s="213">
        <v>53400.0</v>
      </c>
      <c r="H82" s="696">
        <f t="shared" si="32"/>
        <v>24200</v>
      </c>
      <c r="I82" s="212">
        <v>5.34</v>
      </c>
      <c r="J82" s="676">
        <f>IFERROR(__xludf.DUMMYFUNCTION("GOOGLEFINANCE(E82,""changepct"")"),-2.02)</f>
        <v>-2.02</v>
      </c>
      <c r="K82" s="677">
        <f>IFERROR(__xludf.DUMMYFUNCTION("googlefinance(E82,""price"")"),2.42)</f>
        <v>2.42</v>
      </c>
      <c r="L82" s="675"/>
      <c r="M82" s="697">
        <f t="shared" si="33"/>
        <v>-2.92</v>
      </c>
      <c r="N82" s="698">
        <f t="shared" si="34"/>
        <v>-0.5468164794</v>
      </c>
      <c r="O82" s="696">
        <f t="shared" si="35"/>
        <v>-29200</v>
      </c>
      <c r="P82" s="682"/>
      <c r="Q82" s="514"/>
      <c r="R82" s="257"/>
      <c r="S82" s="257"/>
      <c r="T82" s="257"/>
      <c r="U82" s="257"/>
      <c r="V82" s="210" t="s">
        <v>178</v>
      </c>
      <c r="W82" s="211">
        <v>44165.0</v>
      </c>
      <c r="X82" s="212">
        <v>5.34</v>
      </c>
      <c r="Y82" s="213">
        <v>53400.0</v>
      </c>
    </row>
    <row r="83">
      <c r="A83" s="528"/>
      <c r="B83" s="528"/>
      <c r="C83" s="683">
        <f>H83/E137</f>
        <v>0.007142871609</v>
      </c>
      <c r="D83" s="104" t="s">
        <v>166</v>
      </c>
      <c r="E83" s="104" t="s">
        <v>167</v>
      </c>
      <c r="F83" s="569">
        <v>8.9</v>
      </c>
      <c r="G83" s="213">
        <v>39700.0</v>
      </c>
      <c r="H83" s="696">
        <f t="shared" si="32"/>
        <v>45850</v>
      </c>
      <c r="I83" s="212">
        <v>7.94</v>
      </c>
      <c r="J83" s="676">
        <f>IFERROR(__xludf.DUMMYFUNCTION("GOOGLEFINANCE(E83,""changepct"")"),-1.5)</f>
        <v>-1.5</v>
      </c>
      <c r="K83" s="677">
        <f>IFERROR(__xludf.DUMMYFUNCTION("googlefinance(E83,""price"")"),9.17)</f>
        <v>9.17</v>
      </c>
      <c r="L83" s="675"/>
      <c r="M83" s="697">
        <f t="shared" si="33"/>
        <v>1.23</v>
      </c>
      <c r="N83" s="698">
        <f t="shared" si="34"/>
        <v>0.1549118388</v>
      </c>
      <c r="O83" s="696">
        <f t="shared" si="35"/>
        <v>6150</v>
      </c>
      <c r="P83" s="682">
        <v>0.0137</v>
      </c>
      <c r="Q83" s="217">
        <v>63.0</v>
      </c>
      <c r="R83" s="257"/>
      <c r="S83" s="257"/>
      <c r="T83" s="257"/>
      <c r="U83" s="257"/>
      <c r="V83" s="210" t="s">
        <v>167</v>
      </c>
      <c r="W83" s="211">
        <v>44144.0</v>
      </c>
      <c r="X83" s="212">
        <v>7.94</v>
      </c>
      <c r="Y83" s="213">
        <v>39700.0</v>
      </c>
    </row>
    <row r="84">
      <c r="A84" s="528"/>
      <c r="B84" s="528"/>
      <c r="C84" s="683">
        <f>H84/E137</f>
        <v>0.01428574322</v>
      </c>
      <c r="D84" s="104" t="s">
        <v>166</v>
      </c>
      <c r="E84" s="104" t="s">
        <v>167</v>
      </c>
      <c r="F84" s="569">
        <v>8.9</v>
      </c>
      <c r="G84" s="106">
        <v>88200.0</v>
      </c>
      <c r="H84" s="696">
        <f t="shared" si="32"/>
        <v>91700</v>
      </c>
      <c r="I84" s="675">
        <v>8.82</v>
      </c>
      <c r="J84" s="676">
        <f>IFERROR(__xludf.DUMMYFUNCTION("GOOGLEFINANCE(E84,""changepct"")"),-1.5)</f>
        <v>-1.5</v>
      </c>
      <c r="K84" s="677">
        <f>IFERROR(__xludf.DUMMYFUNCTION("googlefinance(E84,""price"")"),9.17)</f>
        <v>9.17</v>
      </c>
      <c r="L84" s="675"/>
      <c r="M84" s="697">
        <f t="shared" si="33"/>
        <v>0.35</v>
      </c>
      <c r="N84" s="698">
        <f t="shared" si="34"/>
        <v>0.03968253968</v>
      </c>
      <c r="O84" s="696">
        <f t="shared" si="35"/>
        <v>3500</v>
      </c>
      <c r="P84" s="682">
        <v>0.0137</v>
      </c>
      <c r="Q84" s="217">
        <v>300.0</v>
      </c>
      <c r="R84" s="257"/>
      <c r="S84" s="257"/>
      <c r="T84" s="257"/>
      <c r="U84" s="257"/>
      <c r="V84" s="657"/>
      <c r="W84" s="257"/>
      <c r="X84" s="258"/>
      <c r="Y84" s="658"/>
    </row>
    <row r="85">
      <c r="A85" s="584"/>
      <c r="B85" s="563"/>
      <c r="C85" s="683">
        <f>H85/E137</f>
        <v>0.01025083864</v>
      </c>
      <c r="D85" s="104" t="s">
        <v>780</v>
      </c>
      <c r="E85" s="104" t="s">
        <v>688</v>
      </c>
      <c r="F85" s="569">
        <v>8.9</v>
      </c>
      <c r="G85" s="587">
        <v>42400.0</v>
      </c>
      <c r="H85" s="696">
        <f t="shared" si="32"/>
        <v>65800</v>
      </c>
      <c r="I85" s="212">
        <v>8.48</v>
      </c>
      <c r="J85" s="676">
        <f>IFERROR(__xludf.DUMMYFUNCTION("GOOGLEFINANCE(E85,""changepct"")"),-1.72)</f>
        <v>-1.72</v>
      </c>
      <c r="K85" s="677">
        <f>IFERROR(__xludf.DUMMYFUNCTION("googlefinance(E85,""price"")"),13.16)</f>
        <v>13.16</v>
      </c>
      <c r="L85" s="584"/>
      <c r="M85" s="697">
        <f t="shared" si="33"/>
        <v>4.68</v>
      </c>
      <c r="N85" s="698">
        <f t="shared" si="34"/>
        <v>0.5518867925</v>
      </c>
      <c r="O85" s="696">
        <f t="shared" si="35"/>
        <v>23400</v>
      </c>
      <c r="P85" s="572">
        <v>0.0207</v>
      </c>
      <c r="Q85" s="690"/>
      <c r="R85" s="257"/>
      <c r="S85" s="257"/>
      <c r="T85" s="257"/>
      <c r="U85" s="257"/>
      <c r="V85" s="210" t="s">
        <v>688</v>
      </c>
      <c r="W85" s="211">
        <v>44165.0</v>
      </c>
      <c r="X85" s="212">
        <v>8.48</v>
      </c>
      <c r="Y85" s="213">
        <v>42400.0</v>
      </c>
    </row>
    <row r="86">
      <c r="A86" s="584"/>
      <c r="B86" s="563"/>
      <c r="C86" s="683">
        <f>H86/E137</f>
        <v>0.01025083864</v>
      </c>
      <c r="D86" s="104" t="s">
        <v>780</v>
      </c>
      <c r="E86" s="104" t="s">
        <v>688</v>
      </c>
      <c r="F86" s="569">
        <v>8.9</v>
      </c>
      <c r="G86" s="587">
        <v>61450.0</v>
      </c>
      <c r="H86" s="696">
        <f t="shared" si="32"/>
        <v>65800</v>
      </c>
      <c r="I86" s="586">
        <v>12.29</v>
      </c>
      <c r="J86" s="676">
        <f>IFERROR(__xludf.DUMMYFUNCTION("GOOGLEFINANCE(E86,""changepct"")"),-1.72)</f>
        <v>-1.72</v>
      </c>
      <c r="K86" s="677">
        <f>IFERROR(__xludf.DUMMYFUNCTION("googlefinance(E86,""price"")"),13.16)</f>
        <v>13.16</v>
      </c>
      <c r="L86" s="584"/>
      <c r="M86" s="697">
        <f t="shared" si="33"/>
        <v>0.87</v>
      </c>
      <c r="N86" s="698">
        <f t="shared" si="34"/>
        <v>0.07078925956</v>
      </c>
      <c r="O86" s="696">
        <f t="shared" si="35"/>
        <v>4350</v>
      </c>
      <c r="P86" s="572">
        <v>0.0207</v>
      </c>
      <c r="Q86" s="687">
        <v>260.0</v>
      </c>
      <c r="R86" s="257"/>
      <c r="S86" s="257"/>
      <c r="T86" s="257"/>
      <c r="U86" s="257"/>
      <c r="V86" s="657"/>
      <c r="W86" s="257"/>
      <c r="X86" s="258"/>
      <c r="Y86" s="658"/>
    </row>
    <row r="87">
      <c r="A87" s="584"/>
      <c r="B87" s="563"/>
      <c r="C87" s="683">
        <f>H87/E137</f>
        <v>0.005348974846</v>
      </c>
      <c r="D87" s="104" t="s">
        <v>507</v>
      </c>
      <c r="E87" s="104" t="s">
        <v>508</v>
      </c>
      <c r="F87" s="569">
        <v>8.9</v>
      </c>
      <c r="G87" s="587">
        <v>48335.0</v>
      </c>
      <c r="H87" s="696">
        <f t="shared" si="32"/>
        <v>34335</v>
      </c>
      <c r="I87" s="586">
        <v>13.81</v>
      </c>
      <c r="J87" s="676">
        <f>IFERROR(__xludf.DUMMYFUNCTION("GOOGLEFINANCE(E87,""changepct"")"),-2.77)</f>
        <v>-2.77</v>
      </c>
      <c r="K87" s="677">
        <f>IFERROR(__xludf.DUMMYFUNCTION("googlefinance(E87,""price"")"),9.81)</f>
        <v>9.81</v>
      </c>
      <c r="L87" s="584"/>
      <c r="M87" s="697">
        <f t="shared" si="33"/>
        <v>-4</v>
      </c>
      <c r="N87" s="698">
        <f t="shared" si="34"/>
        <v>-0.2896451846</v>
      </c>
      <c r="O87" s="696">
        <f t="shared" si="35"/>
        <v>-14000</v>
      </c>
      <c r="P87" s="572">
        <v>0.0135</v>
      </c>
      <c r="Q87" s="687">
        <v>193.0</v>
      </c>
      <c r="R87" s="257"/>
      <c r="S87" s="257"/>
      <c r="T87" s="257"/>
      <c r="U87" s="257"/>
      <c r="V87" s="657"/>
      <c r="W87" s="257"/>
      <c r="X87" s="258"/>
      <c r="Y87" s="658"/>
    </row>
    <row r="88">
      <c r="A88" s="528"/>
      <c r="B88" s="528"/>
      <c r="C88" s="701">
        <f>H88/E137</f>
        <v>0.005346638029</v>
      </c>
      <c r="D88" s="571" t="s">
        <v>179</v>
      </c>
      <c r="E88" s="104" t="s">
        <v>180</v>
      </c>
      <c r="F88" s="569">
        <v>9.1</v>
      </c>
      <c r="G88" s="213">
        <v>43320.0</v>
      </c>
      <c r="H88" s="696">
        <f t="shared" si="32"/>
        <v>34320</v>
      </c>
      <c r="I88" s="212">
        <v>14.44</v>
      </c>
      <c r="J88" s="676">
        <f>IFERROR(__xludf.DUMMYFUNCTION("GOOGLEFINANCE(E88,""changepct"")"),-2.8)</f>
        <v>-2.8</v>
      </c>
      <c r="K88" s="677">
        <f>IFERROR(__xludf.DUMMYFUNCTION("googlefinance(E88,""price"")"),11.44)</f>
        <v>11.44</v>
      </c>
      <c r="L88" s="675"/>
      <c r="M88" s="697">
        <f t="shared" si="33"/>
        <v>-3</v>
      </c>
      <c r="N88" s="698">
        <f t="shared" si="34"/>
        <v>-0.2077562327</v>
      </c>
      <c r="O88" s="696">
        <f t="shared" si="35"/>
        <v>-9000</v>
      </c>
      <c r="P88" s="682">
        <v>0.0135</v>
      </c>
      <c r="Q88" s="217">
        <v>172.0</v>
      </c>
      <c r="R88" s="257"/>
      <c r="S88" s="257"/>
      <c r="T88" s="257"/>
      <c r="U88" s="257"/>
      <c r="V88" s="210" t="s">
        <v>180</v>
      </c>
      <c r="W88" s="211">
        <v>44165.0</v>
      </c>
      <c r="X88" s="212">
        <v>14.44</v>
      </c>
      <c r="Y88" s="213">
        <v>43320.0</v>
      </c>
    </row>
    <row r="89">
      <c r="A89" s="528"/>
      <c r="B89" s="528"/>
      <c r="C89" s="701">
        <f>H89/E137</f>
        <v>0.006237744367</v>
      </c>
      <c r="D89" s="571" t="s">
        <v>179</v>
      </c>
      <c r="E89" s="104" t="s">
        <v>180</v>
      </c>
      <c r="F89" s="569">
        <v>9.1</v>
      </c>
      <c r="G89" s="106">
        <v>54530.0</v>
      </c>
      <c r="H89" s="696">
        <f t="shared" si="32"/>
        <v>40040</v>
      </c>
      <c r="I89" s="675">
        <v>15.58</v>
      </c>
      <c r="J89" s="676">
        <f>IFERROR(__xludf.DUMMYFUNCTION("GOOGLEFINANCE(E89,""changepct"")"),-2.8)</f>
        <v>-2.8</v>
      </c>
      <c r="K89" s="677">
        <f>IFERROR(__xludf.DUMMYFUNCTION("googlefinance(E89,""price"")"),11.44)</f>
        <v>11.44</v>
      </c>
      <c r="L89" s="675"/>
      <c r="M89" s="697">
        <f t="shared" si="33"/>
        <v>-4.14</v>
      </c>
      <c r="N89" s="698">
        <f t="shared" si="34"/>
        <v>-0.2657252888</v>
      </c>
      <c r="O89" s="696">
        <f t="shared" si="35"/>
        <v>-14490</v>
      </c>
      <c r="P89" s="682">
        <v>0.0211</v>
      </c>
      <c r="Q89" s="217">
        <v>311.0</v>
      </c>
      <c r="R89" s="257"/>
      <c r="S89" s="257"/>
      <c r="T89" s="257"/>
      <c r="U89" s="257"/>
      <c r="V89" s="657"/>
      <c r="W89" s="257"/>
      <c r="X89" s="258"/>
      <c r="Y89" s="658"/>
    </row>
    <row r="90">
      <c r="A90" s="528"/>
      <c r="B90" s="528"/>
      <c r="C90" s="701">
        <f>H90/E137</f>
        <v>0.004924453033</v>
      </c>
      <c r="D90" s="571" t="s">
        <v>781</v>
      </c>
      <c r="E90" s="104" t="s">
        <v>782</v>
      </c>
      <c r="F90" s="569">
        <v>8.5</v>
      </c>
      <c r="G90" s="213">
        <v>39150.0</v>
      </c>
      <c r="H90" s="696">
        <f t="shared" si="32"/>
        <v>31610</v>
      </c>
      <c r="I90" s="212">
        <v>39.15</v>
      </c>
      <c r="J90" s="676">
        <f>IFERROR(__xludf.DUMMYFUNCTION("GOOGLEFINANCE(E90,""changepct"")"),-2.45)</f>
        <v>-2.45</v>
      </c>
      <c r="K90" s="677">
        <f>IFERROR(__xludf.DUMMYFUNCTION("googlefinance(E90,""price"")"),31.61)</f>
        <v>31.61</v>
      </c>
      <c r="L90" s="675"/>
      <c r="M90" s="697">
        <f t="shared" si="33"/>
        <v>-7.54</v>
      </c>
      <c r="N90" s="698">
        <f t="shared" si="34"/>
        <v>-0.1925925926</v>
      </c>
      <c r="O90" s="696">
        <f t="shared" si="35"/>
        <v>-7540</v>
      </c>
      <c r="P90" s="682">
        <v>0.0137</v>
      </c>
      <c r="Q90" s="217">
        <v>156.0</v>
      </c>
      <c r="R90" s="257"/>
      <c r="S90" s="257"/>
      <c r="T90" s="257"/>
      <c r="U90" s="257"/>
      <c r="V90" s="210" t="s">
        <v>782</v>
      </c>
      <c r="W90" s="211">
        <v>44165.0</v>
      </c>
      <c r="X90" s="212">
        <v>39.15</v>
      </c>
      <c r="Y90" s="213">
        <v>39150.0</v>
      </c>
    </row>
    <row r="91">
      <c r="A91" s="528"/>
      <c r="B91" s="528"/>
      <c r="C91" s="701">
        <f>H91/E137</f>
        <v>0.004924453033</v>
      </c>
      <c r="D91" s="571" t="s">
        <v>781</v>
      </c>
      <c r="E91" s="104" t="s">
        <v>782</v>
      </c>
      <c r="F91" s="569">
        <v>8.5</v>
      </c>
      <c r="G91" s="106">
        <v>43340.0</v>
      </c>
      <c r="H91" s="696">
        <f t="shared" si="32"/>
        <v>31610</v>
      </c>
      <c r="I91" s="675">
        <v>43.34</v>
      </c>
      <c r="J91" s="676">
        <f>IFERROR(__xludf.DUMMYFUNCTION("GOOGLEFINANCE(E91,""changepct"")"),-2.45)</f>
        <v>-2.45</v>
      </c>
      <c r="K91" s="677">
        <f>IFERROR(__xludf.DUMMYFUNCTION("googlefinance(E91,""price"")"),31.61)</f>
        <v>31.61</v>
      </c>
      <c r="L91" s="675"/>
      <c r="M91" s="697">
        <f t="shared" si="33"/>
        <v>-11.73</v>
      </c>
      <c r="N91" s="698">
        <f t="shared" si="34"/>
        <v>-0.2706506691</v>
      </c>
      <c r="O91" s="696">
        <f t="shared" si="35"/>
        <v>-11730</v>
      </c>
      <c r="P91" s="682">
        <v>0.0137</v>
      </c>
      <c r="Q91" s="217">
        <v>156.0</v>
      </c>
      <c r="R91" s="257"/>
      <c r="S91" s="257"/>
      <c r="T91" s="257"/>
      <c r="U91" s="257"/>
      <c r="V91" s="657"/>
      <c r="W91" s="257"/>
      <c r="X91" s="258"/>
      <c r="Y91" s="658"/>
    </row>
    <row r="92">
      <c r="A92" s="528"/>
      <c r="B92" s="528"/>
      <c r="C92" s="599">
        <f>H92/E137</f>
        <v>0.006558667279</v>
      </c>
      <c r="D92" s="344" t="s">
        <v>783</v>
      </c>
      <c r="E92" s="344" t="s">
        <v>573</v>
      </c>
      <c r="F92" s="569">
        <v>8.1</v>
      </c>
      <c r="G92" s="106">
        <v>63600.0</v>
      </c>
      <c r="H92" s="696">
        <f t="shared" si="32"/>
        <v>42100</v>
      </c>
      <c r="I92" s="675">
        <v>6.36</v>
      </c>
      <c r="J92" s="676">
        <f>IFERROR(__xludf.DUMMYFUNCTION("GOOGLEFINANCE(E92,""changepct"")"),-2.55)</f>
        <v>-2.55</v>
      </c>
      <c r="K92" s="677">
        <f>IFERROR(__xludf.DUMMYFUNCTION("googlefinance(E92,""price"")"),4.21)</f>
        <v>4.21</v>
      </c>
      <c r="L92" s="675"/>
      <c r="M92" s="697">
        <f t="shared" si="33"/>
        <v>-2.15</v>
      </c>
      <c r="N92" s="698">
        <f t="shared" si="34"/>
        <v>-0.3380503145</v>
      </c>
      <c r="O92" s="696">
        <f t="shared" si="35"/>
        <v>-21500</v>
      </c>
      <c r="P92" s="569" t="s">
        <v>128</v>
      </c>
      <c r="Q92" s="514"/>
      <c r="R92" s="257"/>
      <c r="S92" s="257"/>
      <c r="T92" s="257"/>
      <c r="U92" s="257"/>
      <c r="V92" s="657"/>
      <c r="W92" s="257"/>
      <c r="X92" s="258"/>
      <c r="Y92" s="658"/>
    </row>
    <row r="93">
      <c r="A93" s="528"/>
      <c r="B93" s="528"/>
      <c r="C93" s="706">
        <f>H93/E137</f>
        <v>0.004198481785</v>
      </c>
      <c r="D93" s="600" t="s">
        <v>711</v>
      </c>
      <c r="E93" s="344" t="s">
        <v>550</v>
      </c>
      <c r="F93" s="569">
        <v>8.5</v>
      </c>
      <c r="G93" s="106">
        <v>47600.0</v>
      </c>
      <c r="H93" s="696">
        <f t="shared" si="32"/>
        <v>26950</v>
      </c>
      <c r="I93" s="675">
        <v>9.52</v>
      </c>
      <c r="J93" s="676">
        <f>IFERROR(__xludf.DUMMYFUNCTION("GOOGLEFINANCE(E93,""changepct"")"),-2.71)</f>
        <v>-2.71</v>
      </c>
      <c r="K93" s="677">
        <f>IFERROR(__xludf.DUMMYFUNCTION("googlefinance(E93,""price"")"),5.39)</f>
        <v>5.39</v>
      </c>
      <c r="L93" s="675"/>
      <c r="M93" s="697">
        <f t="shared" si="33"/>
        <v>-4.13</v>
      </c>
      <c r="N93" s="698">
        <f t="shared" si="34"/>
        <v>-0.4338235294</v>
      </c>
      <c r="O93" s="696">
        <f t="shared" si="35"/>
        <v>-20650</v>
      </c>
      <c r="P93" s="569" t="s">
        <v>128</v>
      </c>
      <c r="Q93" s="514"/>
      <c r="R93" s="257"/>
      <c r="S93" s="257"/>
      <c r="T93" s="257"/>
      <c r="U93" s="257"/>
      <c r="V93" s="657"/>
      <c r="W93" s="257"/>
      <c r="X93" s="258"/>
      <c r="Y93" s="658"/>
    </row>
    <row r="94">
      <c r="A94" s="528"/>
      <c r="B94" s="528"/>
      <c r="C94" s="599">
        <f>H94/E137</f>
        <v>0.006212818315</v>
      </c>
      <c r="D94" s="344" t="s">
        <v>357</v>
      </c>
      <c r="E94" s="344" t="s">
        <v>174</v>
      </c>
      <c r="F94" s="569">
        <v>8.7</v>
      </c>
      <c r="G94" s="106">
        <v>64300.0</v>
      </c>
      <c r="H94" s="696">
        <f t="shared" si="32"/>
        <v>39880</v>
      </c>
      <c r="I94" s="675">
        <v>32.15</v>
      </c>
      <c r="J94" s="676">
        <f>IFERROR(__xludf.DUMMYFUNCTION("GOOGLEFINANCE(E94,""changepct"")"),-3.11)</f>
        <v>-3.11</v>
      </c>
      <c r="K94" s="677">
        <f>IFERROR(__xludf.DUMMYFUNCTION("googlefinance(E94,""price"")"),19.94)</f>
        <v>19.94</v>
      </c>
      <c r="L94" s="675"/>
      <c r="M94" s="697">
        <f t="shared" si="33"/>
        <v>-12.21</v>
      </c>
      <c r="N94" s="698">
        <f t="shared" si="34"/>
        <v>-0.3797822706</v>
      </c>
      <c r="O94" s="696">
        <f t="shared" si="35"/>
        <v>-24420</v>
      </c>
      <c r="P94" s="682">
        <v>0.0094</v>
      </c>
      <c r="Q94" s="106">
        <v>162.0</v>
      </c>
      <c r="R94" s="257"/>
      <c r="S94" s="257"/>
      <c r="T94" s="257"/>
      <c r="U94" s="257"/>
      <c r="V94" s="657"/>
      <c r="W94" s="257"/>
      <c r="X94" s="258"/>
      <c r="Y94" s="658"/>
    </row>
    <row r="95">
      <c r="A95" s="173"/>
      <c r="B95" s="13" t="s">
        <v>89</v>
      </c>
      <c r="C95" s="173"/>
      <c r="D95" s="173"/>
      <c r="E95" s="173"/>
      <c r="F95" s="173"/>
      <c r="G95" s="693">
        <f t="shared" ref="G95:H95" si="36">SUM(G71:G94)</f>
        <v>1645715</v>
      </c>
      <c r="H95" s="693" t="str">
        <f t="shared" si="36"/>
        <v>#N/A</v>
      </c>
      <c r="I95" s="173"/>
      <c r="J95" s="173"/>
      <c r="K95" s="173"/>
      <c r="L95" s="173"/>
      <c r="M95" s="173"/>
      <c r="N95" s="695" t="str">
        <f>O95/D133</f>
        <v>#N/A</v>
      </c>
      <c r="O95" s="693" t="str">
        <f>SUM(O71:O94)</f>
        <v>#N/A</v>
      </c>
      <c r="P95" s="173"/>
      <c r="Q95" s="693">
        <f>SUM(Q71:Q94)</f>
        <v>3244</v>
      </c>
      <c r="R95" s="238" t="s">
        <v>89</v>
      </c>
      <c r="S95" s="239"/>
      <c r="T95" s="239"/>
      <c r="U95" s="240"/>
      <c r="V95" s="238" t="s">
        <v>89</v>
      </c>
      <c r="W95" s="239"/>
      <c r="X95" s="241"/>
      <c r="Y95" s="240">
        <f>SUM(Y71:Y94)</f>
        <v>380100</v>
      </c>
    </row>
    <row r="96">
      <c r="A96" s="13" t="s">
        <v>826</v>
      </c>
      <c r="B96" s="173"/>
      <c r="C96" s="504" t="s">
        <v>729</v>
      </c>
      <c r="D96" s="13" t="s">
        <v>827</v>
      </c>
      <c r="E96" s="13" t="s">
        <v>4</v>
      </c>
      <c r="F96" s="13" t="s">
        <v>5</v>
      </c>
      <c r="G96" s="504" t="s">
        <v>230</v>
      </c>
      <c r="H96" s="649" t="s">
        <v>730</v>
      </c>
      <c r="I96" s="505" t="s">
        <v>844</v>
      </c>
      <c r="J96" s="506" t="s">
        <v>10</v>
      </c>
      <c r="K96" s="673" t="s">
        <v>11</v>
      </c>
      <c r="L96" s="508" t="s">
        <v>476</v>
      </c>
      <c r="M96" s="507" t="s">
        <v>13</v>
      </c>
      <c r="N96" s="504" t="s">
        <v>845</v>
      </c>
      <c r="O96" s="508" t="s">
        <v>468</v>
      </c>
      <c r="P96" s="13" t="s">
        <v>16</v>
      </c>
      <c r="Q96" s="13" t="s">
        <v>17</v>
      </c>
      <c r="R96" s="238" t="s">
        <v>21</v>
      </c>
      <c r="S96" s="238" t="s">
        <v>22</v>
      </c>
      <c r="T96" s="238" t="s">
        <v>23</v>
      </c>
      <c r="U96" s="238" t="s">
        <v>24</v>
      </c>
      <c r="V96" s="238" t="s">
        <v>25</v>
      </c>
      <c r="W96" s="238" t="s">
        <v>26</v>
      </c>
      <c r="X96" s="238" t="s">
        <v>27</v>
      </c>
      <c r="Y96" s="238" t="s">
        <v>28</v>
      </c>
    </row>
    <row r="97">
      <c r="A97" s="565" t="s">
        <v>733</v>
      </c>
      <c r="B97" s="681">
        <f>H99/E137</f>
        <v>0.02810723873</v>
      </c>
      <c r="C97" s="599">
        <f>H97/E137</f>
        <v>0.01367817071</v>
      </c>
      <c r="D97" s="344" t="s">
        <v>828</v>
      </c>
      <c r="E97" s="344" t="s">
        <v>408</v>
      </c>
      <c r="F97" s="651">
        <v>8.4</v>
      </c>
      <c r="G97" s="106">
        <v>163260.0</v>
      </c>
      <c r="H97" s="696">
        <f t="shared" ref="H97:H98" si="37">G97+O97</f>
        <v>87800</v>
      </c>
      <c r="I97" s="675">
        <v>163.26</v>
      </c>
      <c r="J97" s="676">
        <f>IFERROR(__xludf.DUMMYFUNCTION("GOOGLEFINANCE(E97,""changepct"")"),0.8)</f>
        <v>0.8</v>
      </c>
      <c r="K97" s="516">
        <f>IFERROR(__xludf.DUMMYFUNCTION("googlefinance(E97,""price"")"),87.8)</f>
        <v>87.8</v>
      </c>
      <c r="L97" s="697"/>
      <c r="M97" s="697">
        <f t="shared" ref="M97:M98" si="38">K97-I97</f>
        <v>-75.46</v>
      </c>
      <c r="N97" s="698">
        <f t="shared" ref="N97:N98" si="39">K97/I97-1</f>
        <v>-0.4622075217</v>
      </c>
      <c r="O97" s="696">
        <f t="shared" ref="O97:O98" si="40">G97*N97</f>
        <v>-75460</v>
      </c>
      <c r="P97" s="682">
        <v>0.0182</v>
      </c>
      <c r="Q97" s="106">
        <v>715.0</v>
      </c>
      <c r="R97" s="257"/>
      <c r="S97" s="257"/>
      <c r="T97" s="257"/>
      <c r="U97" s="257"/>
      <c r="V97" s="257"/>
      <c r="W97" s="257"/>
      <c r="X97" s="257"/>
      <c r="Y97" s="257"/>
    </row>
    <row r="98">
      <c r="A98" s="528"/>
      <c r="B98" s="528"/>
      <c r="C98" s="599">
        <f>H98/E137</f>
        <v>0.01442906801</v>
      </c>
      <c r="D98" s="344" t="s">
        <v>829</v>
      </c>
      <c r="E98" s="344" t="s">
        <v>639</v>
      </c>
      <c r="F98" s="651">
        <v>8.2</v>
      </c>
      <c r="G98" s="106">
        <v>121820.0</v>
      </c>
      <c r="H98" s="696">
        <f t="shared" si="37"/>
        <v>92620</v>
      </c>
      <c r="I98" s="675">
        <v>121.82</v>
      </c>
      <c r="J98" s="676">
        <f>IFERROR(__xludf.DUMMYFUNCTION("GOOGLEFINANCE(E98,""changepct"")"),0.59)</f>
        <v>0.59</v>
      </c>
      <c r="K98" s="516">
        <f>IFERROR(__xludf.DUMMYFUNCTION("googlefinance(E98,""price"")"),92.62)</f>
        <v>92.62</v>
      </c>
      <c r="L98" s="697"/>
      <c r="M98" s="697">
        <f t="shared" si="38"/>
        <v>-29.2</v>
      </c>
      <c r="N98" s="698">
        <f t="shared" si="39"/>
        <v>-0.239697915</v>
      </c>
      <c r="O98" s="696">
        <f t="shared" si="40"/>
        <v>-29200</v>
      </c>
      <c r="P98" s="682">
        <v>0.0178</v>
      </c>
      <c r="Q98" s="106">
        <v>534.0</v>
      </c>
      <c r="R98" s="257"/>
      <c r="S98" s="257"/>
      <c r="T98" s="257"/>
      <c r="U98" s="257"/>
      <c r="V98" s="257"/>
      <c r="W98" s="257"/>
      <c r="X98" s="257"/>
      <c r="Y98" s="257"/>
    </row>
    <row r="99">
      <c r="A99" s="173"/>
      <c r="B99" s="13" t="s">
        <v>89</v>
      </c>
      <c r="C99" s="173"/>
      <c r="D99" s="173"/>
      <c r="E99" s="173"/>
      <c r="F99" s="173"/>
      <c r="G99" s="693">
        <f t="shared" ref="G99:H99" si="41">SUM(G97:G98)</f>
        <v>285080</v>
      </c>
      <c r="H99" s="693">
        <f t="shared" si="41"/>
        <v>180420</v>
      </c>
      <c r="I99" s="173"/>
      <c r="J99" s="173"/>
      <c r="K99" s="173"/>
      <c r="L99" s="173"/>
      <c r="M99" s="173"/>
      <c r="N99" s="695">
        <f>O99/G99</f>
        <v>-0.3671250175</v>
      </c>
      <c r="O99" s="693">
        <f>SUM(O97:O98)</f>
        <v>-104660</v>
      </c>
      <c r="P99" s="173"/>
      <c r="Q99" s="693">
        <f>SUM(Q97:Q98)</f>
        <v>1249</v>
      </c>
      <c r="R99" s="238" t="s">
        <v>89</v>
      </c>
      <c r="S99" s="239"/>
      <c r="T99" s="239"/>
      <c r="U99" s="240"/>
      <c r="V99" s="238" t="s">
        <v>89</v>
      </c>
      <c r="W99" s="239"/>
      <c r="X99" s="239"/>
      <c r="Y99" s="240"/>
    </row>
    <row r="100">
      <c r="A100" s="13" t="s">
        <v>784</v>
      </c>
      <c r="B100" s="13" t="s">
        <v>830</v>
      </c>
      <c r="C100" s="504" t="s">
        <v>729</v>
      </c>
      <c r="D100" s="13" t="s">
        <v>182</v>
      </c>
      <c r="E100" s="13" t="s">
        <v>4</v>
      </c>
      <c r="F100" s="13" t="s">
        <v>5</v>
      </c>
      <c r="G100" s="504" t="s">
        <v>229</v>
      </c>
      <c r="H100" s="505" t="s">
        <v>786</v>
      </c>
      <c r="I100" s="505" t="s">
        <v>844</v>
      </c>
      <c r="J100" s="506" t="s">
        <v>10</v>
      </c>
      <c r="K100" s="673" t="s">
        <v>11</v>
      </c>
      <c r="L100" s="508" t="s">
        <v>476</v>
      </c>
      <c r="M100" s="507" t="s">
        <v>13</v>
      </c>
      <c r="N100" s="504" t="s">
        <v>845</v>
      </c>
      <c r="O100" s="508" t="s">
        <v>468</v>
      </c>
      <c r="P100" s="13" t="s">
        <v>16</v>
      </c>
      <c r="Q100" s="13" t="s">
        <v>17</v>
      </c>
      <c r="R100" s="238" t="s">
        <v>21</v>
      </c>
      <c r="S100" s="238" t="s">
        <v>22</v>
      </c>
      <c r="T100" s="238" t="s">
        <v>23</v>
      </c>
      <c r="U100" s="238" t="s">
        <v>24</v>
      </c>
      <c r="V100" s="238" t="s">
        <v>25</v>
      </c>
      <c r="W100" s="238" t="s">
        <v>26</v>
      </c>
      <c r="X100" s="238" t="s">
        <v>27</v>
      </c>
      <c r="Y100" s="238" t="s">
        <v>28</v>
      </c>
    </row>
    <row r="101">
      <c r="A101" s="565" t="s">
        <v>733</v>
      </c>
      <c r="B101" s="681">
        <f>H130/E137</f>
        <v>0</v>
      </c>
      <c r="C101" s="707">
        <f>H101/E137</f>
        <v>0</v>
      </c>
      <c r="D101" s="601" t="s">
        <v>413</v>
      </c>
      <c r="E101" s="104" t="s">
        <v>185</v>
      </c>
      <c r="F101" s="569">
        <v>8.1</v>
      </c>
      <c r="G101" s="106">
        <v>400000.0</v>
      </c>
      <c r="H101" s="106">
        <v>0.0</v>
      </c>
      <c r="I101" s="106">
        <v>10765.0</v>
      </c>
      <c r="J101" s="676"/>
      <c r="K101" s="708"/>
      <c r="L101" s="522">
        <v>11448.0</v>
      </c>
      <c r="M101" s="697">
        <f t="shared" ref="M101:M129" si="42">K101-I101</f>
        <v>-10765</v>
      </c>
      <c r="N101" s="698">
        <f t="shared" ref="N101:N103" si="43">L101/I101-1</f>
        <v>0.06344635392</v>
      </c>
      <c r="O101" s="696">
        <f t="shared" ref="O101:O129" si="44">G101*N101</f>
        <v>25378.54157</v>
      </c>
      <c r="P101" s="528"/>
      <c r="Q101" s="528"/>
      <c r="R101" s="210" t="s">
        <v>185</v>
      </c>
      <c r="S101" s="211">
        <v>44120.0</v>
      </c>
      <c r="T101" s="213">
        <v>11448.0</v>
      </c>
      <c r="U101" s="213">
        <v>425379.0</v>
      </c>
      <c r="V101" s="657"/>
      <c r="W101" s="257"/>
      <c r="X101" s="258"/>
      <c r="Y101" s="258"/>
    </row>
    <row r="102">
      <c r="A102" s="528"/>
      <c r="B102" s="528"/>
      <c r="C102" s="683">
        <f>H102/E137</f>
        <v>0</v>
      </c>
      <c r="D102" s="601" t="s">
        <v>413</v>
      </c>
      <c r="E102" s="344" t="s">
        <v>185</v>
      </c>
      <c r="F102" s="569">
        <v>8.1</v>
      </c>
      <c r="G102" s="522">
        <v>212689.5</v>
      </c>
      <c r="H102" s="106">
        <v>0.0</v>
      </c>
      <c r="I102" s="522">
        <v>11448.0</v>
      </c>
      <c r="J102" s="676"/>
      <c r="K102" s="708"/>
      <c r="L102" s="106">
        <v>17908.0</v>
      </c>
      <c r="M102" s="697">
        <f t="shared" si="42"/>
        <v>-11448</v>
      </c>
      <c r="N102" s="698">
        <f t="shared" si="43"/>
        <v>0.5642907058</v>
      </c>
      <c r="O102" s="696">
        <f t="shared" si="44"/>
        <v>120018.7081</v>
      </c>
      <c r="P102" s="528"/>
      <c r="Q102" s="528"/>
      <c r="R102" s="210" t="s">
        <v>185</v>
      </c>
      <c r="S102" s="211">
        <v>44153.0</v>
      </c>
      <c r="T102" s="213">
        <v>17908.0</v>
      </c>
      <c r="U102" s="213">
        <v>332708.0</v>
      </c>
      <c r="V102" s="210" t="s">
        <v>185</v>
      </c>
      <c r="W102" s="211">
        <v>44120.0</v>
      </c>
      <c r="X102" s="213">
        <v>11448.0</v>
      </c>
      <c r="Y102" s="213">
        <v>211151.0</v>
      </c>
    </row>
    <row r="103">
      <c r="A103" s="528"/>
      <c r="B103" s="528"/>
      <c r="C103" s="683">
        <f>H103/E137</f>
        <v>0</v>
      </c>
      <c r="D103" s="601" t="s">
        <v>413</v>
      </c>
      <c r="E103" s="344" t="s">
        <v>185</v>
      </c>
      <c r="F103" s="569">
        <v>8.1</v>
      </c>
      <c r="G103" s="522">
        <v>325000.0</v>
      </c>
      <c r="H103" s="106">
        <v>0.0</v>
      </c>
      <c r="I103" s="522">
        <v>18153.0</v>
      </c>
      <c r="J103" s="676"/>
      <c r="K103" s="708"/>
      <c r="L103" s="106">
        <v>19222.0</v>
      </c>
      <c r="M103" s="697">
        <f t="shared" si="42"/>
        <v>-18153</v>
      </c>
      <c r="N103" s="698">
        <f t="shared" si="43"/>
        <v>0.05888833802</v>
      </c>
      <c r="O103" s="696">
        <f t="shared" si="44"/>
        <v>19138.70986</v>
      </c>
      <c r="P103" s="528"/>
      <c r="Q103" s="528"/>
      <c r="R103" s="210" t="s">
        <v>185</v>
      </c>
      <c r="S103" s="211">
        <v>44159.0</v>
      </c>
      <c r="T103" s="665">
        <v>19.222</v>
      </c>
      <c r="U103" s="213">
        <v>344139.0</v>
      </c>
      <c r="V103" s="210" t="s">
        <v>185</v>
      </c>
      <c r="W103" s="211">
        <v>44155.0</v>
      </c>
      <c r="X103" s="213">
        <v>18153.0</v>
      </c>
      <c r="Y103" s="213">
        <v>325000.0</v>
      </c>
    </row>
    <row r="104">
      <c r="A104" s="528"/>
      <c r="B104" s="528"/>
      <c r="C104" s="683">
        <f>H104/E137</f>
        <v>0</v>
      </c>
      <c r="D104" s="601" t="s">
        <v>413</v>
      </c>
      <c r="E104" s="344" t="s">
        <v>185</v>
      </c>
      <c r="F104" s="569">
        <v>8.1</v>
      </c>
      <c r="G104" s="522">
        <v>180000.0</v>
      </c>
      <c r="H104" s="106">
        <f>G104+O104</f>
        <v>0</v>
      </c>
      <c r="I104" s="522">
        <v>19222.0</v>
      </c>
      <c r="J104" s="676"/>
      <c r="K104" s="708"/>
      <c r="L104" s="697"/>
      <c r="M104" s="697">
        <f t="shared" si="42"/>
        <v>-19222</v>
      </c>
      <c r="N104" s="698">
        <f>K104/I104-1</f>
        <v>-1</v>
      </c>
      <c r="O104" s="696">
        <f t="shared" si="44"/>
        <v>-180000</v>
      </c>
      <c r="P104" s="528"/>
      <c r="Q104" s="528"/>
      <c r="R104" s="657"/>
      <c r="S104" s="257"/>
      <c r="T104" s="709"/>
      <c r="U104" s="658"/>
      <c r="V104" s="210" t="s">
        <v>185</v>
      </c>
      <c r="W104" s="211">
        <v>44159.0</v>
      </c>
      <c r="X104" s="213">
        <v>19222.0</v>
      </c>
      <c r="Y104" s="213">
        <v>180000.0</v>
      </c>
    </row>
    <row r="105">
      <c r="A105" s="528"/>
      <c r="B105" s="528"/>
      <c r="C105" s="683">
        <f>H105/E137</f>
        <v>0</v>
      </c>
      <c r="D105" s="104" t="s">
        <v>187</v>
      </c>
      <c r="E105" s="104" t="s">
        <v>188</v>
      </c>
      <c r="F105" s="569">
        <v>8.1</v>
      </c>
      <c r="G105" s="522">
        <v>90000.0</v>
      </c>
      <c r="H105" s="106">
        <v>0.0</v>
      </c>
      <c r="I105" s="521">
        <v>359.02</v>
      </c>
      <c r="J105" s="676"/>
      <c r="K105" s="708"/>
      <c r="L105" s="675">
        <v>611.23</v>
      </c>
      <c r="M105" s="697">
        <f t="shared" si="42"/>
        <v>-359.02</v>
      </c>
      <c r="N105" s="698">
        <f>L105/I105-1</f>
        <v>0.7024956827</v>
      </c>
      <c r="O105" s="696">
        <f t="shared" si="44"/>
        <v>63224.61144</v>
      </c>
      <c r="P105" s="528"/>
      <c r="Q105" s="528"/>
      <c r="R105" s="104" t="s">
        <v>188</v>
      </c>
      <c r="S105" s="211">
        <v>44159.0</v>
      </c>
      <c r="T105" s="230">
        <v>611.23</v>
      </c>
      <c r="U105" s="213">
        <v>153225.0</v>
      </c>
      <c r="V105" s="657"/>
      <c r="W105" s="257"/>
      <c r="X105" s="258"/>
      <c r="Y105" s="258"/>
    </row>
    <row r="106">
      <c r="A106" s="528"/>
      <c r="B106" s="528"/>
      <c r="C106" s="599">
        <f>H106/E137</f>
        <v>0</v>
      </c>
      <c r="D106" s="104" t="s">
        <v>187</v>
      </c>
      <c r="E106" s="104" t="s">
        <v>188</v>
      </c>
      <c r="F106" s="569">
        <v>8.1</v>
      </c>
      <c r="G106" s="522">
        <v>75000.0</v>
      </c>
      <c r="H106" s="106">
        <f>G106+O106</f>
        <v>0</v>
      </c>
      <c r="I106" s="531">
        <v>611.23</v>
      </c>
      <c r="J106" s="676"/>
      <c r="K106" s="708"/>
      <c r="L106" s="521"/>
      <c r="M106" s="697">
        <f t="shared" si="42"/>
        <v>-611.23</v>
      </c>
      <c r="N106" s="698">
        <f>K106/I106-1</f>
        <v>-1</v>
      </c>
      <c r="O106" s="696">
        <f t="shared" si="44"/>
        <v>-75000</v>
      </c>
      <c r="P106" s="528"/>
      <c r="Q106" s="528"/>
      <c r="R106" s="657"/>
      <c r="S106" s="257"/>
      <c r="T106" s="709"/>
      <c r="U106" s="658"/>
      <c r="V106" s="104" t="s">
        <v>188</v>
      </c>
      <c r="W106" s="211">
        <v>44159.0</v>
      </c>
      <c r="X106" s="212">
        <v>611.23</v>
      </c>
      <c r="Y106" s="213">
        <v>75000.0</v>
      </c>
    </row>
    <row r="107">
      <c r="A107" s="528"/>
      <c r="B107" s="528"/>
      <c r="C107" s="599">
        <f>H107/E137</f>
        <v>0</v>
      </c>
      <c r="D107" s="344" t="s">
        <v>832</v>
      </c>
      <c r="E107" s="344" t="s">
        <v>204</v>
      </c>
      <c r="F107" s="569">
        <v>7.8</v>
      </c>
      <c r="G107" s="522">
        <v>80000.0</v>
      </c>
      <c r="H107" s="106">
        <v>0.0</v>
      </c>
      <c r="I107" s="531">
        <v>46.12</v>
      </c>
      <c r="J107" s="676"/>
      <c r="K107" s="708"/>
      <c r="L107" s="521">
        <v>91.83</v>
      </c>
      <c r="M107" s="697">
        <f t="shared" si="42"/>
        <v>-46.12</v>
      </c>
      <c r="N107" s="698">
        <f t="shared" ref="N107:N110" si="45">L107/I107-1</f>
        <v>0.9911101474</v>
      </c>
      <c r="O107" s="696">
        <f t="shared" si="44"/>
        <v>79288.8118</v>
      </c>
      <c r="P107" s="528"/>
      <c r="Q107" s="528"/>
      <c r="R107" s="210" t="s">
        <v>204</v>
      </c>
      <c r="S107" s="211">
        <v>44159.0</v>
      </c>
      <c r="T107" s="230">
        <v>91.83</v>
      </c>
      <c r="U107" s="213">
        <v>159289.0</v>
      </c>
      <c r="V107" s="657"/>
      <c r="W107" s="257"/>
      <c r="X107" s="258"/>
      <c r="Y107" s="258"/>
    </row>
    <row r="108">
      <c r="A108" s="528"/>
      <c r="B108" s="528"/>
      <c r="C108" s="683">
        <f>H108/E137</f>
        <v>0</v>
      </c>
      <c r="D108" s="344" t="s">
        <v>832</v>
      </c>
      <c r="E108" s="344" t="s">
        <v>204</v>
      </c>
      <c r="F108" s="569">
        <v>7.8</v>
      </c>
      <c r="G108" s="522">
        <v>85000.0</v>
      </c>
      <c r="H108" s="106">
        <v>0.0</v>
      </c>
      <c r="I108" s="640">
        <v>91.83</v>
      </c>
      <c r="J108" s="676"/>
      <c r="K108" s="708"/>
      <c r="L108" s="675">
        <v>111.39</v>
      </c>
      <c r="M108" s="697">
        <f t="shared" si="42"/>
        <v>-91.83</v>
      </c>
      <c r="N108" s="698">
        <f t="shared" si="45"/>
        <v>0.2130022868</v>
      </c>
      <c r="O108" s="696">
        <f t="shared" si="44"/>
        <v>18105.19438</v>
      </c>
      <c r="P108" s="528"/>
      <c r="Q108" s="528"/>
      <c r="R108" s="210" t="s">
        <v>204</v>
      </c>
      <c r="S108" s="211">
        <v>44186.0</v>
      </c>
      <c r="T108" s="230">
        <v>111.39</v>
      </c>
      <c r="U108" s="213">
        <v>103105.0</v>
      </c>
      <c r="V108" s="210" t="s">
        <v>204</v>
      </c>
      <c r="W108" s="211">
        <v>44159.0</v>
      </c>
      <c r="X108" s="212">
        <v>91.83</v>
      </c>
      <c r="Y108" s="213">
        <v>85000.0</v>
      </c>
    </row>
    <row r="109">
      <c r="A109" s="528"/>
      <c r="B109" s="528"/>
      <c r="C109" s="683">
        <f>H109/E137</f>
        <v>0</v>
      </c>
      <c r="D109" s="104" t="s">
        <v>831</v>
      </c>
      <c r="E109" s="104" t="s">
        <v>219</v>
      </c>
      <c r="F109" s="569">
        <v>8.1</v>
      </c>
      <c r="G109" s="522">
        <v>75000.0</v>
      </c>
      <c r="H109" s="106">
        <v>0.0</v>
      </c>
      <c r="I109" s="640">
        <v>5.383</v>
      </c>
      <c r="J109" s="676"/>
      <c r="K109" s="708"/>
      <c r="L109" s="675">
        <v>6.48</v>
      </c>
      <c r="M109" s="697">
        <f t="shared" si="42"/>
        <v>-5.383</v>
      </c>
      <c r="N109" s="698">
        <f t="shared" si="45"/>
        <v>0.2037897083</v>
      </c>
      <c r="O109" s="696">
        <f t="shared" si="44"/>
        <v>15284.22813</v>
      </c>
      <c r="P109" s="528"/>
      <c r="Q109" s="528"/>
      <c r="R109" s="210" t="s">
        <v>219</v>
      </c>
      <c r="S109" s="211">
        <v>44186.0</v>
      </c>
      <c r="T109" s="665">
        <v>6.48</v>
      </c>
      <c r="U109" s="213">
        <v>90284.0</v>
      </c>
      <c r="V109" s="657"/>
      <c r="W109" s="257"/>
      <c r="X109" s="258"/>
      <c r="Y109" s="258"/>
    </row>
    <row r="110">
      <c r="A110" s="528"/>
      <c r="B110" s="528"/>
      <c r="C110" s="683">
        <f>H110/E137</f>
        <v>0</v>
      </c>
      <c r="D110" s="104" t="s">
        <v>200</v>
      </c>
      <c r="E110" s="529" t="s">
        <v>201</v>
      </c>
      <c r="F110" s="569">
        <v>7.9</v>
      </c>
      <c r="G110" s="522">
        <v>75000.0</v>
      </c>
      <c r="H110" s="106">
        <v>0.0</v>
      </c>
      <c r="I110" s="642">
        <v>0.2412</v>
      </c>
      <c r="J110" s="676"/>
      <c r="K110" s="708"/>
      <c r="L110" s="642">
        <v>0.2461</v>
      </c>
      <c r="M110" s="697">
        <f t="shared" si="42"/>
        <v>-0.2412</v>
      </c>
      <c r="N110" s="698">
        <f t="shared" si="45"/>
        <v>0.02031509121</v>
      </c>
      <c r="O110" s="696">
        <f t="shared" si="44"/>
        <v>1523.631841</v>
      </c>
      <c r="P110" s="528"/>
      <c r="Q110" s="528"/>
      <c r="R110" s="210" t="s">
        <v>201</v>
      </c>
      <c r="S110" s="211">
        <v>44120.0</v>
      </c>
      <c r="T110" s="665">
        <v>0.2461</v>
      </c>
      <c r="U110" s="213">
        <v>76524.0</v>
      </c>
      <c r="V110" s="657"/>
      <c r="W110" s="257"/>
      <c r="X110" s="258"/>
      <c r="Y110" s="258"/>
    </row>
    <row r="111">
      <c r="A111" s="528"/>
      <c r="B111" s="528"/>
      <c r="C111" s="683">
        <f>H110/E137</f>
        <v>0</v>
      </c>
      <c r="D111" s="104" t="s">
        <v>875</v>
      </c>
      <c r="E111" s="104" t="s">
        <v>876</v>
      </c>
      <c r="F111" s="569">
        <v>7.8</v>
      </c>
      <c r="G111" s="522">
        <v>75000.0</v>
      </c>
      <c r="H111" s="106">
        <f t="shared" ref="H111:H119" si="46">G111+O111</f>
        <v>0</v>
      </c>
      <c r="I111" s="642">
        <v>2.5753</v>
      </c>
      <c r="J111" s="676"/>
      <c r="K111" s="708"/>
      <c r="L111" s="697"/>
      <c r="M111" s="697">
        <f t="shared" si="42"/>
        <v>-2.5753</v>
      </c>
      <c r="N111" s="698">
        <f t="shared" ref="N111:N119" si="47">K111/I111-1</f>
        <v>-1</v>
      </c>
      <c r="O111" s="696">
        <f t="shared" si="44"/>
        <v>-75000</v>
      </c>
      <c r="P111" s="528"/>
      <c r="Q111" s="528"/>
      <c r="R111" s="657"/>
      <c r="S111" s="257"/>
      <c r="T111" s="709"/>
      <c r="U111" s="658"/>
      <c r="V111" s="657"/>
      <c r="W111" s="257"/>
      <c r="X111" s="258"/>
      <c r="Y111" s="258"/>
    </row>
    <row r="112">
      <c r="A112" s="528"/>
      <c r="B112" s="528"/>
      <c r="C112" s="683">
        <f>H112/E137</f>
        <v>0</v>
      </c>
      <c r="D112" s="104" t="s">
        <v>877</v>
      </c>
      <c r="E112" s="104" t="s">
        <v>878</v>
      </c>
      <c r="F112" s="569">
        <v>8.1</v>
      </c>
      <c r="G112" s="213">
        <v>35000.0</v>
      </c>
      <c r="H112" s="213">
        <f t="shared" si="46"/>
        <v>0</v>
      </c>
      <c r="I112" s="212">
        <v>2.45</v>
      </c>
      <c r="J112" s="676"/>
      <c r="K112" s="708"/>
      <c r="L112" s="697"/>
      <c r="M112" s="697">
        <f t="shared" si="42"/>
        <v>-2.45</v>
      </c>
      <c r="N112" s="698">
        <f t="shared" si="47"/>
        <v>-1</v>
      </c>
      <c r="O112" s="696">
        <f t="shared" si="44"/>
        <v>-35000</v>
      </c>
      <c r="P112" s="528"/>
      <c r="Q112" s="528"/>
      <c r="R112" s="657"/>
      <c r="S112" s="257"/>
      <c r="T112" s="709"/>
      <c r="U112" s="658"/>
      <c r="V112" s="210" t="s">
        <v>878</v>
      </c>
      <c r="W112" s="211">
        <v>44165.0</v>
      </c>
      <c r="X112" s="212">
        <v>2.45</v>
      </c>
      <c r="Y112" s="213">
        <v>35000.0</v>
      </c>
    </row>
    <row r="113">
      <c r="A113" s="528"/>
      <c r="B113" s="528"/>
      <c r="C113" s="683">
        <f>H113/E137</f>
        <v>0</v>
      </c>
      <c r="D113" s="104" t="s">
        <v>877</v>
      </c>
      <c r="E113" s="104" t="s">
        <v>878</v>
      </c>
      <c r="F113" s="569">
        <v>8.1</v>
      </c>
      <c r="G113" s="522">
        <v>80000.0</v>
      </c>
      <c r="H113" s="106">
        <f t="shared" si="46"/>
        <v>0</v>
      </c>
      <c r="I113" s="642">
        <v>2.1957</v>
      </c>
      <c r="J113" s="676"/>
      <c r="K113" s="708"/>
      <c r="L113" s="697"/>
      <c r="M113" s="697">
        <f t="shared" si="42"/>
        <v>-2.1957</v>
      </c>
      <c r="N113" s="698">
        <f t="shared" si="47"/>
        <v>-1</v>
      </c>
      <c r="O113" s="696">
        <f t="shared" si="44"/>
        <v>-80000</v>
      </c>
      <c r="P113" s="528"/>
      <c r="Q113" s="528"/>
      <c r="R113" s="657"/>
      <c r="S113" s="257"/>
      <c r="T113" s="709"/>
      <c r="U113" s="658"/>
      <c r="V113" s="657"/>
      <c r="W113" s="257"/>
      <c r="X113" s="258"/>
      <c r="Y113" s="258"/>
    </row>
    <row r="114">
      <c r="A114" s="528"/>
      <c r="B114" s="528"/>
      <c r="C114" s="599">
        <f>H114/E137</f>
        <v>0</v>
      </c>
      <c r="D114" s="344" t="s">
        <v>692</v>
      </c>
      <c r="E114" s="563" t="s">
        <v>418</v>
      </c>
      <c r="F114" s="569">
        <v>7.9</v>
      </c>
      <c r="G114" s="522">
        <v>80000.0</v>
      </c>
      <c r="H114" s="106">
        <f t="shared" si="46"/>
        <v>0</v>
      </c>
      <c r="I114" s="521">
        <v>63.71</v>
      </c>
      <c r="J114" s="676"/>
      <c r="K114" s="708"/>
      <c r="L114" s="710"/>
      <c r="M114" s="697">
        <f t="shared" si="42"/>
        <v>-63.71</v>
      </c>
      <c r="N114" s="698">
        <f t="shared" si="47"/>
        <v>-1</v>
      </c>
      <c r="O114" s="696">
        <f t="shared" si="44"/>
        <v>-80000</v>
      </c>
      <c r="P114" s="528"/>
      <c r="Q114" s="528"/>
      <c r="R114" s="657"/>
      <c r="S114" s="257"/>
      <c r="T114" s="709"/>
      <c r="U114" s="658"/>
      <c r="V114" s="657"/>
      <c r="W114" s="257"/>
      <c r="X114" s="258"/>
      <c r="Y114" s="258"/>
    </row>
    <row r="115">
      <c r="A115" s="528"/>
      <c r="B115" s="528"/>
      <c r="C115" s="683">
        <f>H115/E137</f>
        <v>0</v>
      </c>
      <c r="D115" s="104" t="s">
        <v>879</v>
      </c>
      <c r="E115" s="104" t="s">
        <v>880</v>
      </c>
      <c r="F115" s="569">
        <v>8.1</v>
      </c>
      <c r="G115" s="522">
        <v>65000.0</v>
      </c>
      <c r="H115" s="106">
        <f t="shared" si="46"/>
        <v>0</v>
      </c>
      <c r="I115" s="642">
        <v>0.6276</v>
      </c>
      <c r="J115" s="676"/>
      <c r="K115" s="708"/>
      <c r="L115" s="697"/>
      <c r="M115" s="697">
        <f t="shared" si="42"/>
        <v>-0.6276</v>
      </c>
      <c r="N115" s="698">
        <f t="shared" si="47"/>
        <v>-1</v>
      </c>
      <c r="O115" s="696">
        <f t="shared" si="44"/>
        <v>-65000</v>
      </c>
      <c r="P115" s="528"/>
      <c r="Q115" s="528"/>
      <c r="R115" s="657"/>
      <c r="S115" s="257"/>
      <c r="T115" s="709"/>
      <c r="U115" s="658"/>
      <c r="V115" s="657"/>
      <c r="W115" s="257"/>
      <c r="X115" s="258"/>
      <c r="Y115" s="258"/>
    </row>
    <row r="116">
      <c r="A116" s="528"/>
      <c r="B116" s="528"/>
      <c r="C116" s="683">
        <f>H116/E137</f>
        <v>0</v>
      </c>
      <c r="D116" s="104" t="s">
        <v>787</v>
      </c>
      <c r="E116" s="529" t="s">
        <v>788</v>
      </c>
      <c r="F116" s="569">
        <v>8.3</v>
      </c>
      <c r="G116" s="213">
        <v>65000.0</v>
      </c>
      <c r="H116" s="106">
        <f t="shared" si="46"/>
        <v>0</v>
      </c>
      <c r="I116" s="212">
        <v>0.951</v>
      </c>
      <c r="J116" s="676"/>
      <c r="K116" s="708"/>
      <c r="L116" s="531"/>
      <c r="M116" s="697">
        <f t="shared" si="42"/>
        <v>-0.951</v>
      </c>
      <c r="N116" s="698">
        <f t="shared" si="47"/>
        <v>-1</v>
      </c>
      <c r="O116" s="696">
        <f t="shared" si="44"/>
        <v>-65000</v>
      </c>
      <c r="P116" s="528"/>
      <c r="Q116" s="528"/>
      <c r="R116" s="657"/>
      <c r="S116" s="257"/>
      <c r="T116" s="709"/>
      <c r="U116" s="658"/>
      <c r="V116" s="210" t="s">
        <v>788</v>
      </c>
      <c r="W116" s="211">
        <v>44165.0</v>
      </c>
      <c r="X116" s="212">
        <v>0.951</v>
      </c>
      <c r="Y116" s="213">
        <v>65000.0</v>
      </c>
    </row>
    <row r="117">
      <c r="A117" s="528"/>
      <c r="B117" s="528"/>
      <c r="C117" s="683">
        <f>H117/E137</f>
        <v>0</v>
      </c>
      <c r="D117" s="104" t="s">
        <v>787</v>
      </c>
      <c r="E117" s="529" t="s">
        <v>788</v>
      </c>
      <c r="F117" s="569">
        <v>8.3</v>
      </c>
      <c r="G117" s="522">
        <v>55000.0</v>
      </c>
      <c r="H117" s="106">
        <f t="shared" si="46"/>
        <v>0</v>
      </c>
      <c r="I117" s="640">
        <v>1.731</v>
      </c>
      <c r="J117" s="676"/>
      <c r="K117" s="708"/>
      <c r="L117" s="531"/>
      <c r="M117" s="697">
        <f t="shared" si="42"/>
        <v>-1.731</v>
      </c>
      <c r="N117" s="698">
        <f t="shared" si="47"/>
        <v>-1</v>
      </c>
      <c r="O117" s="696">
        <f t="shared" si="44"/>
        <v>-55000</v>
      </c>
      <c r="P117" s="528"/>
      <c r="Q117" s="528"/>
      <c r="R117" s="657"/>
      <c r="S117" s="257"/>
      <c r="T117" s="709"/>
      <c r="U117" s="658"/>
      <c r="V117" s="657"/>
      <c r="W117" s="257"/>
      <c r="X117" s="258"/>
      <c r="Y117" s="258"/>
    </row>
    <row r="118">
      <c r="A118" s="528"/>
      <c r="B118" s="528"/>
      <c r="C118" s="683">
        <f>H118/E137</f>
        <v>0</v>
      </c>
      <c r="D118" s="104" t="s">
        <v>835</v>
      </c>
      <c r="E118" s="104" t="s">
        <v>836</v>
      </c>
      <c r="F118" s="569">
        <v>7.1</v>
      </c>
      <c r="G118" s="522">
        <v>32000.0</v>
      </c>
      <c r="H118" s="106">
        <f t="shared" si="46"/>
        <v>0</v>
      </c>
      <c r="I118" s="642">
        <v>0.0317</v>
      </c>
      <c r="J118" s="676"/>
      <c r="K118" s="708"/>
      <c r="L118" s="710"/>
      <c r="M118" s="697">
        <f t="shared" si="42"/>
        <v>-0.0317</v>
      </c>
      <c r="N118" s="698">
        <f t="shared" si="47"/>
        <v>-1</v>
      </c>
      <c r="O118" s="696">
        <f t="shared" si="44"/>
        <v>-32000</v>
      </c>
      <c r="P118" s="528"/>
      <c r="Q118" s="528"/>
      <c r="R118" s="210"/>
      <c r="S118" s="211"/>
      <c r="T118" s="665"/>
      <c r="U118" s="658"/>
      <c r="V118" s="210" t="s">
        <v>836</v>
      </c>
      <c r="W118" s="211">
        <v>44165.0</v>
      </c>
      <c r="X118" s="665">
        <v>0.0317</v>
      </c>
      <c r="Y118" s="213">
        <v>32000.0</v>
      </c>
    </row>
    <row r="119">
      <c r="A119" s="528"/>
      <c r="B119" s="528"/>
      <c r="C119" s="683">
        <f>H119/E137</f>
        <v>0</v>
      </c>
      <c r="D119" s="104" t="s">
        <v>835</v>
      </c>
      <c r="E119" s="104" t="s">
        <v>836</v>
      </c>
      <c r="F119" s="569">
        <v>7.1</v>
      </c>
      <c r="G119" s="522">
        <v>55000.0</v>
      </c>
      <c r="H119" s="106">
        <f t="shared" si="46"/>
        <v>0</v>
      </c>
      <c r="I119" s="642">
        <v>0.02614</v>
      </c>
      <c r="J119" s="676"/>
      <c r="K119" s="708"/>
      <c r="L119" s="710"/>
      <c r="M119" s="697">
        <f t="shared" si="42"/>
        <v>-0.02614</v>
      </c>
      <c r="N119" s="698">
        <f t="shared" si="47"/>
        <v>-1</v>
      </c>
      <c r="O119" s="696">
        <f t="shared" si="44"/>
        <v>-55000</v>
      </c>
      <c r="P119" s="528"/>
      <c r="Q119" s="528"/>
      <c r="R119" s="657"/>
      <c r="S119" s="257"/>
      <c r="T119" s="709"/>
      <c r="U119" s="658"/>
      <c r="V119" s="657"/>
      <c r="W119" s="257"/>
      <c r="X119" s="258"/>
      <c r="Y119" s="258"/>
    </row>
    <row r="120">
      <c r="A120" s="528"/>
      <c r="B120" s="195"/>
      <c r="C120" s="683">
        <f>H120/E137</f>
        <v>0</v>
      </c>
      <c r="D120" s="104" t="s">
        <v>881</v>
      </c>
      <c r="E120" s="104" t="s">
        <v>882</v>
      </c>
      <c r="F120" s="569">
        <v>7.7</v>
      </c>
      <c r="G120" s="522">
        <v>50000.0</v>
      </c>
      <c r="H120" s="106">
        <v>0.0</v>
      </c>
      <c r="I120" s="644">
        <v>0.07448</v>
      </c>
      <c r="J120" s="676"/>
      <c r="K120" s="708"/>
      <c r="L120" s="110">
        <v>0.1701</v>
      </c>
      <c r="M120" s="697">
        <f t="shared" si="42"/>
        <v>-0.07448</v>
      </c>
      <c r="N120" s="698">
        <f>L120/I120-1</f>
        <v>1.283834586</v>
      </c>
      <c r="O120" s="696">
        <f t="shared" si="44"/>
        <v>64191.72932</v>
      </c>
      <c r="P120" s="528"/>
      <c r="Q120" s="528"/>
      <c r="R120" s="210" t="s">
        <v>882</v>
      </c>
      <c r="S120" s="211">
        <v>44159.0</v>
      </c>
      <c r="T120" s="665">
        <v>0.1701</v>
      </c>
      <c r="U120" s="213">
        <v>114192.0</v>
      </c>
      <c r="V120" s="657"/>
      <c r="W120" s="257"/>
      <c r="X120" s="258"/>
      <c r="Y120" s="258"/>
    </row>
    <row r="121">
      <c r="A121" s="528"/>
      <c r="B121" s="528"/>
      <c r="C121" s="683">
        <f>H121/E137</f>
        <v>0</v>
      </c>
      <c r="D121" s="104" t="s">
        <v>209</v>
      </c>
      <c r="E121" s="104" t="s">
        <v>210</v>
      </c>
      <c r="F121" s="569">
        <v>7.8</v>
      </c>
      <c r="G121" s="522">
        <v>50000.0</v>
      </c>
      <c r="H121" s="106">
        <f>G121+O121</f>
        <v>0</v>
      </c>
      <c r="I121" s="642">
        <v>9.8394</v>
      </c>
      <c r="J121" s="676"/>
      <c r="K121" s="708"/>
      <c r="L121" s="697"/>
      <c r="M121" s="697">
        <f t="shared" si="42"/>
        <v>-9.8394</v>
      </c>
      <c r="N121" s="698">
        <f>K121/I121-1</f>
        <v>-1</v>
      </c>
      <c r="O121" s="696">
        <f t="shared" si="44"/>
        <v>-50000</v>
      </c>
      <c r="P121" s="528"/>
      <c r="Q121" s="528"/>
      <c r="R121" s="657"/>
      <c r="S121" s="257"/>
      <c r="T121" s="709"/>
      <c r="U121" s="658"/>
      <c r="V121" s="657"/>
      <c r="W121" s="257"/>
      <c r="X121" s="258"/>
      <c r="Y121" s="258"/>
    </row>
    <row r="122">
      <c r="A122" s="528"/>
      <c r="B122" s="528"/>
      <c r="C122" s="683">
        <f>H122/E137</f>
        <v>0</v>
      </c>
      <c r="D122" s="104" t="s">
        <v>834</v>
      </c>
      <c r="E122" s="104" t="s">
        <v>213</v>
      </c>
      <c r="F122" s="569">
        <v>7.6</v>
      </c>
      <c r="G122" s="522">
        <v>45000.0</v>
      </c>
      <c r="H122" s="106">
        <v>0.0</v>
      </c>
      <c r="I122" s="644">
        <v>0.10106</v>
      </c>
      <c r="J122" s="676"/>
      <c r="K122" s="708"/>
      <c r="L122" s="110">
        <v>0.1611</v>
      </c>
      <c r="M122" s="711">
        <f t="shared" si="42"/>
        <v>-0.10106</v>
      </c>
      <c r="N122" s="698">
        <f>L122/I122-1</f>
        <v>0.5941025134</v>
      </c>
      <c r="O122" s="696">
        <f t="shared" si="44"/>
        <v>26734.6131</v>
      </c>
      <c r="P122" s="528"/>
      <c r="Q122" s="528"/>
      <c r="R122" s="104" t="s">
        <v>213</v>
      </c>
      <c r="S122" s="211">
        <v>44186.0</v>
      </c>
      <c r="T122" s="665">
        <v>0.1611</v>
      </c>
      <c r="U122" s="213">
        <v>71735.0</v>
      </c>
      <c r="V122" s="657"/>
      <c r="W122" s="257"/>
      <c r="X122" s="258"/>
      <c r="Y122" s="258"/>
    </row>
    <row r="123">
      <c r="A123" s="528"/>
      <c r="B123" s="528"/>
      <c r="C123" s="599">
        <f>H123/E137</f>
        <v>0</v>
      </c>
      <c r="D123" s="344" t="s">
        <v>359</v>
      </c>
      <c r="E123" s="563" t="s">
        <v>360</v>
      </c>
      <c r="F123" s="569">
        <v>7.7</v>
      </c>
      <c r="G123" s="522">
        <v>45000.0</v>
      </c>
      <c r="H123" s="106">
        <f>G123+O123</f>
        <v>0</v>
      </c>
      <c r="I123" s="640">
        <v>68.99</v>
      </c>
      <c r="J123" s="676"/>
      <c r="K123" s="708"/>
      <c r="L123" s="531"/>
      <c r="M123" s="697">
        <f t="shared" si="42"/>
        <v>-68.99</v>
      </c>
      <c r="N123" s="698">
        <f>K123/I123-1</f>
        <v>-1</v>
      </c>
      <c r="O123" s="696">
        <f t="shared" si="44"/>
        <v>-45000</v>
      </c>
      <c r="P123" s="528"/>
      <c r="Q123" s="528"/>
      <c r="R123" s="657"/>
      <c r="S123" s="257"/>
      <c r="T123" s="709"/>
      <c r="U123" s="658"/>
      <c r="V123" s="657"/>
      <c r="W123" s="257"/>
      <c r="X123" s="258"/>
      <c r="Y123" s="258"/>
    </row>
    <row r="124">
      <c r="A124" s="528"/>
      <c r="B124" s="528"/>
      <c r="C124" s="683">
        <f>H124/E137</f>
        <v>0</v>
      </c>
      <c r="D124" s="104" t="s">
        <v>883</v>
      </c>
      <c r="E124" s="104" t="s">
        <v>713</v>
      </c>
      <c r="F124" s="569">
        <v>7.8</v>
      </c>
      <c r="G124" s="522">
        <v>40000.0</v>
      </c>
      <c r="H124" s="106">
        <v>0.0</v>
      </c>
      <c r="I124" s="644">
        <v>0.01346</v>
      </c>
      <c r="J124" s="676"/>
      <c r="K124" s="708"/>
      <c r="L124" s="642">
        <v>0.01095</v>
      </c>
      <c r="M124" s="697">
        <f t="shared" si="42"/>
        <v>-0.01346</v>
      </c>
      <c r="N124" s="698">
        <f t="shared" ref="N124:N125" si="48">L124/I124-1</f>
        <v>-0.1864784547</v>
      </c>
      <c r="O124" s="696">
        <f t="shared" si="44"/>
        <v>-7459.138187</v>
      </c>
      <c r="P124" s="528"/>
      <c r="Q124" s="528"/>
      <c r="R124" s="210" t="s">
        <v>713</v>
      </c>
      <c r="S124" s="211">
        <v>44120.0</v>
      </c>
      <c r="T124" s="665">
        <v>0.01095</v>
      </c>
      <c r="U124" s="213">
        <v>32541.0</v>
      </c>
      <c r="V124" s="657"/>
      <c r="W124" s="257"/>
      <c r="X124" s="258"/>
      <c r="Y124" s="258"/>
    </row>
    <row r="125">
      <c r="A125" s="528"/>
      <c r="B125" s="528"/>
      <c r="C125" s="683">
        <f>H125/E137</f>
        <v>0</v>
      </c>
      <c r="D125" s="104" t="s">
        <v>884</v>
      </c>
      <c r="E125" s="104" t="s">
        <v>885</v>
      </c>
      <c r="F125" s="569">
        <v>7.2</v>
      </c>
      <c r="G125" s="522">
        <v>40000.0</v>
      </c>
      <c r="H125" s="106">
        <v>0.0</v>
      </c>
      <c r="I125" s="642">
        <v>0.2824</v>
      </c>
      <c r="J125" s="676"/>
      <c r="K125" s="708"/>
      <c r="L125" s="110">
        <v>0.2777</v>
      </c>
      <c r="M125" s="697">
        <f t="shared" si="42"/>
        <v>-0.2824</v>
      </c>
      <c r="N125" s="698">
        <f t="shared" si="48"/>
        <v>-0.01664305949</v>
      </c>
      <c r="O125" s="696">
        <f t="shared" si="44"/>
        <v>-665.7223796</v>
      </c>
      <c r="P125" s="528"/>
      <c r="Q125" s="528"/>
      <c r="R125" s="210" t="s">
        <v>885</v>
      </c>
      <c r="S125" s="211">
        <v>44120.0</v>
      </c>
      <c r="T125" s="665">
        <v>0.2777</v>
      </c>
      <c r="U125" s="213">
        <v>39334.0</v>
      </c>
      <c r="V125" s="657"/>
      <c r="W125" s="257"/>
      <c r="X125" s="258"/>
      <c r="Y125" s="258"/>
    </row>
    <row r="126">
      <c r="A126" s="528"/>
      <c r="B126" s="528"/>
      <c r="C126" s="599">
        <f>H126/E137</f>
        <v>0</v>
      </c>
      <c r="D126" s="344" t="s">
        <v>513</v>
      </c>
      <c r="E126" s="344" t="s">
        <v>514</v>
      </c>
      <c r="F126" s="569">
        <v>8.1</v>
      </c>
      <c r="G126" s="213">
        <v>35000.0</v>
      </c>
      <c r="H126" s="106">
        <f t="shared" ref="H126:H129" si="49">G126+O126</f>
        <v>0</v>
      </c>
      <c r="I126" s="212">
        <v>126.12</v>
      </c>
      <c r="J126" s="676"/>
      <c r="K126" s="708"/>
      <c r="L126" s="521"/>
      <c r="M126" s="697">
        <f t="shared" si="42"/>
        <v>-126.12</v>
      </c>
      <c r="N126" s="698">
        <f t="shared" ref="N126:N129" si="50">K126/I126-1</f>
        <v>-1</v>
      </c>
      <c r="O126" s="696">
        <f t="shared" si="44"/>
        <v>-35000</v>
      </c>
      <c r="P126" s="528"/>
      <c r="Q126" s="528"/>
      <c r="R126" s="657"/>
      <c r="S126" s="257"/>
      <c r="T126" s="709"/>
      <c r="U126" s="658"/>
      <c r="V126" s="210" t="s">
        <v>514</v>
      </c>
      <c r="W126" s="211">
        <v>44165.0</v>
      </c>
      <c r="X126" s="212">
        <v>126.12</v>
      </c>
      <c r="Y126" s="213">
        <v>35000.0</v>
      </c>
    </row>
    <row r="127">
      <c r="A127" s="528"/>
      <c r="B127" s="528"/>
      <c r="C127" s="599">
        <f>H127/E137</f>
        <v>0</v>
      </c>
      <c r="D127" s="344" t="s">
        <v>513</v>
      </c>
      <c r="E127" s="344" t="s">
        <v>514</v>
      </c>
      <c r="F127" s="569">
        <v>8.1</v>
      </c>
      <c r="G127" s="106">
        <v>35000.0</v>
      </c>
      <c r="H127" s="106">
        <f t="shared" si="49"/>
        <v>0</v>
      </c>
      <c r="I127" s="109">
        <v>107.52</v>
      </c>
      <c r="J127" s="676"/>
      <c r="K127" s="708"/>
      <c r="L127" s="521"/>
      <c r="M127" s="697">
        <f t="shared" si="42"/>
        <v>-107.52</v>
      </c>
      <c r="N127" s="698">
        <f t="shared" si="50"/>
        <v>-1</v>
      </c>
      <c r="O127" s="696">
        <f t="shared" si="44"/>
        <v>-35000</v>
      </c>
      <c r="P127" s="528"/>
      <c r="Q127" s="528"/>
      <c r="R127" s="657"/>
      <c r="S127" s="257"/>
      <c r="T127" s="709"/>
      <c r="U127" s="658"/>
      <c r="V127" s="657"/>
      <c r="W127" s="257"/>
      <c r="X127" s="258"/>
      <c r="Y127" s="258"/>
    </row>
    <row r="128">
      <c r="A128" s="528"/>
      <c r="B128" s="528"/>
      <c r="C128" s="683">
        <f>H128/E137</f>
        <v>0</v>
      </c>
      <c r="D128" s="104" t="s">
        <v>886</v>
      </c>
      <c r="E128" s="104" t="s">
        <v>887</v>
      </c>
      <c r="F128" s="569">
        <v>7.7</v>
      </c>
      <c r="G128" s="213">
        <v>27000.0</v>
      </c>
      <c r="H128" s="106">
        <f t="shared" si="49"/>
        <v>0</v>
      </c>
      <c r="I128" s="212">
        <v>5.53</v>
      </c>
      <c r="J128" s="676"/>
      <c r="K128" s="708"/>
      <c r="L128" s="531"/>
      <c r="M128" s="697">
        <f t="shared" si="42"/>
        <v>-5.53</v>
      </c>
      <c r="N128" s="698">
        <f t="shared" si="50"/>
        <v>-1</v>
      </c>
      <c r="O128" s="696">
        <f t="shared" si="44"/>
        <v>-27000</v>
      </c>
      <c r="P128" s="528"/>
      <c r="Q128" s="528"/>
      <c r="R128" s="657"/>
      <c r="S128" s="257"/>
      <c r="T128" s="709"/>
      <c r="U128" s="658"/>
      <c r="V128" s="210" t="s">
        <v>887</v>
      </c>
      <c r="W128" s="211">
        <v>44165.0</v>
      </c>
      <c r="X128" s="212">
        <v>5.53</v>
      </c>
      <c r="Y128" s="213">
        <v>27000.0</v>
      </c>
    </row>
    <row r="129">
      <c r="A129" s="528"/>
      <c r="B129" s="528"/>
      <c r="C129" s="683">
        <f>H129/E137</f>
        <v>0</v>
      </c>
      <c r="D129" s="104" t="s">
        <v>886</v>
      </c>
      <c r="E129" s="104" t="s">
        <v>887</v>
      </c>
      <c r="F129" s="569">
        <v>7.7</v>
      </c>
      <c r="G129" s="522">
        <v>25000.0</v>
      </c>
      <c r="H129" s="106">
        <f t="shared" si="49"/>
        <v>0</v>
      </c>
      <c r="I129" s="642">
        <v>5.339</v>
      </c>
      <c r="J129" s="676"/>
      <c r="K129" s="708"/>
      <c r="L129" s="531"/>
      <c r="M129" s="697">
        <f t="shared" si="42"/>
        <v>-5.339</v>
      </c>
      <c r="N129" s="698">
        <f t="shared" si="50"/>
        <v>-1</v>
      </c>
      <c r="O129" s="696">
        <f t="shared" si="44"/>
        <v>-25000</v>
      </c>
      <c r="P129" s="528"/>
      <c r="Q129" s="528"/>
      <c r="R129" s="657"/>
      <c r="S129" s="257"/>
      <c r="T129" s="709"/>
      <c r="U129" s="658"/>
      <c r="V129" s="657"/>
      <c r="W129" s="257"/>
      <c r="X129" s="258"/>
      <c r="Y129" s="258"/>
    </row>
    <row r="130">
      <c r="A130" s="173"/>
      <c r="B130" s="13" t="s">
        <v>89</v>
      </c>
      <c r="C130" s="173"/>
      <c r="D130" s="173"/>
      <c r="E130" s="173"/>
      <c r="F130" s="173"/>
      <c r="G130" s="693">
        <f>SUM(G101:G127)</f>
        <v>2479689.5</v>
      </c>
      <c r="H130" s="693">
        <f>SUM(H101:H129)</f>
        <v>0</v>
      </c>
      <c r="I130" s="173"/>
      <c r="J130" s="173"/>
      <c r="K130" s="173"/>
      <c r="L130" s="173"/>
      <c r="M130" s="173"/>
      <c r="N130" s="695">
        <f>F135</f>
        <v>0.385</v>
      </c>
      <c r="O130" s="616">
        <v>552609.0</v>
      </c>
      <c r="P130" s="173"/>
      <c r="Q130" s="173"/>
      <c r="R130" s="238" t="s">
        <v>89</v>
      </c>
      <c r="S130" s="239"/>
      <c r="T130" s="712"/>
      <c r="U130" s="240">
        <f>SUM(U101:U129)</f>
        <v>1942455</v>
      </c>
      <c r="V130" s="238" t="s">
        <v>89</v>
      </c>
      <c r="W130" s="239"/>
      <c r="X130" s="239"/>
      <c r="Y130" s="240">
        <f>SUM(Y101:Y129)</f>
        <v>1070151</v>
      </c>
    </row>
    <row r="131">
      <c r="A131" s="13" t="s">
        <v>227</v>
      </c>
      <c r="B131" s="13" t="s">
        <v>228</v>
      </c>
      <c r="C131" s="504"/>
      <c r="D131" s="504" t="s">
        <v>888</v>
      </c>
      <c r="E131" s="504" t="s">
        <v>323</v>
      </c>
      <c r="F131" s="504" t="s">
        <v>792</v>
      </c>
      <c r="G131" s="504" t="s">
        <v>889</v>
      </c>
      <c r="H131" s="510" t="s">
        <v>233</v>
      </c>
      <c r="I131" s="504" t="s">
        <v>234</v>
      </c>
      <c r="J131" s="504" t="s">
        <v>794</v>
      </c>
      <c r="K131" s="13"/>
      <c r="L131" s="173"/>
      <c r="M131" s="173"/>
      <c r="N131" s="173"/>
      <c r="O131" s="173"/>
      <c r="P131" s="173"/>
      <c r="Q131" s="173"/>
    </row>
    <row r="132">
      <c r="A132" s="104" t="s">
        <v>374</v>
      </c>
      <c r="B132" s="713">
        <f>E132/E137</f>
        <v>0.09425926552</v>
      </c>
      <c r="C132" s="106"/>
      <c r="D132" s="106">
        <v>1611023.0</v>
      </c>
      <c r="E132" s="106">
        <v>605049.0</v>
      </c>
      <c r="F132" s="714">
        <v>0.1882</v>
      </c>
      <c r="G132" s="715">
        <v>303186.0</v>
      </c>
      <c r="H132" s="315" t="s">
        <v>890</v>
      </c>
      <c r="I132" s="315" t="s">
        <v>890</v>
      </c>
      <c r="J132" s="315" t="s">
        <v>890</v>
      </c>
      <c r="K132" s="563"/>
      <c r="L132" s="528"/>
      <c r="M132" s="528"/>
      <c r="N132" s="528"/>
      <c r="O132" s="528"/>
      <c r="P132" s="528"/>
      <c r="Q132" s="528"/>
    </row>
    <row r="133">
      <c r="A133" s="344" t="s">
        <v>409</v>
      </c>
      <c r="B133" s="713">
        <f>E133/E137</f>
        <v>0.2621597458</v>
      </c>
      <c r="C133" s="696"/>
      <c r="D133" s="696">
        <f>G95</f>
        <v>1645715</v>
      </c>
      <c r="E133" s="106">
        <v>1682800.0</v>
      </c>
      <c r="F133" s="714">
        <v>0.0225</v>
      </c>
      <c r="G133" s="715">
        <v>37085.0</v>
      </c>
      <c r="H133" s="714">
        <f>H135/E137</f>
        <v>0.006768669262</v>
      </c>
      <c r="I133" s="714">
        <f>I135/E137</f>
        <v>0.002082571596</v>
      </c>
      <c r="J133" s="714">
        <f>F132+H133+I133</f>
        <v>0.1970512409</v>
      </c>
      <c r="K133" s="716"/>
      <c r="L133" s="528"/>
      <c r="M133" s="528"/>
      <c r="N133" s="528"/>
      <c r="O133" s="528"/>
      <c r="P133" s="528"/>
      <c r="Q133" s="528"/>
    </row>
    <row r="134">
      <c r="A134" s="344" t="s">
        <v>542</v>
      </c>
      <c r="B134" s="713">
        <f>E134/E137</f>
        <v>0.04325916223</v>
      </c>
      <c r="C134" s="696"/>
      <c r="D134" s="696">
        <f>G99</f>
        <v>285080</v>
      </c>
      <c r="E134" s="106">
        <v>277680.0</v>
      </c>
      <c r="F134" s="714">
        <v>-0.028</v>
      </c>
      <c r="G134" s="715">
        <v>-7400.0</v>
      </c>
      <c r="H134" s="315" t="s">
        <v>891</v>
      </c>
      <c r="I134" s="315" t="s">
        <v>891</v>
      </c>
      <c r="J134" s="315"/>
      <c r="K134" s="563"/>
      <c r="L134" s="528"/>
      <c r="M134" s="528"/>
      <c r="N134" s="528"/>
      <c r="O134" s="528"/>
      <c r="P134" s="528"/>
      <c r="Q134" s="528"/>
    </row>
    <row r="135">
      <c r="A135" s="344" t="s">
        <v>240</v>
      </c>
      <c r="B135" s="682">
        <f>E135/E137</f>
        <v>0.1778666945</v>
      </c>
      <c r="C135" s="106"/>
      <c r="D135" s="106">
        <v>1435000.0</v>
      </c>
      <c r="E135" s="106">
        <v>1141724.0</v>
      </c>
      <c r="F135" s="714">
        <v>0.385</v>
      </c>
      <c r="G135" s="715">
        <v>552609.0</v>
      </c>
      <c r="H135" s="715">
        <v>43448.0</v>
      </c>
      <c r="I135" s="717">
        <f>Q99+Q95+Q69+Q58+Q47+Q35+Q22</f>
        <v>13368</v>
      </c>
      <c r="J135" s="717"/>
      <c r="K135" s="690"/>
      <c r="L135" s="528"/>
      <c r="M135" s="528"/>
      <c r="N135" s="528"/>
      <c r="O135" s="528"/>
      <c r="P135" s="528"/>
      <c r="Q135" s="528"/>
    </row>
    <row r="136">
      <c r="A136" s="344" t="s">
        <v>461</v>
      </c>
      <c r="B136" s="713">
        <f>E136/E137</f>
        <v>0.4224551319</v>
      </c>
      <c r="C136" s="106"/>
      <c r="D136" s="106">
        <v>824309.0</v>
      </c>
      <c r="E136" s="106">
        <v>2711734.0</v>
      </c>
      <c r="F136" s="588" t="s">
        <v>128</v>
      </c>
      <c r="G136" s="715">
        <f>H135+I135</f>
        <v>56816</v>
      </c>
      <c r="H136" s="224"/>
      <c r="I136" s="224"/>
      <c r="J136" s="224"/>
      <c r="K136" s="528"/>
      <c r="L136" s="528"/>
      <c r="M136" s="528"/>
      <c r="N136" s="528"/>
      <c r="O136" s="528"/>
      <c r="P136" s="528"/>
      <c r="Q136" s="528"/>
    </row>
    <row r="137">
      <c r="A137" s="13" t="s">
        <v>246</v>
      </c>
      <c r="B137" s="695">
        <f>SUM(B132:B136)</f>
        <v>1</v>
      </c>
      <c r="C137" s="616"/>
      <c r="D137" s="616">
        <v>5421027.0</v>
      </c>
      <c r="E137" s="693">
        <f>SUM(E132:E136)</f>
        <v>6418987</v>
      </c>
      <c r="F137" s="622">
        <f>G137/D137</f>
        <v>0.1840905791</v>
      </c>
      <c r="G137" s="616">
        <f>E137-D137</f>
        <v>997960</v>
      </c>
      <c r="H137" s="718"/>
      <c r="I137" s="173"/>
      <c r="J137" s="173"/>
      <c r="K137" s="173"/>
      <c r="L137" s="173"/>
      <c r="M137" s="173"/>
      <c r="N137" s="173"/>
      <c r="O137" s="173"/>
      <c r="P137" s="173"/>
      <c r="Q137" s="173"/>
    </row>
    <row r="138">
      <c r="A138" s="719" t="s">
        <v>892</v>
      </c>
      <c r="B138" s="610"/>
      <c r="C138" s="610"/>
      <c r="D138" s="610"/>
      <c r="E138" s="610"/>
      <c r="F138" s="610"/>
      <c r="G138" s="610"/>
      <c r="H138" s="610"/>
      <c r="I138" s="610"/>
      <c r="J138" s="610"/>
      <c r="K138" s="610"/>
      <c r="L138" s="610"/>
      <c r="M138" s="610"/>
      <c r="N138" s="610"/>
      <c r="O138" s="610"/>
      <c r="P138" s="610"/>
      <c r="Q138" s="610"/>
    </row>
    <row r="139">
      <c r="A139" s="201" t="s">
        <v>248</v>
      </c>
      <c r="B139" s="617"/>
      <c r="C139" s="618" t="s">
        <v>893</v>
      </c>
      <c r="D139" s="617"/>
      <c r="E139" s="618" t="s">
        <v>894</v>
      </c>
      <c r="F139" s="619" t="s">
        <v>15</v>
      </c>
      <c r="G139" s="619" t="s">
        <v>578</v>
      </c>
      <c r="H139" s="610"/>
      <c r="I139" s="610"/>
      <c r="J139" s="610"/>
      <c r="K139" s="610"/>
      <c r="L139" s="610"/>
      <c r="M139" s="610"/>
      <c r="N139" s="610"/>
      <c r="O139" s="610"/>
      <c r="P139" s="610"/>
      <c r="Q139" s="610"/>
    </row>
    <row r="140">
      <c r="A140" s="89" t="s">
        <v>265</v>
      </c>
      <c r="B140" s="16" t="s">
        <v>266</v>
      </c>
      <c r="C140" s="645">
        <v>27782.0</v>
      </c>
      <c r="D140" s="720"/>
      <c r="E140" s="621">
        <v>30606.0</v>
      </c>
      <c r="F140" s="206">
        <f t="shared" ref="F140:F144" si="51">E140-C140</f>
        <v>2824</v>
      </c>
      <c r="G140" s="207">
        <f t="shared" ref="G140:G144" si="52">E140/C140-1</f>
        <v>0.1016485494</v>
      </c>
      <c r="H140" s="610"/>
      <c r="I140" s="624"/>
      <c r="J140" s="610"/>
      <c r="K140" s="610"/>
      <c r="L140" s="610"/>
      <c r="M140" s="610"/>
      <c r="N140" s="610"/>
      <c r="O140" s="610"/>
      <c r="P140" s="610"/>
      <c r="Q140" s="610"/>
    </row>
    <row r="141">
      <c r="A141" s="89" t="s">
        <v>267</v>
      </c>
      <c r="B141" s="16" t="s">
        <v>268</v>
      </c>
      <c r="C141" s="645">
        <v>3363.0</v>
      </c>
      <c r="D141" s="720"/>
      <c r="E141" s="621">
        <v>3756.0</v>
      </c>
      <c r="F141" s="206">
        <f t="shared" si="51"/>
        <v>393</v>
      </c>
      <c r="G141" s="207">
        <f t="shared" si="52"/>
        <v>0.1168599465</v>
      </c>
      <c r="H141" s="610"/>
      <c r="I141" s="610"/>
      <c r="J141" s="610"/>
      <c r="K141" s="610"/>
      <c r="L141" s="610"/>
      <c r="M141" s="610"/>
      <c r="N141" s="610"/>
      <c r="O141" s="610"/>
      <c r="P141" s="610"/>
      <c r="Q141" s="610"/>
    </row>
    <row r="142">
      <c r="A142" s="89" t="s">
        <v>269</v>
      </c>
      <c r="B142" s="16" t="s">
        <v>270</v>
      </c>
      <c r="C142" s="645">
        <v>11168.0</v>
      </c>
      <c r="D142" s="720"/>
      <c r="E142" s="621">
        <v>12888.0</v>
      </c>
      <c r="F142" s="206">
        <f t="shared" si="51"/>
        <v>1720</v>
      </c>
      <c r="G142" s="207">
        <f t="shared" si="52"/>
        <v>0.1540114613</v>
      </c>
      <c r="H142" s="610"/>
      <c r="I142" s="610"/>
      <c r="J142" s="610"/>
      <c r="K142" s="610"/>
      <c r="L142" s="610"/>
      <c r="M142" s="610"/>
      <c r="N142" s="610"/>
      <c r="O142" s="610"/>
      <c r="P142" s="610"/>
      <c r="Q142" s="610"/>
    </row>
    <row r="143">
      <c r="A143" s="89" t="s">
        <v>271</v>
      </c>
      <c r="B143" s="16" t="s">
        <v>272</v>
      </c>
      <c r="C143" s="645">
        <v>1508.0</v>
      </c>
      <c r="D143" s="720"/>
      <c r="E143" s="621">
        <v>1975.0</v>
      </c>
      <c r="F143" s="206">
        <f t="shared" si="51"/>
        <v>467</v>
      </c>
      <c r="G143" s="207">
        <f t="shared" si="52"/>
        <v>0.3096816976</v>
      </c>
      <c r="H143" s="610"/>
      <c r="I143" s="610"/>
      <c r="J143" s="610"/>
      <c r="K143" s="610"/>
      <c r="L143" s="610"/>
      <c r="M143" s="610"/>
      <c r="N143" s="610"/>
      <c r="O143" s="610"/>
      <c r="P143" s="610"/>
      <c r="Q143" s="610"/>
    </row>
    <row r="144">
      <c r="A144" s="89" t="s">
        <v>273</v>
      </c>
      <c r="B144" s="16" t="s">
        <v>274</v>
      </c>
      <c r="C144" s="645">
        <v>12702.0</v>
      </c>
      <c r="D144" s="720"/>
      <c r="E144" s="621">
        <v>14525.0</v>
      </c>
      <c r="F144" s="206">
        <f t="shared" si="51"/>
        <v>1823</v>
      </c>
      <c r="G144" s="207">
        <f t="shared" si="52"/>
        <v>0.1435207054</v>
      </c>
      <c r="H144" s="610"/>
      <c r="I144" s="610"/>
      <c r="J144" s="610"/>
      <c r="K144" s="610"/>
      <c r="L144" s="610"/>
      <c r="M144" s="610"/>
      <c r="N144" s="610"/>
      <c r="O144" s="610"/>
      <c r="P144" s="610"/>
      <c r="Q144" s="6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2.63"/>
    <col customWidth="1" min="3" max="3" width="20.63"/>
    <col customWidth="1" min="4" max="4" width="14.13"/>
    <col customWidth="1" min="5" max="5" width="11.25"/>
    <col customWidth="1" min="6" max="6" width="24.13"/>
    <col customWidth="1" min="7" max="7" width="22.63"/>
    <col customWidth="1" min="8" max="8" width="18.75"/>
    <col customWidth="1" min="9" max="9" width="16.5"/>
    <col customWidth="1" min="10" max="10" width="11.25"/>
    <col customWidth="1" min="11" max="11" width="8.63"/>
    <col customWidth="1" min="12" max="12" width="11.13"/>
    <col customWidth="1" min="13" max="13" width="12.5"/>
    <col customWidth="1" min="14" max="14" width="11.5"/>
    <col customWidth="1" min="15" max="15" width="7.75"/>
    <col customWidth="1" min="16" max="16" width="9.63"/>
    <col customWidth="1" min="17" max="17" width="13.25"/>
    <col customWidth="1" min="18" max="18" width="7.63"/>
    <col customWidth="1" min="19" max="19" width="9.13"/>
    <col customWidth="1" min="20" max="20" width="11.38"/>
    <col customWidth="1" min="21" max="21" width="13.0"/>
    <col customWidth="1" min="22" max="22" width="9.75"/>
    <col customWidth="1" min="23" max="23" width="10.25"/>
  </cols>
  <sheetData>
    <row r="1">
      <c r="A1" s="671" t="s">
        <v>843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672"/>
      <c r="M1" s="672"/>
      <c r="N1" s="672"/>
      <c r="O1" s="672"/>
      <c r="P1" s="672"/>
      <c r="Q1" s="565"/>
      <c r="R1" s="565"/>
      <c r="S1" s="565"/>
      <c r="T1" s="565"/>
      <c r="U1" s="565"/>
      <c r="V1" s="565"/>
      <c r="W1" s="565"/>
      <c r="X1" s="565"/>
    </row>
    <row r="2">
      <c r="A2" s="504" t="s">
        <v>374</v>
      </c>
      <c r="B2" s="13" t="s">
        <v>797</v>
      </c>
      <c r="C2" s="13" t="s">
        <v>3</v>
      </c>
      <c r="D2" s="13" t="s">
        <v>4</v>
      </c>
      <c r="E2" s="13" t="s">
        <v>5</v>
      </c>
      <c r="F2" s="504" t="s">
        <v>895</v>
      </c>
      <c r="G2" s="505" t="s">
        <v>730</v>
      </c>
      <c r="H2" s="505" t="s">
        <v>896</v>
      </c>
      <c r="I2" s="506" t="s">
        <v>10</v>
      </c>
      <c r="J2" s="673" t="s">
        <v>11</v>
      </c>
      <c r="K2" s="508" t="s">
        <v>476</v>
      </c>
      <c r="L2" s="507" t="s">
        <v>13</v>
      </c>
      <c r="M2" s="504" t="s">
        <v>897</v>
      </c>
      <c r="N2" s="508" t="s">
        <v>329</v>
      </c>
      <c r="O2" s="13" t="s">
        <v>16</v>
      </c>
      <c r="P2" s="509" t="s">
        <v>17</v>
      </c>
      <c r="Q2" s="238" t="s">
        <v>21</v>
      </c>
      <c r="R2" s="238" t="s">
        <v>22</v>
      </c>
      <c r="S2" s="238" t="s">
        <v>23</v>
      </c>
      <c r="T2" s="238" t="s">
        <v>24</v>
      </c>
      <c r="U2" s="238" t="s">
        <v>25</v>
      </c>
      <c r="V2" s="238" t="s">
        <v>26</v>
      </c>
      <c r="W2" s="238" t="s">
        <v>27</v>
      </c>
      <c r="X2" s="238" t="s">
        <v>28</v>
      </c>
    </row>
    <row r="3">
      <c r="A3" s="565" t="s">
        <v>733</v>
      </c>
      <c r="B3" s="565" t="s">
        <v>733</v>
      </c>
      <c r="C3" s="344" t="s">
        <v>648</v>
      </c>
      <c r="D3" s="344" t="s">
        <v>36</v>
      </c>
      <c r="E3" s="569">
        <v>7.5</v>
      </c>
      <c r="F3" s="106">
        <v>35248.0</v>
      </c>
      <c r="G3" s="680">
        <f>F3+N3</f>
        <v>41741</v>
      </c>
      <c r="H3" s="675">
        <v>352.48</v>
      </c>
      <c r="I3" s="676">
        <f>IFERROR(__xludf.DUMMYFUNCTION("GOOGLEFINANCE(D3,""changepct"")"),-3.3)</f>
        <v>-3.3</v>
      </c>
      <c r="J3" s="677">
        <f>IFERROR(__xludf.DUMMYFUNCTION("googlefinance(D3,""price"")"),417.41)</f>
        <v>417.41</v>
      </c>
      <c r="K3" s="678"/>
      <c r="L3" s="677">
        <f t="shared" ref="L3:L12" si="1">J3-H3</f>
        <v>64.93</v>
      </c>
      <c r="M3" s="679">
        <f>J3/H3-1</f>
        <v>0.1842090331</v>
      </c>
      <c r="N3" s="680">
        <f t="shared" ref="N3:N12" si="2">F3*M3</f>
        <v>6493</v>
      </c>
      <c r="O3" s="569" t="s">
        <v>128</v>
      </c>
      <c r="P3" s="514"/>
      <c r="Q3" s="657"/>
      <c r="R3" s="257"/>
      <c r="S3" s="258"/>
      <c r="T3" s="658"/>
      <c r="U3" s="210" t="s">
        <v>36</v>
      </c>
      <c r="V3" s="211">
        <v>44083.0</v>
      </c>
      <c r="W3" s="212">
        <v>352.48</v>
      </c>
      <c r="X3" s="213">
        <v>35248.0</v>
      </c>
    </row>
    <row r="4">
      <c r="A4" s="681">
        <f>B139</f>
        <v>0.153536959</v>
      </c>
      <c r="B4" s="681" t="str">
        <f>G27/D144</f>
        <v>#N/A</v>
      </c>
      <c r="C4" s="344" t="s">
        <v>346</v>
      </c>
      <c r="D4" s="344" t="s">
        <v>347</v>
      </c>
      <c r="E4" s="569">
        <v>7.8</v>
      </c>
      <c r="F4" s="106">
        <v>32347.5</v>
      </c>
      <c r="G4" s="674">
        <v>0.0</v>
      </c>
      <c r="H4" s="675">
        <v>215.65</v>
      </c>
      <c r="I4" s="676">
        <f>IFERROR(__xludf.DUMMYFUNCTION("GOOGLEFINANCE(D4,""changepct"")"),-1.09)</f>
        <v>-1.09</v>
      </c>
      <c r="J4" s="677">
        <f>IFERROR(__xludf.DUMMYFUNCTION("googlefinance(D4,""price"")"),84.13)</f>
        <v>84.13</v>
      </c>
      <c r="K4" s="212">
        <v>287.53</v>
      </c>
      <c r="L4" s="677">
        <f t="shared" si="1"/>
        <v>-131.52</v>
      </c>
      <c r="M4" s="679">
        <f>K4/H4-1</f>
        <v>0.3333178762</v>
      </c>
      <c r="N4" s="680">
        <f t="shared" si="2"/>
        <v>10782</v>
      </c>
      <c r="O4" s="569" t="s">
        <v>128</v>
      </c>
      <c r="P4" s="514"/>
      <c r="Q4" s="210" t="s">
        <v>347</v>
      </c>
      <c r="R4" s="211">
        <v>44071.0</v>
      </c>
      <c r="S4" s="212">
        <v>287.53</v>
      </c>
      <c r="T4" s="213">
        <v>43130.0</v>
      </c>
      <c r="U4" s="657"/>
      <c r="V4" s="257"/>
      <c r="W4" s="258"/>
      <c r="X4" s="658"/>
    </row>
    <row r="5">
      <c r="A5" s="528"/>
      <c r="B5" s="528"/>
      <c r="C5" s="344" t="s">
        <v>346</v>
      </c>
      <c r="D5" s="344" t="s">
        <v>347</v>
      </c>
      <c r="E5" s="569">
        <v>7.8</v>
      </c>
      <c r="F5" s="106">
        <v>27416.0</v>
      </c>
      <c r="G5" s="680">
        <f t="shared" ref="G5:G6" si="3">F5+N5</f>
        <v>8413</v>
      </c>
      <c r="H5" s="675">
        <v>274.16</v>
      </c>
      <c r="I5" s="676">
        <f>IFERROR(__xludf.DUMMYFUNCTION("GOOGLEFINANCE(D5,""changepct"")"),-1.09)</f>
        <v>-1.09</v>
      </c>
      <c r="J5" s="677">
        <f>IFERROR(__xludf.DUMMYFUNCTION("googlefinance(D5,""price"")"),84.13)</f>
        <v>84.13</v>
      </c>
      <c r="K5" s="677"/>
      <c r="L5" s="677">
        <f t="shared" si="1"/>
        <v>-190.03</v>
      </c>
      <c r="M5" s="679">
        <f t="shared" ref="M5:M6" si="4">J5/H5-1</f>
        <v>-0.6931353954</v>
      </c>
      <c r="N5" s="680">
        <f t="shared" si="2"/>
        <v>-19003</v>
      </c>
      <c r="O5" s="569"/>
      <c r="P5" s="514"/>
      <c r="Q5" s="210"/>
      <c r="R5" s="257"/>
      <c r="S5" s="258"/>
      <c r="T5" s="658"/>
      <c r="U5" s="210" t="s">
        <v>347</v>
      </c>
      <c r="V5" s="211">
        <v>44088.0</v>
      </c>
      <c r="W5" s="212">
        <v>274.16</v>
      </c>
      <c r="X5" s="106">
        <v>27416.0</v>
      </c>
    </row>
    <row r="6">
      <c r="A6" s="528"/>
      <c r="B6" s="528"/>
      <c r="C6" s="344" t="s">
        <v>530</v>
      </c>
      <c r="D6" s="344" t="s">
        <v>34</v>
      </c>
      <c r="E6" s="569">
        <v>7.1</v>
      </c>
      <c r="F6" s="106">
        <v>23940.0</v>
      </c>
      <c r="G6" s="680">
        <f t="shared" si="3"/>
        <v>16810</v>
      </c>
      <c r="H6" s="675">
        <v>119.7</v>
      </c>
      <c r="I6" s="676">
        <f>IFERROR(__xludf.DUMMYFUNCTION("GOOGLEFINANCE(D6,""changepct"")"),-2.94)</f>
        <v>-2.94</v>
      </c>
      <c r="J6" s="677">
        <f>IFERROR(__xludf.DUMMYFUNCTION("googlefinance(D6,""price"")"),84.05)</f>
        <v>84.05</v>
      </c>
      <c r="K6" s="677"/>
      <c r="L6" s="677">
        <f t="shared" si="1"/>
        <v>-35.65</v>
      </c>
      <c r="M6" s="679">
        <f t="shared" si="4"/>
        <v>-0.2978279031</v>
      </c>
      <c r="N6" s="680">
        <f t="shared" si="2"/>
        <v>-7130</v>
      </c>
      <c r="O6" s="569" t="s">
        <v>128</v>
      </c>
      <c r="P6" s="514"/>
      <c r="Q6" s="210"/>
      <c r="R6" s="257"/>
      <c r="S6" s="258"/>
      <c r="T6" s="658"/>
      <c r="U6" s="657"/>
      <c r="V6" s="257"/>
      <c r="W6" s="258"/>
      <c r="X6" s="658"/>
    </row>
    <row r="7">
      <c r="A7" s="528"/>
      <c r="B7" s="528"/>
      <c r="C7" s="344" t="s">
        <v>734</v>
      </c>
      <c r="D7" s="344" t="s">
        <v>74</v>
      </c>
      <c r="E7" s="569">
        <v>7.2</v>
      </c>
      <c r="F7" s="213">
        <v>20316.0</v>
      </c>
      <c r="G7" s="674">
        <v>0.0</v>
      </c>
      <c r="H7" s="212">
        <v>203.16</v>
      </c>
      <c r="I7" s="676">
        <f>IFERROR(__xludf.DUMMYFUNCTION("GOOGLEFINANCE(D7,""changepct"")"),-1.32)</f>
        <v>-1.32</v>
      </c>
      <c r="J7" s="677">
        <f>IFERROR(__xludf.DUMMYFUNCTION("googlefinance(D7,""price"")"),424.83)</f>
        <v>424.83</v>
      </c>
      <c r="K7" s="212">
        <v>229.27</v>
      </c>
      <c r="L7" s="677">
        <f t="shared" si="1"/>
        <v>221.67</v>
      </c>
      <c r="M7" s="679">
        <f>K7/H7-1</f>
        <v>0.1285193936</v>
      </c>
      <c r="N7" s="680">
        <f t="shared" si="2"/>
        <v>2611</v>
      </c>
      <c r="O7" s="682">
        <v>0.0114</v>
      </c>
      <c r="P7" s="696"/>
      <c r="Q7" s="210" t="s">
        <v>74</v>
      </c>
      <c r="R7" s="211">
        <v>44071.0</v>
      </c>
      <c r="S7" s="212">
        <v>229.27</v>
      </c>
      <c r="T7" s="213">
        <v>22927.0</v>
      </c>
      <c r="U7" s="210" t="s">
        <v>74</v>
      </c>
      <c r="V7" s="211">
        <v>44039.0</v>
      </c>
      <c r="W7" s="212">
        <v>203.16</v>
      </c>
      <c r="X7" s="213">
        <v>20316.0</v>
      </c>
    </row>
    <row r="8">
      <c r="A8" s="528"/>
      <c r="B8" s="528"/>
      <c r="C8" s="344" t="s">
        <v>734</v>
      </c>
      <c r="D8" s="344" t="s">
        <v>74</v>
      </c>
      <c r="E8" s="569">
        <v>7.2</v>
      </c>
      <c r="F8" s="213">
        <v>20704.0</v>
      </c>
      <c r="G8" s="680">
        <f t="shared" ref="G8:G9" si="5">F8+N8</f>
        <v>42483</v>
      </c>
      <c r="H8" s="212">
        <v>207.04</v>
      </c>
      <c r="I8" s="676">
        <f>IFERROR(__xludf.DUMMYFUNCTION("GOOGLEFINANCE(D8,""changepct"")"),-1.32)</f>
        <v>-1.32</v>
      </c>
      <c r="J8" s="677">
        <f>IFERROR(__xludf.DUMMYFUNCTION("googlefinance(D8,""price"")"),424.83)</f>
        <v>424.83</v>
      </c>
      <c r="K8" s="677"/>
      <c r="L8" s="677">
        <f t="shared" si="1"/>
        <v>217.79</v>
      </c>
      <c r="M8" s="679">
        <f t="shared" ref="M8:M9" si="6">J8/H8-1</f>
        <v>1.051922334</v>
      </c>
      <c r="N8" s="680">
        <f t="shared" si="2"/>
        <v>21779</v>
      </c>
      <c r="O8" s="569"/>
      <c r="P8" s="514"/>
      <c r="Q8" s="210"/>
      <c r="R8" s="257"/>
      <c r="S8" s="258"/>
      <c r="T8" s="658"/>
      <c r="U8" s="210" t="s">
        <v>74</v>
      </c>
      <c r="V8" s="211">
        <v>44088.0</v>
      </c>
      <c r="W8" s="212">
        <v>207.04</v>
      </c>
      <c r="X8" s="213">
        <v>20704.0</v>
      </c>
    </row>
    <row r="9">
      <c r="A9" s="528"/>
      <c r="B9" s="528"/>
      <c r="C9" s="344" t="s">
        <v>30</v>
      </c>
      <c r="D9" s="344" t="s">
        <v>31</v>
      </c>
      <c r="E9" s="569">
        <v>7.1</v>
      </c>
      <c r="F9" s="213">
        <v>30562.2</v>
      </c>
      <c r="G9" s="680">
        <f t="shared" si="5"/>
        <v>3853.8</v>
      </c>
      <c r="H9" s="212">
        <v>1528.11</v>
      </c>
      <c r="I9" s="676">
        <f>IFERROR(__xludf.DUMMYFUNCTION("GOOGLEFINANCE(D9,""changepct"")"),-0.7)</f>
        <v>-0.7</v>
      </c>
      <c r="J9" s="677">
        <f>IFERROR(__xludf.DUMMYFUNCTION("googlefinance(D9,""price"")"),192.69)</f>
        <v>192.69</v>
      </c>
      <c r="K9" s="677"/>
      <c r="L9" s="677">
        <f t="shared" si="1"/>
        <v>-1335.42</v>
      </c>
      <c r="M9" s="679">
        <f t="shared" si="6"/>
        <v>-0.8739030567</v>
      </c>
      <c r="N9" s="680">
        <f t="shared" si="2"/>
        <v>-26708.4</v>
      </c>
      <c r="O9" s="569" t="s">
        <v>128</v>
      </c>
      <c r="P9" s="514"/>
      <c r="Q9" s="210"/>
      <c r="R9" s="257"/>
      <c r="S9" s="258"/>
      <c r="T9" s="658"/>
      <c r="U9" s="210" t="s">
        <v>31</v>
      </c>
      <c r="V9" s="211">
        <v>44039.0</v>
      </c>
      <c r="W9" s="212">
        <v>1528.11</v>
      </c>
      <c r="X9" s="213">
        <v>30562.2</v>
      </c>
    </row>
    <row r="10">
      <c r="A10" s="528"/>
      <c r="B10" s="528"/>
      <c r="C10" s="344" t="s">
        <v>632</v>
      </c>
      <c r="D10" s="344" t="s">
        <v>674</v>
      </c>
      <c r="E10" s="569">
        <v>6.8</v>
      </c>
      <c r="F10" s="213">
        <v>23254.0</v>
      </c>
      <c r="G10" s="674">
        <v>0.0</v>
      </c>
      <c r="H10" s="212">
        <v>232.54</v>
      </c>
      <c r="I10" s="676">
        <f>IFERROR(__xludf.DUMMYFUNCTION("GOOGLEFINANCE(D10,""changepct"")"),0.0)</f>
        <v>0</v>
      </c>
      <c r="J10" s="677">
        <f>IFERROR(__xludf.DUMMYFUNCTION("googlefinance(D10,""price"")"),185.26)</f>
        <v>185.26</v>
      </c>
      <c r="K10" s="212">
        <v>292.16</v>
      </c>
      <c r="L10" s="677">
        <f t="shared" si="1"/>
        <v>-47.28</v>
      </c>
      <c r="M10" s="679">
        <f t="shared" ref="M10:M12" si="7">K10/H10-1</f>
        <v>0.2563859981</v>
      </c>
      <c r="N10" s="680">
        <f t="shared" si="2"/>
        <v>5962</v>
      </c>
      <c r="O10" s="569" t="s">
        <v>128</v>
      </c>
      <c r="P10" s="514"/>
      <c r="Q10" s="210" t="s">
        <v>674</v>
      </c>
      <c r="R10" s="211">
        <v>44071.0</v>
      </c>
      <c r="S10" s="212">
        <v>292.16</v>
      </c>
      <c r="T10" s="213">
        <v>29216.0</v>
      </c>
      <c r="U10" s="210" t="s">
        <v>674</v>
      </c>
      <c r="V10" s="211">
        <v>44039.0</v>
      </c>
      <c r="W10" s="212">
        <v>232.54</v>
      </c>
      <c r="X10" s="213">
        <v>23254.0</v>
      </c>
    </row>
    <row r="11">
      <c r="A11" s="528"/>
      <c r="B11" s="528"/>
      <c r="C11" s="344" t="s">
        <v>846</v>
      </c>
      <c r="D11" s="344" t="s">
        <v>652</v>
      </c>
      <c r="E11" s="569">
        <v>5.2</v>
      </c>
      <c r="F11" s="106">
        <v>26650.0</v>
      </c>
      <c r="G11" s="674">
        <v>0.0</v>
      </c>
      <c r="H11" s="675">
        <v>5.33</v>
      </c>
      <c r="I11" s="676">
        <f>IFERROR(__xludf.DUMMYFUNCTION("GOOGLEFINANCE(D11,""changepct"")"),13.39)</f>
        <v>13.39</v>
      </c>
      <c r="J11" s="677">
        <f>IFERROR(__xludf.DUMMYFUNCTION("googlefinance(D11,""price"")"),9.74)</f>
        <v>9.74</v>
      </c>
      <c r="K11" s="678">
        <v>9.01</v>
      </c>
      <c r="L11" s="677">
        <f t="shared" si="1"/>
        <v>4.41</v>
      </c>
      <c r="M11" s="679">
        <f t="shared" si="7"/>
        <v>0.6904315197</v>
      </c>
      <c r="N11" s="680">
        <f t="shared" si="2"/>
        <v>18400</v>
      </c>
      <c r="O11" s="569" t="s">
        <v>128</v>
      </c>
      <c r="P11" s="514"/>
      <c r="Q11" s="210" t="s">
        <v>652</v>
      </c>
      <c r="R11" s="211">
        <v>44064.0</v>
      </c>
      <c r="S11" s="212">
        <v>9.01</v>
      </c>
      <c r="T11" s="213">
        <v>45050.0</v>
      </c>
      <c r="U11" s="210"/>
      <c r="V11" s="211"/>
      <c r="W11" s="212"/>
      <c r="X11" s="213"/>
    </row>
    <row r="12">
      <c r="A12" s="528"/>
      <c r="B12" s="528"/>
      <c r="C12" s="344" t="s">
        <v>749</v>
      </c>
      <c r="D12" s="344" t="s">
        <v>582</v>
      </c>
      <c r="E12" s="569">
        <v>6.3</v>
      </c>
      <c r="F12" s="213">
        <v>24331.5</v>
      </c>
      <c r="G12" s="674">
        <v>0.0</v>
      </c>
      <c r="H12" s="212">
        <v>486.63</v>
      </c>
      <c r="I12" s="676">
        <f>IFERROR(__xludf.DUMMYFUNCTION("GOOGLEFINANCE(D12,""changepct"")"),-0.78)</f>
        <v>-0.78</v>
      </c>
      <c r="J12" s="677">
        <f>IFERROR(__xludf.DUMMYFUNCTION("googlefinance(D12,""price"")"),900.43)</f>
        <v>900.43</v>
      </c>
      <c r="K12" s="678">
        <v>532.18</v>
      </c>
      <c r="L12" s="677">
        <f t="shared" si="1"/>
        <v>413.8</v>
      </c>
      <c r="M12" s="679">
        <f t="shared" si="7"/>
        <v>0.09360294269</v>
      </c>
      <c r="N12" s="680">
        <f t="shared" si="2"/>
        <v>2277.5</v>
      </c>
      <c r="O12" s="569" t="s">
        <v>128</v>
      </c>
      <c r="P12" s="514"/>
      <c r="Q12" s="210" t="s">
        <v>582</v>
      </c>
      <c r="R12" s="211">
        <v>44071.0</v>
      </c>
      <c r="S12" s="212">
        <v>532.18</v>
      </c>
      <c r="T12" s="213">
        <v>26609.0</v>
      </c>
      <c r="U12" s="210" t="s">
        <v>582</v>
      </c>
      <c r="V12" s="211">
        <v>44039.0</v>
      </c>
      <c r="W12" s="212">
        <v>486.63</v>
      </c>
      <c r="X12" s="213">
        <v>24331.5</v>
      </c>
    </row>
    <row r="13">
      <c r="A13" s="528"/>
      <c r="B13" s="528"/>
      <c r="C13" s="344" t="s">
        <v>898</v>
      </c>
      <c r="D13" s="344" t="s">
        <v>899</v>
      </c>
      <c r="E13" s="569">
        <v>5.4</v>
      </c>
      <c r="F13" s="217">
        <v>0.0</v>
      </c>
      <c r="G13" s="680">
        <f t="shared" ref="G13:G15" si="8">F13+N13</f>
        <v>0</v>
      </c>
      <c r="H13" s="517"/>
      <c r="I13" s="676" t="str">
        <f>IFERROR(__xludf.DUMMYFUNCTION("GOOGLEFINANCE(D13,""changepct"")"),"#N/A")</f>
        <v>#N/A</v>
      </c>
      <c r="J13" s="677" t="str">
        <f>IFERROR(__xludf.DUMMYFUNCTION("googlefinance(D13,""price"")"),"#N/A")</f>
        <v>#N/A</v>
      </c>
      <c r="K13" s="517"/>
      <c r="L13" s="677"/>
      <c r="M13" s="679"/>
      <c r="N13" s="680"/>
      <c r="O13" s="569" t="s">
        <v>128</v>
      </c>
      <c r="P13" s="514"/>
      <c r="Q13" s="210"/>
      <c r="R13" s="257"/>
      <c r="S13" s="258"/>
      <c r="T13" s="658"/>
      <c r="U13" s="210"/>
      <c r="V13" s="211"/>
      <c r="W13" s="212"/>
      <c r="X13" s="213"/>
    </row>
    <row r="14">
      <c r="A14" s="528"/>
      <c r="B14" s="528"/>
      <c r="C14" s="344" t="s">
        <v>900</v>
      </c>
      <c r="D14" s="344" t="s">
        <v>345</v>
      </c>
      <c r="E14" s="569">
        <v>6.4</v>
      </c>
      <c r="F14" s="217">
        <v>0.0</v>
      </c>
      <c r="G14" s="680">
        <f t="shared" si="8"/>
        <v>0</v>
      </c>
      <c r="H14" s="517"/>
      <c r="I14" s="676">
        <f>IFERROR(__xludf.DUMMYFUNCTION("GOOGLEFINANCE(D14,""changepct"")"),-0.69)</f>
        <v>-0.69</v>
      </c>
      <c r="J14" s="677">
        <f>IFERROR(__xludf.DUMMYFUNCTION("googlefinance(D14,""price"")"),53.23)</f>
        <v>53.23</v>
      </c>
      <c r="K14" s="517"/>
      <c r="L14" s="677"/>
      <c r="M14" s="679"/>
      <c r="N14" s="680"/>
      <c r="O14" s="538">
        <v>0.0029</v>
      </c>
      <c r="P14" s="514"/>
      <c r="Q14" s="657"/>
      <c r="R14" s="257"/>
      <c r="S14" s="258"/>
      <c r="T14" s="658"/>
      <c r="U14" s="657"/>
      <c r="V14" s="257"/>
      <c r="W14" s="258"/>
      <c r="X14" s="658"/>
    </row>
    <row r="15">
      <c r="A15" s="528"/>
      <c r="B15" s="528"/>
      <c r="C15" s="104" t="s">
        <v>847</v>
      </c>
      <c r="D15" s="104" t="s">
        <v>379</v>
      </c>
      <c r="E15" s="569">
        <v>6.9</v>
      </c>
      <c r="F15" s="217">
        <v>0.0</v>
      </c>
      <c r="G15" s="680">
        <f t="shared" si="8"/>
        <v>0</v>
      </c>
      <c r="H15" s="216"/>
      <c r="I15" s="676">
        <f>IFERROR(__xludf.DUMMYFUNCTION("GOOGLEFINANCE(D15,""changepct"")"),-2.8)</f>
        <v>-2.8</v>
      </c>
      <c r="J15" s="677">
        <f>IFERROR(__xludf.DUMMYFUNCTION("googlefinance(D15,""price"")"),57.61)</f>
        <v>57.61</v>
      </c>
      <c r="K15" s="216"/>
      <c r="L15" s="677"/>
      <c r="M15" s="679"/>
      <c r="N15" s="680"/>
      <c r="O15" s="538">
        <v>0.003</v>
      </c>
      <c r="P15" s="514"/>
      <c r="Q15" s="657"/>
      <c r="R15" s="257"/>
      <c r="S15" s="258"/>
      <c r="T15" s="658"/>
      <c r="U15" s="657"/>
      <c r="V15" s="257"/>
      <c r="W15" s="258"/>
      <c r="X15" s="658"/>
    </row>
    <row r="16">
      <c r="A16" s="528"/>
      <c r="B16" s="528"/>
      <c r="C16" s="104" t="s">
        <v>741</v>
      </c>
      <c r="D16" s="104" t="s">
        <v>742</v>
      </c>
      <c r="E16" s="569">
        <v>7.2</v>
      </c>
      <c r="F16" s="217">
        <v>37210.0</v>
      </c>
      <c r="G16" s="674">
        <v>0.0</v>
      </c>
      <c r="H16" s="216">
        <v>74.42</v>
      </c>
      <c r="I16" s="676">
        <f>IFERROR(__xludf.DUMMYFUNCTION("GOOGLEFINANCE(D16,""changepct"")"),-1.31)</f>
        <v>-1.31</v>
      </c>
      <c r="J16" s="677">
        <f>IFERROR(__xludf.DUMMYFUNCTION("googlefinance(D16,""price"")"),120.09)</f>
        <v>120.09</v>
      </c>
      <c r="K16" s="216">
        <v>83.26</v>
      </c>
      <c r="L16" s="677">
        <f t="shared" ref="L16:L20" si="9">J16-H16</f>
        <v>45.67</v>
      </c>
      <c r="M16" s="679">
        <f>K16/H16-1</f>
        <v>0.1187852728</v>
      </c>
      <c r="N16" s="680">
        <f t="shared" ref="N16:N20" si="10">F16*M16</f>
        <v>4420</v>
      </c>
      <c r="O16" s="538">
        <v>0.0035</v>
      </c>
      <c r="P16" s="514"/>
      <c r="Q16" s="210" t="s">
        <v>742</v>
      </c>
      <c r="R16" s="211">
        <v>44071.0</v>
      </c>
      <c r="S16" s="212">
        <v>83.26</v>
      </c>
      <c r="T16" s="213">
        <v>41630.0</v>
      </c>
      <c r="U16" s="657"/>
      <c r="V16" s="257"/>
      <c r="W16" s="258"/>
      <c r="X16" s="658"/>
    </row>
    <row r="17">
      <c r="A17" s="528"/>
      <c r="B17" s="528"/>
      <c r="C17" s="104" t="s">
        <v>747</v>
      </c>
      <c r="D17" s="104" t="s">
        <v>748</v>
      </c>
      <c r="E17" s="569">
        <v>6.7</v>
      </c>
      <c r="F17" s="217">
        <v>20484.0</v>
      </c>
      <c r="G17" s="680">
        <f t="shared" ref="G17:G25" si="11">F17+N17</f>
        <v>29451.6</v>
      </c>
      <c r="H17" s="216">
        <v>170.7</v>
      </c>
      <c r="I17" s="676">
        <f>IFERROR(__xludf.DUMMYFUNCTION("GOOGLEFINANCE(D17,""changepct"")"),-1.1)</f>
        <v>-1.1</v>
      </c>
      <c r="J17" s="677">
        <f>IFERROR(__xludf.DUMMYFUNCTION("googlefinance(D17,""price"")"),245.43)</f>
        <v>245.43</v>
      </c>
      <c r="K17" s="216"/>
      <c r="L17" s="677">
        <f t="shared" si="9"/>
        <v>74.73</v>
      </c>
      <c r="M17" s="679">
        <f t="shared" ref="M17:M20" si="12">J17/H17-1</f>
        <v>0.4377855888</v>
      </c>
      <c r="N17" s="680">
        <f t="shared" si="10"/>
        <v>8967.6</v>
      </c>
      <c r="O17" s="195" t="s">
        <v>128</v>
      </c>
      <c r="P17" s="514"/>
      <c r="Q17" s="210"/>
      <c r="R17" s="211"/>
      <c r="S17" s="258"/>
      <c r="T17" s="658"/>
      <c r="U17" s="657"/>
      <c r="V17" s="257"/>
      <c r="W17" s="258"/>
      <c r="X17" s="658"/>
    </row>
    <row r="18">
      <c r="A18" s="528"/>
      <c r="B18" s="528"/>
      <c r="C18" s="104" t="s">
        <v>848</v>
      </c>
      <c r="D18" s="104" t="s">
        <v>849</v>
      </c>
      <c r="E18" s="569">
        <v>6.8</v>
      </c>
      <c r="F18" s="217">
        <v>25569.0</v>
      </c>
      <c r="G18" s="680">
        <f t="shared" si="11"/>
        <v>19548</v>
      </c>
      <c r="H18" s="216">
        <v>85.23</v>
      </c>
      <c r="I18" s="676">
        <f>IFERROR(__xludf.DUMMYFUNCTION("GOOGLEFINANCE(D18,""changepct"")"),-0.26)</f>
        <v>-0.26</v>
      </c>
      <c r="J18" s="677">
        <f>IFERROR(__xludf.DUMMYFUNCTION("googlefinance(D18,""price"")"),65.16)</f>
        <v>65.16</v>
      </c>
      <c r="K18" s="216"/>
      <c r="L18" s="677">
        <f t="shared" si="9"/>
        <v>-20.07</v>
      </c>
      <c r="M18" s="679">
        <f t="shared" si="12"/>
        <v>-0.2354804646</v>
      </c>
      <c r="N18" s="680">
        <f t="shared" si="10"/>
        <v>-6021</v>
      </c>
      <c r="O18" s="538">
        <v>0.0023</v>
      </c>
      <c r="P18" s="217">
        <v>15.0</v>
      </c>
      <c r="Q18" s="657"/>
      <c r="R18" s="257"/>
      <c r="S18" s="258"/>
      <c r="T18" s="658"/>
      <c r="U18" s="210" t="s">
        <v>849</v>
      </c>
      <c r="V18" s="211">
        <v>44088.0</v>
      </c>
      <c r="W18" s="216">
        <v>85.23</v>
      </c>
      <c r="X18" s="217">
        <v>25569.0</v>
      </c>
    </row>
    <row r="19">
      <c r="A19" s="528"/>
      <c r="B19" s="528"/>
      <c r="C19" s="685" t="s">
        <v>743</v>
      </c>
      <c r="D19" s="104" t="s">
        <v>744</v>
      </c>
      <c r="E19" s="569">
        <v>7.2</v>
      </c>
      <c r="F19" s="217">
        <v>33100.0</v>
      </c>
      <c r="G19" s="680">
        <f t="shared" si="11"/>
        <v>63810</v>
      </c>
      <c r="H19" s="212">
        <v>33.1</v>
      </c>
      <c r="I19" s="676">
        <f>IFERROR(__xludf.DUMMYFUNCTION("GOOGLEFINANCE(D19,""changepct"")"),-1.13)</f>
        <v>-1.13</v>
      </c>
      <c r="J19" s="677">
        <f>IFERROR(__xludf.DUMMYFUNCTION("googlefinance(D19,""price"")"),63.81)</f>
        <v>63.81</v>
      </c>
      <c r="K19" s="216"/>
      <c r="L19" s="677">
        <f t="shared" si="9"/>
        <v>30.71</v>
      </c>
      <c r="M19" s="679">
        <f t="shared" si="12"/>
        <v>0.9277945619</v>
      </c>
      <c r="N19" s="680">
        <f t="shared" si="10"/>
        <v>30710</v>
      </c>
      <c r="O19" s="538">
        <v>0.0144</v>
      </c>
      <c r="P19" s="217">
        <v>122.0</v>
      </c>
      <c r="Q19" s="210"/>
      <c r="R19" s="257"/>
      <c r="S19" s="258"/>
      <c r="T19" s="658"/>
      <c r="U19" s="657"/>
      <c r="V19" s="257"/>
      <c r="W19" s="258"/>
      <c r="X19" s="658"/>
    </row>
    <row r="20">
      <c r="A20" s="528"/>
      <c r="B20" s="528"/>
      <c r="C20" s="685" t="s">
        <v>803</v>
      </c>
      <c r="D20" s="104" t="s">
        <v>804</v>
      </c>
      <c r="E20" s="569">
        <v>7.7</v>
      </c>
      <c r="F20" s="213">
        <v>44028.0</v>
      </c>
      <c r="G20" s="680">
        <f t="shared" si="11"/>
        <v>27600</v>
      </c>
      <c r="H20" s="212">
        <v>73.38</v>
      </c>
      <c r="I20" s="676">
        <f>IFERROR(__xludf.DUMMYFUNCTION("GOOGLEFINANCE(D20,""changepct"")"),0.78)</f>
        <v>0.78</v>
      </c>
      <c r="J20" s="677">
        <f>IFERROR(__xludf.DUMMYFUNCTION("googlefinance(D20,""price"")"),46.0)</f>
        <v>46</v>
      </c>
      <c r="K20" s="517"/>
      <c r="L20" s="677">
        <f t="shared" si="9"/>
        <v>-27.38</v>
      </c>
      <c r="M20" s="679">
        <f t="shared" si="12"/>
        <v>-0.3731261924</v>
      </c>
      <c r="N20" s="680">
        <f t="shared" si="10"/>
        <v>-16428</v>
      </c>
      <c r="O20" s="195" t="s">
        <v>128</v>
      </c>
      <c r="P20" s="514"/>
      <c r="Q20" s="657"/>
      <c r="R20" s="257"/>
      <c r="S20" s="258"/>
      <c r="T20" s="658"/>
      <c r="U20" s="657"/>
      <c r="V20" s="257"/>
      <c r="W20" s="258"/>
      <c r="X20" s="658"/>
    </row>
    <row r="21">
      <c r="A21" s="528"/>
      <c r="B21" s="528"/>
      <c r="C21" s="344" t="s">
        <v>380</v>
      </c>
      <c r="D21" s="344" t="s">
        <v>53</v>
      </c>
      <c r="E21" s="569">
        <v>6.1</v>
      </c>
      <c r="F21" s="217">
        <v>0.0</v>
      </c>
      <c r="G21" s="680">
        <f t="shared" si="11"/>
        <v>0</v>
      </c>
      <c r="H21" s="517"/>
      <c r="I21" s="676">
        <f>IFERROR(__xludf.DUMMYFUNCTION("GOOGLEFINANCE(D21,""changepct"")"),0.35)</f>
        <v>0.35</v>
      </c>
      <c r="J21" s="677">
        <f>IFERROR(__xludf.DUMMYFUNCTION("googlefinance(D21,""price"")"),137.49)</f>
        <v>137.49</v>
      </c>
      <c r="K21" s="517"/>
      <c r="L21" s="677"/>
      <c r="M21" s="679"/>
      <c r="N21" s="680"/>
      <c r="O21" s="538">
        <v>0.0022</v>
      </c>
      <c r="P21" s="514"/>
      <c r="Q21" s="657"/>
      <c r="R21" s="257"/>
      <c r="S21" s="258"/>
      <c r="T21" s="658"/>
      <c r="U21" s="657"/>
      <c r="V21" s="257"/>
      <c r="W21" s="258"/>
      <c r="X21" s="658"/>
    </row>
    <row r="22">
      <c r="A22" s="528"/>
      <c r="B22" s="528"/>
      <c r="C22" s="344" t="s">
        <v>721</v>
      </c>
      <c r="D22" s="344" t="s">
        <v>722</v>
      </c>
      <c r="E22" s="569">
        <v>6.8</v>
      </c>
      <c r="F22" s="217">
        <v>37840.0</v>
      </c>
      <c r="G22" s="680" t="str">
        <f t="shared" si="11"/>
        <v>#N/A</v>
      </c>
      <c r="H22" s="216">
        <v>75.68</v>
      </c>
      <c r="I22" s="676" t="str">
        <f>IFERROR(__xludf.DUMMYFUNCTION("GOOGLEFINANCE(D22,""changepct"")"),"#N/A")</f>
        <v>#N/A</v>
      </c>
      <c r="J22" s="677" t="str">
        <f>IFERROR(__xludf.DUMMYFUNCTION("googlefinance(D22,""price"")"),"#N/A")</f>
        <v>#N/A</v>
      </c>
      <c r="K22" s="517"/>
      <c r="L22" s="677" t="str">
        <f>J22-H22</f>
        <v>#N/A</v>
      </c>
      <c r="M22" s="679" t="str">
        <f>J22/H22-1</f>
        <v>#N/A</v>
      </c>
      <c r="N22" s="680" t="str">
        <f>F22*M22</f>
        <v>#N/A</v>
      </c>
      <c r="O22" s="682">
        <v>0.0064</v>
      </c>
      <c r="P22" s="217">
        <v>65.0</v>
      </c>
      <c r="Q22" s="657"/>
      <c r="R22" s="257"/>
      <c r="S22" s="258"/>
      <c r="T22" s="658"/>
      <c r="U22" s="657"/>
      <c r="V22" s="257"/>
      <c r="W22" s="258"/>
      <c r="X22" s="658"/>
    </row>
    <row r="23">
      <c r="A23" s="528"/>
      <c r="B23" s="528"/>
      <c r="C23" s="344" t="s">
        <v>901</v>
      </c>
      <c r="D23" s="344" t="s">
        <v>902</v>
      </c>
      <c r="E23" s="569">
        <v>5.2</v>
      </c>
      <c r="F23" s="106">
        <v>0.0</v>
      </c>
      <c r="G23" s="680">
        <f t="shared" si="11"/>
        <v>0</v>
      </c>
      <c r="H23" s="517"/>
      <c r="I23" s="676">
        <f>IFERROR(__xludf.DUMMYFUNCTION("GOOGLEFINANCE(D23,""changepct"")"),-1.33)</f>
        <v>-1.33</v>
      </c>
      <c r="J23" s="677">
        <f>IFERROR(__xludf.DUMMYFUNCTION("googlefinance(D23,""price"")"),252.2)</f>
        <v>252.2</v>
      </c>
      <c r="K23" s="517"/>
      <c r="L23" s="677"/>
      <c r="M23" s="679"/>
      <c r="N23" s="680"/>
      <c r="O23" s="682">
        <v>0.0105</v>
      </c>
      <c r="P23" s="696"/>
      <c r="Q23" s="657"/>
      <c r="R23" s="257"/>
      <c r="S23" s="258"/>
      <c r="T23" s="658"/>
      <c r="U23" s="657"/>
      <c r="V23" s="257"/>
      <c r="W23" s="258"/>
      <c r="X23" s="658"/>
    </row>
    <row r="24">
      <c r="A24" s="584"/>
      <c r="B24" s="563"/>
      <c r="C24" s="529" t="s">
        <v>490</v>
      </c>
      <c r="D24" s="529" t="s">
        <v>349</v>
      </c>
      <c r="E24" s="588">
        <v>6.8</v>
      </c>
      <c r="F24" s="687">
        <v>27150.0</v>
      </c>
      <c r="G24" s="721">
        <f t="shared" si="11"/>
        <v>6570</v>
      </c>
      <c r="H24" s="689">
        <v>18.1</v>
      </c>
      <c r="I24" s="676">
        <f>IFERROR(__xludf.DUMMYFUNCTION("GOOGLEFINANCE(D24,""changepct"")"),-2.23)</f>
        <v>-2.23</v>
      </c>
      <c r="J24" s="677">
        <f>IFERROR(__xludf.DUMMYFUNCTION("googlefinance(D24,""price"")"),4.38)</f>
        <v>4.38</v>
      </c>
      <c r="K24" s="584"/>
      <c r="L24" s="677">
        <f t="shared" ref="L24:L25" si="13">J24-H24</f>
        <v>-13.72</v>
      </c>
      <c r="M24" s="679">
        <f t="shared" ref="M24:M25" si="14">J24/H24-1</f>
        <v>-0.7580110497</v>
      </c>
      <c r="N24" s="680">
        <f t="shared" ref="N24:N25" si="15">F24*M24</f>
        <v>-20580</v>
      </c>
      <c r="O24" s="588" t="s">
        <v>128</v>
      </c>
      <c r="P24" s="690"/>
      <c r="Q24" s="237"/>
      <c r="R24" s="722"/>
      <c r="S24" s="723"/>
      <c r="T24" s="724"/>
      <c r="U24" s="237" t="s">
        <v>349</v>
      </c>
      <c r="V24" s="211">
        <v>44088.0</v>
      </c>
      <c r="W24" s="689">
        <v>18.1</v>
      </c>
      <c r="X24" s="687">
        <v>27150.0</v>
      </c>
    </row>
    <row r="25">
      <c r="A25" s="584"/>
      <c r="B25" s="563"/>
      <c r="C25" s="529" t="s">
        <v>850</v>
      </c>
      <c r="D25" s="529" t="s">
        <v>851</v>
      </c>
      <c r="E25" s="588">
        <v>7.1</v>
      </c>
      <c r="F25" s="687">
        <v>29930.0</v>
      </c>
      <c r="G25" s="721">
        <f t="shared" si="11"/>
        <v>83455</v>
      </c>
      <c r="H25" s="689">
        <v>59.86</v>
      </c>
      <c r="I25" s="676">
        <f>IFERROR(__xludf.DUMMYFUNCTION("GOOGLEFINANCE(D25,""changepct"")"),-1.21)</f>
        <v>-1.21</v>
      </c>
      <c r="J25" s="677">
        <f>IFERROR(__xludf.DUMMYFUNCTION("googlefinance(D25,""price"")"),166.91)</f>
        <v>166.91</v>
      </c>
      <c r="K25" s="584"/>
      <c r="L25" s="677">
        <f t="shared" si="13"/>
        <v>107.05</v>
      </c>
      <c r="M25" s="679">
        <f t="shared" si="14"/>
        <v>1.788339459</v>
      </c>
      <c r="N25" s="680">
        <f t="shared" si="15"/>
        <v>53525</v>
      </c>
      <c r="O25" s="572">
        <v>0.0168</v>
      </c>
      <c r="P25" s="690"/>
      <c r="Q25" s="237"/>
      <c r="R25" s="722"/>
      <c r="S25" s="723"/>
      <c r="T25" s="724"/>
      <c r="U25" s="529" t="s">
        <v>851</v>
      </c>
      <c r="V25" s="211">
        <v>44088.0</v>
      </c>
      <c r="W25" s="689">
        <v>59.86</v>
      </c>
      <c r="X25" s="687">
        <v>29930.0</v>
      </c>
    </row>
    <row r="26">
      <c r="A26" s="584"/>
      <c r="B26" s="563"/>
      <c r="C26" s="529" t="s">
        <v>852</v>
      </c>
      <c r="D26" s="529" t="s">
        <v>853</v>
      </c>
      <c r="E26" s="584"/>
      <c r="F26" s="690"/>
      <c r="G26" s="691"/>
      <c r="H26" s="692"/>
      <c r="I26" s="584"/>
      <c r="J26" s="584"/>
      <c r="K26" s="584"/>
      <c r="L26" s="584"/>
      <c r="M26" s="725"/>
      <c r="N26" s="690"/>
      <c r="O26" s="584"/>
      <c r="P26" s="690"/>
      <c r="Q26" s="237"/>
      <c r="R26" s="722"/>
      <c r="S26" s="723"/>
      <c r="T26" s="724"/>
      <c r="U26" s="237"/>
      <c r="V26" s="722"/>
      <c r="W26" s="723"/>
      <c r="X26" s="724"/>
    </row>
    <row r="27">
      <c r="A27" s="173"/>
      <c r="B27" s="13" t="s">
        <v>89</v>
      </c>
      <c r="C27" s="173"/>
      <c r="D27" s="173"/>
      <c r="E27" s="173"/>
      <c r="F27" s="693">
        <f t="shared" ref="F27:G27" si="16">SUM(F3:F23)</f>
        <v>463000.2</v>
      </c>
      <c r="G27" s="694" t="str">
        <f t="shared" si="16"/>
        <v>#N/A</v>
      </c>
      <c r="H27" s="607"/>
      <c r="I27" s="173"/>
      <c r="J27" s="173"/>
      <c r="K27" s="173"/>
      <c r="L27" s="173"/>
      <c r="M27" s="695" t="str">
        <f>N27/F27</f>
        <v>#N/A</v>
      </c>
      <c r="N27" s="693" t="str">
        <f>SUM(N3:N23)</f>
        <v>#N/A</v>
      </c>
      <c r="O27" s="173"/>
      <c r="P27" s="693">
        <f>SUM(P3:P26)</f>
        <v>202</v>
      </c>
      <c r="Q27" s="238" t="s">
        <v>89</v>
      </c>
      <c r="R27" s="260"/>
      <c r="S27" s="667"/>
      <c r="T27" s="240">
        <f>SUM(T3:T26)</f>
        <v>208562</v>
      </c>
      <c r="U27" s="238" t="s">
        <v>89</v>
      </c>
      <c r="V27" s="260"/>
      <c r="W27" s="667"/>
      <c r="X27" s="240">
        <f>SUM(X3:X23)</f>
        <v>207400.7</v>
      </c>
    </row>
    <row r="28">
      <c r="A28" s="173"/>
      <c r="B28" s="13" t="s">
        <v>807</v>
      </c>
      <c r="C28" s="13" t="s">
        <v>3</v>
      </c>
      <c r="D28" s="13" t="s">
        <v>4</v>
      </c>
      <c r="E28" s="13" t="s">
        <v>5</v>
      </c>
      <c r="F28" s="504" t="s">
        <v>895</v>
      </c>
      <c r="G28" s="505" t="s">
        <v>730</v>
      </c>
      <c r="H28" s="505" t="s">
        <v>896</v>
      </c>
      <c r="I28" s="506" t="s">
        <v>10</v>
      </c>
      <c r="J28" s="673" t="s">
        <v>11</v>
      </c>
      <c r="K28" s="508" t="s">
        <v>476</v>
      </c>
      <c r="L28" s="507" t="s">
        <v>13</v>
      </c>
      <c r="M28" s="504" t="s">
        <v>897</v>
      </c>
      <c r="N28" s="508" t="s">
        <v>329</v>
      </c>
      <c r="O28" s="13" t="s">
        <v>16</v>
      </c>
      <c r="P28" s="13" t="s">
        <v>17</v>
      </c>
      <c r="Q28" s="238" t="s">
        <v>21</v>
      </c>
      <c r="R28" s="238" t="s">
        <v>22</v>
      </c>
      <c r="S28" s="238" t="s">
        <v>23</v>
      </c>
      <c r="T28" s="238" t="s">
        <v>24</v>
      </c>
      <c r="U28" s="238" t="s">
        <v>25</v>
      </c>
      <c r="V28" s="238" t="s">
        <v>26</v>
      </c>
      <c r="W28" s="238" t="s">
        <v>27</v>
      </c>
      <c r="X28" s="238" t="s">
        <v>28</v>
      </c>
    </row>
    <row r="29">
      <c r="A29" s="565" t="s">
        <v>733</v>
      </c>
      <c r="B29" s="681">
        <f>G41/D144</f>
        <v>0.05210765414</v>
      </c>
      <c r="C29" s="344" t="s">
        <v>677</v>
      </c>
      <c r="D29" s="344" t="s">
        <v>315</v>
      </c>
      <c r="E29" s="651">
        <v>7.9</v>
      </c>
      <c r="F29" s="106">
        <v>61296.0</v>
      </c>
      <c r="G29" s="696">
        <f t="shared" ref="G29:G32" si="17">F29+N29</f>
        <v>73608</v>
      </c>
      <c r="H29" s="675">
        <v>76.62</v>
      </c>
      <c r="I29" s="676">
        <f>IFERROR(__xludf.DUMMYFUNCTION("GOOGLEFINANCE(D29,""changepct"")"),-2.23)</f>
        <v>-2.23</v>
      </c>
      <c r="J29" s="677">
        <f>IFERROR(__xludf.DUMMYFUNCTION("googlefinance(D29,""price"")"),92.01)</f>
        <v>92.01</v>
      </c>
      <c r="K29" s="697"/>
      <c r="L29" s="697">
        <f>J29-H29</f>
        <v>15.39</v>
      </c>
      <c r="M29" s="698">
        <f t="shared" ref="M29:M32" si="18">J29/H29-1</f>
        <v>0.2008613939</v>
      </c>
      <c r="N29" s="697">
        <f t="shared" ref="N29:N32" si="19">F29*M29</f>
        <v>12312</v>
      </c>
      <c r="O29" s="682">
        <v>0.0327</v>
      </c>
      <c r="P29" s="106">
        <v>446.0</v>
      </c>
      <c r="Q29" s="257"/>
      <c r="R29" s="257"/>
      <c r="S29" s="257"/>
      <c r="T29" s="257"/>
      <c r="U29" s="257"/>
      <c r="V29" s="257"/>
      <c r="W29" s="257"/>
      <c r="X29" s="257"/>
    </row>
    <row r="30">
      <c r="A30" s="528"/>
      <c r="B30" s="528"/>
      <c r="C30" s="344" t="s">
        <v>854</v>
      </c>
      <c r="D30" s="344" t="s">
        <v>855</v>
      </c>
      <c r="E30" s="569">
        <v>7.1</v>
      </c>
      <c r="F30" s="106">
        <v>26835.0</v>
      </c>
      <c r="G30" s="696">
        <f t="shared" si="17"/>
        <v>15019</v>
      </c>
      <c r="H30" s="675">
        <v>268.35</v>
      </c>
      <c r="I30" s="676">
        <f>IFERROR(__xludf.DUMMYFUNCTION("GOOGLEFINANCE(D30,""changepct"")"),-0.74)</f>
        <v>-0.74</v>
      </c>
      <c r="J30" s="677">
        <f>IFERROR(__xludf.DUMMYFUNCTION("googlefinance(D30,""price"")"),150.19)</f>
        <v>150.19</v>
      </c>
      <c r="K30" s="697"/>
      <c r="L30" s="697"/>
      <c r="M30" s="698">
        <f t="shared" si="18"/>
        <v>-0.440320477</v>
      </c>
      <c r="N30" s="697">
        <f t="shared" si="19"/>
        <v>-11816</v>
      </c>
      <c r="O30" s="569" t="s">
        <v>128</v>
      </c>
      <c r="P30" s="514"/>
      <c r="Q30" s="257"/>
      <c r="R30" s="257"/>
      <c r="S30" s="257"/>
      <c r="T30" s="257"/>
      <c r="U30" s="257"/>
      <c r="V30" s="257"/>
      <c r="W30" s="257"/>
      <c r="X30" s="257"/>
    </row>
    <row r="31">
      <c r="A31" s="528"/>
      <c r="B31" s="528"/>
      <c r="C31" s="344" t="s">
        <v>810</v>
      </c>
      <c r="D31" s="344" t="s">
        <v>811</v>
      </c>
      <c r="E31" s="651">
        <v>7.8</v>
      </c>
      <c r="F31" s="106">
        <v>23750.0</v>
      </c>
      <c r="G31" s="696">
        <f t="shared" si="17"/>
        <v>36910</v>
      </c>
      <c r="H31" s="675">
        <v>23.75</v>
      </c>
      <c r="I31" s="676">
        <f>IFERROR(__xludf.DUMMYFUNCTION("GOOGLEFINANCE(D31,""changepct"")"),-0.73)</f>
        <v>-0.73</v>
      </c>
      <c r="J31" s="677">
        <f>IFERROR(__xludf.DUMMYFUNCTION("googlefinance(D31,""price"")"),36.91)</f>
        <v>36.91</v>
      </c>
      <c r="K31" s="697"/>
      <c r="L31" s="697">
        <f t="shared" ref="L31:L32" si="20">J31-H31</f>
        <v>13.16</v>
      </c>
      <c r="M31" s="698">
        <f t="shared" si="18"/>
        <v>0.5541052632</v>
      </c>
      <c r="N31" s="697">
        <f t="shared" si="19"/>
        <v>13160</v>
      </c>
      <c r="O31" s="569" t="s">
        <v>128</v>
      </c>
      <c r="P31" s="514"/>
      <c r="Q31" s="257"/>
      <c r="R31" s="257"/>
      <c r="S31" s="257"/>
      <c r="T31" s="257"/>
      <c r="U31" s="257"/>
      <c r="V31" s="257"/>
      <c r="W31" s="257"/>
      <c r="X31" s="257"/>
    </row>
    <row r="32">
      <c r="A32" s="528"/>
      <c r="B32" s="528"/>
      <c r="C32" s="344" t="s">
        <v>857</v>
      </c>
      <c r="D32" s="344" t="s">
        <v>858</v>
      </c>
      <c r="E32" s="569">
        <v>7.2</v>
      </c>
      <c r="F32" s="106">
        <v>44692.0</v>
      </c>
      <c r="G32" s="696">
        <f t="shared" si="17"/>
        <v>44692</v>
      </c>
      <c r="H32" s="675">
        <v>111.73</v>
      </c>
      <c r="I32" s="676" t="str">
        <f>IFERROR(__xludf.DUMMYFUNCTION("GOOGLEFINANCE(D32,""changepct"")"),"#N/A")</f>
        <v>#N/A</v>
      </c>
      <c r="J32" s="678">
        <v>111.73</v>
      </c>
      <c r="K32" s="675"/>
      <c r="L32" s="697">
        <f t="shared" si="20"/>
        <v>0</v>
      </c>
      <c r="M32" s="698">
        <f t="shared" si="18"/>
        <v>0</v>
      </c>
      <c r="N32" s="697">
        <f t="shared" si="19"/>
        <v>0</v>
      </c>
      <c r="O32" s="569" t="s">
        <v>128</v>
      </c>
      <c r="P32" s="514"/>
      <c r="Q32" s="257"/>
      <c r="R32" s="257"/>
      <c r="S32" s="257"/>
      <c r="T32" s="257"/>
      <c r="U32" s="257"/>
      <c r="V32" s="257"/>
      <c r="W32" s="257"/>
      <c r="X32" s="257"/>
    </row>
    <row r="33">
      <c r="A33" s="528"/>
      <c r="B33" s="528"/>
      <c r="C33" s="344" t="s">
        <v>903</v>
      </c>
      <c r="D33" s="344" t="s">
        <v>904</v>
      </c>
      <c r="E33" s="569">
        <v>6.8</v>
      </c>
      <c r="F33" s="106">
        <v>0.0</v>
      </c>
      <c r="G33" s="106">
        <v>0.0</v>
      </c>
      <c r="H33" s="697"/>
      <c r="I33" s="676" t="str">
        <f>IFERROR(__xludf.DUMMYFUNCTION("GOOGLEFINANCE(D33,""changepct"")"),"#N/A")</f>
        <v>#N/A</v>
      </c>
      <c r="J33" s="677" t="str">
        <f>IFERROR(__xludf.DUMMYFUNCTION("googlefinance(D33,""price"")"),"#N/A")</f>
        <v>#N/A</v>
      </c>
      <c r="K33" s="697"/>
      <c r="L33" s="697"/>
      <c r="M33" s="698"/>
      <c r="N33" s="697"/>
      <c r="O33" s="569" t="s">
        <v>128</v>
      </c>
      <c r="P33" s="514"/>
      <c r="Q33" s="257"/>
      <c r="R33" s="257"/>
      <c r="S33" s="257"/>
      <c r="T33" s="257"/>
      <c r="U33" s="257"/>
      <c r="V33" s="257"/>
      <c r="W33" s="257"/>
      <c r="X33" s="257"/>
    </row>
    <row r="34">
      <c r="A34" s="528"/>
      <c r="B34" s="528"/>
      <c r="C34" s="344" t="s">
        <v>750</v>
      </c>
      <c r="D34" s="344" t="s">
        <v>317</v>
      </c>
      <c r="E34" s="569">
        <v>7.1</v>
      </c>
      <c r="F34" s="217">
        <v>47448.0</v>
      </c>
      <c r="G34" s="696">
        <f t="shared" ref="G34:G40" si="21">F34+N34</f>
        <v>44848</v>
      </c>
      <c r="H34" s="216">
        <v>59.31</v>
      </c>
      <c r="I34" s="676">
        <f>IFERROR(__xludf.DUMMYFUNCTION("GOOGLEFINANCE(D34,""changepct"")"),-2.81)</f>
        <v>-2.81</v>
      </c>
      <c r="J34" s="677">
        <f>IFERROR(__xludf.DUMMYFUNCTION("googlefinance(D34,""price"")"),56.06)</f>
        <v>56.06</v>
      </c>
      <c r="K34" s="697"/>
      <c r="L34" s="697">
        <f t="shared" ref="L34:L35" si="22">J34-H34</f>
        <v>-3.25</v>
      </c>
      <c r="M34" s="698">
        <f t="shared" ref="M34:M35" si="23">J34/H34-1</f>
        <v>-0.05479683021</v>
      </c>
      <c r="N34" s="697">
        <f t="shared" ref="N34:N35" si="24">F34*M34</f>
        <v>-2600</v>
      </c>
      <c r="O34" s="682">
        <v>0.0296</v>
      </c>
      <c r="P34" s="217">
        <v>355.0</v>
      </c>
      <c r="Q34" s="257"/>
      <c r="R34" s="257"/>
      <c r="S34" s="257"/>
      <c r="T34" s="257"/>
      <c r="U34" s="257"/>
      <c r="V34" s="257"/>
      <c r="W34" s="257"/>
      <c r="X34" s="257"/>
    </row>
    <row r="35">
      <c r="A35" s="528"/>
      <c r="B35" s="528"/>
      <c r="C35" s="567" t="s">
        <v>859</v>
      </c>
      <c r="D35" s="104" t="s">
        <v>860</v>
      </c>
      <c r="E35" s="569">
        <v>7.3</v>
      </c>
      <c r="F35" s="217">
        <v>32500.0</v>
      </c>
      <c r="G35" s="696">
        <f t="shared" si="21"/>
        <v>41060</v>
      </c>
      <c r="H35" s="216">
        <v>65.0</v>
      </c>
      <c r="I35" s="676">
        <f>IFERROR(__xludf.DUMMYFUNCTION("GOOGLEFINANCE(D35,""changepct"")"),-1.17)</f>
        <v>-1.17</v>
      </c>
      <c r="J35" s="677">
        <f>IFERROR(__xludf.DUMMYFUNCTION("googlefinance(D35,""price"")"),82.12)</f>
        <v>82.12</v>
      </c>
      <c r="K35" s="675"/>
      <c r="L35" s="697">
        <f t="shared" si="22"/>
        <v>17.12</v>
      </c>
      <c r="M35" s="698">
        <f t="shared" si="23"/>
        <v>0.2633846154</v>
      </c>
      <c r="N35" s="697">
        <f t="shared" si="24"/>
        <v>8560</v>
      </c>
      <c r="O35" s="682">
        <v>0.0303</v>
      </c>
      <c r="P35" s="217">
        <v>192.0</v>
      </c>
      <c r="Q35" s="257"/>
      <c r="R35" s="257"/>
      <c r="S35" s="257"/>
      <c r="T35" s="257"/>
      <c r="U35" s="257"/>
      <c r="V35" s="257"/>
      <c r="W35" s="257"/>
      <c r="X35" s="257"/>
    </row>
    <row r="36">
      <c r="A36" s="528"/>
      <c r="B36" s="528"/>
      <c r="C36" s="567" t="s">
        <v>861</v>
      </c>
      <c r="D36" s="104" t="s">
        <v>862</v>
      </c>
      <c r="E36" s="569">
        <v>7.1</v>
      </c>
      <c r="F36" s="217">
        <v>0.0</v>
      </c>
      <c r="G36" s="696">
        <f t="shared" si="21"/>
        <v>0</v>
      </c>
      <c r="H36" s="216"/>
      <c r="I36" s="676">
        <f>IFERROR(__xludf.DUMMYFUNCTION("GOOGLEFINANCE(D36,""changepct"")"),-1.4)</f>
        <v>-1.4</v>
      </c>
      <c r="J36" s="677">
        <f>IFERROR(__xludf.DUMMYFUNCTION("googlefinance(D36,""price"")"),58.46)</f>
        <v>58.46</v>
      </c>
      <c r="K36" s="675"/>
      <c r="L36" s="697"/>
      <c r="M36" s="698"/>
      <c r="N36" s="697"/>
      <c r="O36" s="682">
        <v>0.0034</v>
      </c>
      <c r="P36" s="514"/>
      <c r="Q36" s="257"/>
      <c r="R36" s="257"/>
      <c r="S36" s="257"/>
      <c r="T36" s="257"/>
      <c r="U36" s="236"/>
      <c r="V36" s="211"/>
      <c r="W36" s="257"/>
      <c r="X36" s="257"/>
    </row>
    <row r="37">
      <c r="A37" s="528"/>
      <c r="B37" s="528"/>
      <c r="C37" s="567" t="s">
        <v>751</v>
      </c>
      <c r="D37" s="104" t="s">
        <v>752</v>
      </c>
      <c r="E37" s="569">
        <v>7.2</v>
      </c>
      <c r="F37" s="217">
        <v>0.0</v>
      </c>
      <c r="G37" s="696">
        <f t="shared" si="21"/>
        <v>0</v>
      </c>
      <c r="H37" s="216"/>
      <c r="I37" s="676">
        <f>IFERROR(__xludf.DUMMYFUNCTION("GOOGLEFINANCE(D37,""changepct"")"),-1.39)</f>
        <v>-1.39</v>
      </c>
      <c r="J37" s="677">
        <f>IFERROR(__xludf.DUMMYFUNCTION("googlefinance(D37,""price"")"),131.67)</f>
        <v>131.67</v>
      </c>
      <c r="K37" s="675"/>
      <c r="L37" s="697"/>
      <c r="M37" s="698"/>
      <c r="N37" s="697"/>
      <c r="O37" s="569" t="s">
        <v>128</v>
      </c>
      <c r="P37" s="514"/>
      <c r="Q37" s="257"/>
      <c r="R37" s="257"/>
      <c r="S37" s="257"/>
      <c r="T37" s="257"/>
      <c r="U37" s="257"/>
      <c r="V37" s="257"/>
      <c r="W37" s="257"/>
      <c r="X37" s="257"/>
    </row>
    <row r="38">
      <c r="A38" s="528"/>
      <c r="B38" s="528"/>
      <c r="C38" s="631" t="s">
        <v>111</v>
      </c>
      <c r="D38" s="344" t="s">
        <v>112</v>
      </c>
      <c r="E38" s="569">
        <v>6.7</v>
      </c>
      <c r="F38" s="217">
        <v>0.0</v>
      </c>
      <c r="G38" s="696">
        <f t="shared" si="21"/>
        <v>0</v>
      </c>
      <c r="H38" s="517"/>
      <c r="I38" s="676">
        <f>IFERROR(__xludf.DUMMYFUNCTION("GOOGLEFINANCE(D38,""changepct"")"),-1.02)</f>
        <v>-1.02</v>
      </c>
      <c r="J38" s="677">
        <f>IFERROR(__xludf.DUMMYFUNCTION("googlefinance(D38,""price"")"),176.2)</f>
        <v>176.2</v>
      </c>
      <c r="K38" s="697"/>
      <c r="L38" s="697"/>
      <c r="M38" s="698"/>
      <c r="N38" s="697"/>
      <c r="O38" s="682">
        <v>0.0574</v>
      </c>
      <c r="P38" s="514"/>
      <c r="Q38" s="257"/>
      <c r="R38" s="257"/>
      <c r="S38" s="257"/>
      <c r="T38" s="257"/>
      <c r="U38" s="257"/>
      <c r="V38" s="257"/>
      <c r="W38" s="257"/>
      <c r="X38" s="257"/>
    </row>
    <row r="39">
      <c r="A39" s="528"/>
      <c r="B39" s="528"/>
      <c r="C39" s="344" t="s">
        <v>590</v>
      </c>
      <c r="D39" s="344" t="s">
        <v>104</v>
      </c>
      <c r="E39" s="569">
        <v>6.8</v>
      </c>
      <c r="F39" s="217">
        <v>0.0</v>
      </c>
      <c r="G39" s="696">
        <f t="shared" si="21"/>
        <v>0</v>
      </c>
      <c r="H39" s="517"/>
      <c r="I39" s="676">
        <f>IFERROR(__xludf.DUMMYFUNCTION("GOOGLEFINANCE(D39,""changepct"")"),-1.28)</f>
        <v>-1.28</v>
      </c>
      <c r="J39" s="677">
        <f>IFERROR(__xludf.DUMMYFUNCTION("googlefinance(D39,""price"")"),259.3)</f>
        <v>259.3</v>
      </c>
      <c r="K39" s="697"/>
      <c r="L39" s="697"/>
      <c r="M39" s="698"/>
      <c r="N39" s="697"/>
      <c r="O39" s="682">
        <v>0.0268</v>
      </c>
      <c r="P39" s="514"/>
      <c r="Q39" s="257"/>
      <c r="R39" s="257"/>
      <c r="S39" s="257"/>
      <c r="T39" s="257"/>
      <c r="U39" s="257"/>
      <c r="V39" s="257"/>
      <c r="W39" s="257"/>
      <c r="X39" s="257"/>
    </row>
    <row r="40">
      <c r="A40" s="528"/>
      <c r="B40" s="528"/>
      <c r="C40" s="344" t="s">
        <v>863</v>
      </c>
      <c r="D40" s="344" t="s">
        <v>864</v>
      </c>
      <c r="E40" s="569">
        <v>7.2</v>
      </c>
      <c r="F40" s="217">
        <v>34880.0</v>
      </c>
      <c r="G40" s="696">
        <f t="shared" si="21"/>
        <v>26340</v>
      </c>
      <c r="H40" s="216">
        <v>17.44</v>
      </c>
      <c r="I40" s="676">
        <f>IFERROR(__xludf.DUMMYFUNCTION("GOOGLEFINANCE(D40,""changepct"")"),-0.75)</f>
        <v>-0.75</v>
      </c>
      <c r="J40" s="677">
        <f>IFERROR(__xludf.DUMMYFUNCTION("googlefinance(D40,""price"")"),13.17)</f>
        <v>13.17</v>
      </c>
      <c r="K40" s="697"/>
      <c r="L40" s="697">
        <f>J40-H40</f>
        <v>-4.27</v>
      </c>
      <c r="M40" s="698">
        <f>J40/H40-1</f>
        <v>-0.2448394495</v>
      </c>
      <c r="N40" s="697">
        <f>F40*M40</f>
        <v>-8540</v>
      </c>
      <c r="O40" s="682">
        <v>0.0462</v>
      </c>
      <c r="P40" s="217">
        <v>402.0</v>
      </c>
      <c r="Q40" s="257"/>
      <c r="R40" s="257"/>
      <c r="S40" s="257"/>
      <c r="T40" s="257"/>
      <c r="U40" s="257"/>
      <c r="V40" s="257"/>
      <c r="W40" s="257"/>
      <c r="X40" s="257"/>
    </row>
    <row r="41">
      <c r="A41" s="173"/>
      <c r="B41" s="13" t="s">
        <v>89</v>
      </c>
      <c r="C41" s="173"/>
      <c r="D41" s="173"/>
      <c r="E41" s="173"/>
      <c r="F41" s="693">
        <f t="shared" ref="F41:G41" si="25">SUM(F29:F40)</f>
        <v>271401</v>
      </c>
      <c r="G41" s="693">
        <f t="shared" si="25"/>
        <v>282477</v>
      </c>
      <c r="H41" s="173"/>
      <c r="I41" s="173"/>
      <c r="J41" s="173"/>
      <c r="K41" s="173"/>
      <c r="L41" s="173"/>
      <c r="M41" s="695">
        <f>N41/F41</f>
        <v>0.04081046127</v>
      </c>
      <c r="N41" s="693">
        <f>SUM(N29:N40)</f>
        <v>11076</v>
      </c>
      <c r="O41" s="173"/>
      <c r="P41" s="693">
        <f>SUM(P29:P40)</f>
        <v>1395</v>
      </c>
      <c r="Q41" s="238" t="s">
        <v>89</v>
      </c>
      <c r="R41" s="260"/>
      <c r="S41" s="260"/>
      <c r="T41" s="260"/>
      <c r="U41" s="238" t="s">
        <v>89</v>
      </c>
      <c r="V41" s="260"/>
      <c r="W41" s="260"/>
      <c r="X41" s="260"/>
    </row>
    <row r="42">
      <c r="A42" s="173"/>
      <c r="B42" s="13" t="s">
        <v>812</v>
      </c>
      <c r="C42" s="13" t="s">
        <v>3</v>
      </c>
      <c r="D42" s="13" t="s">
        <v>4</v>
      </c>
      <c r="E42" s="13" t="s">
        <v>5</v>
      </c>
      <c r="F42" s="504" t="s">
        <v>895</v>
      </c>
      <c r="G42" s="505" t="s">
        <v>730</v>
      </c>
      <c r="H42" s="505" t="s">
        <v>896</v>
      </c>
      <c r="I42" s="506" t="s">
        <v>10</v>
      </c>
      <c r="J42" s="673" t="s">
        <v>11</v>
      </c>
      <c r="K42" s="508" t="s">
        <v>476</v>
      </c>
      <c r="L42" s="507" t="s">
        <v>13</v>
      </c>
      <c r="M42" s="504" t="s">
        <v>897</v>
      </c>
      <c r="N42" s="508" t="s">
        <v>329</v>
      </c>
      <c r="O42" s="13" t="s">
        <v>16</v>
      </c>
      <c r="P42" s="13" t="s">
        <v>17</v>
      </c>
      <c r="Q42" s="238" t="s">
        <v>21</v>
      </c>
      <c r="R42" s="238" t="s">
        <v>22</v>
      </c>
      <c r="S42" s="238" t="s">
        <v>23</v>
      </c>
      <c r="T42" s="238" t="s">
        <v>24</v>
      </c>
      <c r="U42" s="238" t="s">
        <v>25</v>
      </c>
      <c r="V42" s="238" t="s">
        <v>26</v>
      </c>
      <c r="W42" s="238" t="s">
        <v>27</v>
      </c>
      <c r="X42" s="238" t="s">
        <v>28</v>
      </c>
    </row>
    <row r="43">
      <c r="A43" s="565" t="s">
        <v>733</v>
      </c>
      <c r="B43" s="681">
        <f>G52/D144</f>
        <v>0.0109883238</v>
      </c>
      <c r="C43" s="631" t="s">
        <v>94</v>
      </c>
      <c r="D43" s="631" t="s">
        <v>95</v>
      </c>
      <c r="E43" s="569">
        <v>5.2</v>
      </c>
      <c r="F43" s="106">
        <v>0.0</v>
      </c>
      <c r="G43" s="696">
        <f t="shared" ref="G43:G51" si="26">F43+N43</f>
        <v>0</v>
      </c>
      <c r="H43" s="675"/>
      <c r="I43" s="700">
        <f>IFERROR(__xludf.DUMMYFUNCTION("GOOGLEFINANCE(D43,""changepct"")"),0.03)</f>
        <v>0.03</v>
      </c>
      <c r="J43" s="677">
        <f>IFERROR(__xludf.DUMMYFUNCTION("googlefinance(D43,""price"")"),37.81)</f>
        <v>37.81</v>
      </c>
      <c r="K43" s="678"/>
      <c r="L43" s="697"/>
      <c r="M43" s="698"/>
      <c r="N43" s="696"/>
      <c r="O43" s="682">
        <v>0.03</v>
      </c>
      <c r="P43" s="696"/>
      <c r="Q43" s="257"/>
      <c r="R43" s="257"/>
      <c r="S43" s="257"/>
      <c r="T43" s="257"/>
      <c r="U43" s="257"/>
      <c r="V43" s="257"/>
      <c r="W43" s="257"/>
      <c r="X43" s="257"/>
    </row>
    <row r="44">
      <c r="A44" s="528"/>
      <c r="B44" s="528"/>
      <c r="C44" s="600" t="s">
        <v>762</v>
      </c>
      <c r="D44" s="631" t="s">
        <v>763</v>
      </c>
      <c r="E44" s="569">
        <v>5.4</v>
      </c>
      <c r="F44" s="106">
        <v>0.0</v>
      </c>
      <c r="G44" s="696">
        <f t="shared" si="26"/>
        <v>0</v>
      </c>
      <c r="H44" s="697"/>
      <c r="I44" s="700">
        <f>IFERROR(__xludf.DUMMYFUNCTION("GOOGLEFINANCE(D44,""changepct"")"),0.63)</f>
        <v>0.63</v>
      </c>
      <c r="J44" s="677">
        <f>IFERROR(__xludf.DUMMYFUNCTION("googlefinance(D44,""price"")"),26.96)</f>
        <v>26.96</v>
      </c>
      <c r="K44" s="697"/>
      <c r="L44" s="697"/>
      <c r="M44" s="698"/>
      <c r="N44" s="696"/>
      <c r="O44" s="682">
        <v>0.069</v>
      </c>
      <c r="P44" s="696"/>
      <c r="Q44" s="257"/>
      <c r="R44" s="257"/>
      <c r="S44" s="257"/>
      <c r="T44" s="257"/>
      <c r="U44" s="257"/>
      <c r="V44" s="257"/>
      <c r="W44" s="257"/>
      <c r="X44" s="257"/>
    </row>
    <row r="45">
      <c r="A45" s="528"/>
      <c r="B45" s="528"/>
      <c r="C45" s="631" t="s">
        <v>815</v>
      </c>
      <c r="D45" s="631" t="s">
        <v>816</v>
      </c>
      <c r="E45" s="569">
        <v>7.8</v>
      </c>
      <c r="F45" s="106">
        <v>54000.0</v>
      </c>
      <c r="G45" s="696">
        <f t="shared" si="26"/>
        <v>54000</v>
      </c>
      <c r="H45" s="675">
        <v>5.4</v>
      </c>
      <c r="I45" s="700" t="str">
        <f>IFERROR(__xludf.DUMMYFUNCTION("GOOGLEFINANCE(D45,""changepct"")"),"#N/A")</f>
        <v>#N/A</v>
      </c>
      <c r="J45" s="678">
        <v>5.4</v>
      </c>
      <c r="K45" s="697"/>
      <c r="L45" s="697">
        <f>J45-H45</f>
        <v>0</v>
      </c>
      <c r="M45" s="698">
        <f>J45/H45-1</f>
        <v>0</v>
      </c>
      <c r="N45" s="696">
        <f>F45*M45</f>
        <v>0</v>
      </c>
      <c r="O45" s="703">
        <v>0.1</v>
      </c>
      <c r="P45" s="106">
        <v>1225.0</v>
      </c>
      <c r="Q45" s="257"/>
      <c r="R45" s="257"/>
      <c r="S45" s="257"/>
      <c r="T45" s="257"/>
      <c r="U45" s="257"/>
      <c r="V45" s="257"/>
      <c r="W45" s="257"/>
      <c r="X45" s="257"/>
    </row>
    <row r="46">
      <c r="A46" s="528"/>
      <c r="B46" s="528"/>
      <c r="C46" s="631" t="s">
        <v>905</v>
      </c>
      <c r="D46" s="631" t="s">
        <v>567</v>
      </c>
      <c r="E46" s="569">
        <v>6.9</v>
      </c>
      <c r="F46" s="106">
        <v>0.0</v>
      </c>
      <c r="G46" s="696">
        <f t="shared" si="26"/>
        <v>0</v>
      </c>
      <c r="H46" s="675"/>
      <c r="I46" s="700">
        <f>IFERROR(__xludf.DUMMYFUNCTION("GOOGLEFINANCE(D46,""changepct"")"),0.01)</f>
        <v>0.01</v>
      </c>
      <c r="J46" s="677">
        <f>IFERROR(__xludf.DUMMYFUNCTION("googlefinance(D46,""price"")"),119.59)</f>
        <v>119.59</v>
      </c>
      <c r="K46" s="675"/>
      <c r="L46" s="697"/>
      <c r="M46" s="698"/>
      <c r="N46" s="696"/>
      <c r="O46" s="682">
        <v>0.062</v>
      </c>
      <c r="P46" s="696"/>
      <c r="Q46" s="257"/>
      <c r="R46" s="257"/>
      <c r="S46" s="257"/>
      <c r="T46" s="257"/>
      <c r="U46" s="257"/>
      <c r="V46" s="257"/>
      <c r="W46" s="257"/>
      <c r="X46" s="257"/>
    </row>
    <row r="47">
      <c r="A47" s="528"/>
      <c r="B47" s="528"/>
      <c r="C47" s="104" t="s">
        <v>491</v>
      </c>
      <c r="D47" s="104" t="s">
        <v>492</v>
      </c>
      <c r="E47" s="569">
        <v>6.8</v>
      </c>
      <c r="F47" s="106">
        <v>0.0</v>
      </c>
      <c r="G47" s="696">
        <f t="shared" si="26"/>
        <v>0</v>
      </c>
      <c r="H47" s="675"/>
      <c r="I47" s="700">
        <f>IFERROR(__xludf.DUMMYFUNCTION("GOOGLEFINANCE(D47,""changepct"")"),-0.68)</f>
        <v>-0.68</v>
      </c>
      <c r="J47" s="677">
        <f>IFERROR(__xludf.DUMMYFUNCTION("googlefinance(D47,""price"")"),105.76)</f>
        <v>105.76</v>
      </c>
      <c r="K47" s="678"/>
      <c r="L47" s="697"/>
      <c r="M47" s="698"/>
      <c r="N47" s="696"/>
      <c r="O47" s="682">
        <v>0.075</v>
      </c>
      <c r="P47" s="696"/>
      <c r="Q47" s="257"/>
      <c r="R47" s="257"/>
      <c r="S47" s="257"/>
      <c r="T47" s="257"/>
      <c r="U47" s="257"/>
      <c r="V47" s="257"/>
      <c r="W47" s="257"/>
      <c r="X47" s="257"/>
    </row>
    <row r="48">
      <c r="A48" s="528"/>
      <c r="B48" s="528"/>
      <c r="C48" s="344" t="s">
        <v>906</v>
      </c>
      <c r="D48" s="344" t="s">
        <v>496</v>
      </c>
      <c r="E48" s="569">
        <v>5.4</v>
      </c>
      <c r="F48" s="106">
        <v>0.0</v>
      </c>
      <c r="G48" s="696">
        <f t="shared" si="26"/>
        <v>0</v>
      </c>
      <c r="H48" s="697"/>
      <c r="I48" s="700">
        <f>IFERROR(__xludf.DUMMYFUNCTION("GOOGLEFINANCE(D48,""changepct"")"),-0.21)</f>
        <v>-0.21</v>
      </c>
      <c r="J48" s="677">
        <f>IFERROR(__xludf.DUMMYFUNCTION("googlefinance(D48,""price"")"),48.46)</f>
        <v>48.46</v>
      </c>
      <c r="K48" s="697"/>
      <c r="L48" s="697"/>
      <c r="M48" s="698"/>
      <c r="N48" s="696"/>
      <c r="O48" s="682">
        <v>0.0265</v>
      </c>
      <c r="P48" s="696"/>
      <c r="Q48" s="257"/>
      <c r="R48" s="257"/>
      <c r="S48" s="257"/>
      <c r="T48" s="257"/>
      <c r="U48" s="257"/>
      <c r="V48" s="257"/>
      <c r="W48" s="257"/>
      <c r="X48" s="257"/>
    </row>
    <row r="49">
      <c r="A49" s="528"/>
      <c r="B49" s="528"/>
      <c r="C49" s="344" t="s">
        <v>865</v>
      </c>
      <c r="D49" s="344" t="s">
        <v>494</v>
      </c>
      <c r="E49" s="569">
        <v>6.7</v>
      </c>
      <c r="F49" s="217">
        <v>0.0</v>
      </c>
      <c r="G49" s="696">
        <f t="shared" si="26"/>
        <v>0</v>
      </c>
      <c r="H49" s="216"/>
      <c r="I49" s="700">
        <f>IFERROR(__xludf.DUMMYFUNCTION("GOOGLEFINANCE(D49,""changepct"")"),0.45)</f>
        <v>0.45</v>
      </c>
      <c r="J49" s="677">
        <f>IFERROR(__xludf.DUMMYFUNCTION("googlefinance(D49,""price"")"),29.09)</f>
        <v>29.09</v>
      </c>
      <c r="K49" s="697"/>
      <c r="L49" s="697"/>
      <c r="M49" s="698"/>
      <c r="N49" s="696"/>
      <c r="O49" s="682">
        <v>0.0991</v>
      </c>
      <c r="P49" s="217"/>
      <c r="Q49" s="257"/>
      <c r="R49" s="257"/>
      <c r="S49" s="257"/>
      <c r="T49" s="257"/>
      <c r="U49" s="257"/>
      <c r="V49" s="257"/>
      <c r="W49" s="257"/>
      <c r="X49" s="257"/>
    </row>
    <row r="50">
      <c r="A50" s="528"/>
      <c r="B50" s="528"/>
      <c r="C50" s="344" t="s">
        <v>680</v>
      </c>
      <c r="D50" s="344" t="s">
        <v>681</v>
      </c>
      <c r="E50" s="651">
        <v>7.9</v>
      </c>
      <c r="F50" s="217">
        <v>59544.0</v>
      </c>
      <c r="G50" s="696">
        <f t="shared" si="26"/>
        <v>5568</v>
      </c>
      <c r="H50" s="216">
        <v>74.43</v>
      </c>
      <c r="I50" s="700">
        <f>IFERROR(__xludf.DUMMYFUNCTION("GOOGLEFINANCE(D50,""changepct"")"),0.0)</f>
        <v>0</v>
      </c>
      <c r="J50" s="677">
        <f>IFERROR(__xludf.DUMMYFUNCTION("googlefinance(D50,""price"")"),6.96)</f>
        <v>6.96</v>
      </c>
      <c r="K50" s="697"/>
      <c r="L50" s="697">
        <f>J50-H50</f>
        <v>-67.47</v>
      </c>
      <c r="M50" s="698">
        <f>J50/H50-1</f>
        <v>-0.9064893188</v>
      </c>
      <c r="N50" s="696">
        <f>F50*M50</f>
        <v>-53976</v>
      </c>
      <c r="O50" s="682">
        <v>0.0964</v>
      </c>
      <c r="P50" s="217">
        <v>1200.0</v>
      </c>
      <c r="Q50" s="257"/>
      <c r="R50" s="257"/>
      <c r="S50" s="257"/>
      <c r="T50" s="257"/>
      <c r="U50" s="257"/>
      <c r="V50" s="257"/>
      <c r="W50" s="257"/>
      <c r="X50" s="257"/>
    </row>
    <row r="51">
      <c r="A51" s="528"/>
      <c r="B51" s="528"/>
      <c r="C51" s="344" t="s">
        <v>907</v>
      </c>
      <c r="D51" s="344" t="s">
        <v>309</v>
      </c>
      <c r="E51" s="569">
        <v>5.8</v>
      </c>
      <c r="F51" s="106">
        <v>0.0</v>
      </c>
      <c r="G51" s="696">
        <f t="shared" si="26"/>
        <v>0</v>
      </c>
      <c r="H51" s="216"/>
      <c r="I51" s="700">
        <f>IFERROR(__xludf.DUMMYFUNCTION("GOOGLEFINANCE(D51,""changepct"")"),0.28)</f>
        <v>0.28</v>
      </c>
      <c r="J51" s="677">
        <f>IFERROR(__xludf.DUMMYFUNCTION("googlefinance(D51,""price"")"),14.51)</f>
        <v>14.51</v>
      </c>
      <c r="K51" s="678"/>
      <c r="L51" s="697"/>
      <c r="M51" s="698"/>
      <c r="N51" s="696"/>
      <c r="O51" s="682">
        <v>0.0154</v>
      </c>
      <c r="P51" s="696"/>
      <c r="Q51" s="257"/>
      <c r="R51" s="257"/>
      <c r="S51" s="257"/>
      <c r="T51" s="257"/>
      <c r="U51" s="257"/>
      <c r="V51" s="257"/>
      <c r="W51" s="257"/>
      <c r="X51" s="257"/>
    </row>
    <row r="52">
      <c r="A52" s="173"/>
      <c r="B52" s="13" t="s">
        <v>89</v>
      </c>
      <c r="C52" s="173"/>
      <c r="D52" s="173"/>
      <c r="E52" s="173"/>
      <c r="F52" s="693">
        <f t="shared" ref="F52:G52" si="27">SUM(F43:F51)</f>
        <v>113544</v>
      </c>
      <c r="G52" s="693">
        <f t="shared" si="27"/>
        <v>59568</v>
      </c>
      <c r="H52" s="607"/>
      <c r="I52" s="173"/>
      <c r="J52" s="173"/>
      <c r="K52" s="173"/>
      <c r="L52" s="173"/>
      <c r="M52" s="695">
        <f>N52/F52</f>
        <v>-0.475375185</v>
      </c>
      <c r="N52" s="693">
        <f>SUM(N43:N51)</f>
        <v>-53976</v>
      </c>
      <c r="O52" s="173"/>
      <c r="P52" s="693">
        <f>SUM(P43:P51)</f>
        <v>2425</v>
      </c>
      <c r="Q52" s="238" t="s">
        <v>89</v>
      </c>
      <c r="R52" s="260"/>
      <c r="S52" s="260"/>
      <c r="T52" s="260"/>
      <c r="U52" s="238" t="s">
        <v>89</v>
      </c>
      <c r="V52" s="260"/>
      <c r="W52" s="260"/>
      <c r="X52" s="260"/>
    </row>
    <row r="53">
      <c r="A53" s="173"/>
      <c r="B53" s="504" t="s">
        <v>908</v>
      </c>
      <c r="C53" s="13" t="s">
        <v>3</v>
      </c>
      <c r="D53" s="13" t="s">
        <v>4</v>
      </c>
      <c r="E53" s="13" t="s">
        <v>5</v>
      </c>
      <c r="F53" s="504" t="s">
        <v>895</v>
      </c>
      <c r="G53" s="505" t="s">
        <v>730</v>
      </c>
      <c r="H53" s="505" t="s">
        <v>896</v>
      </c>
      <c r="I53" s="506" t="s">
        <v>10</v>
      </c>
      <c r="J53" s="673" t="s">
        <v>11</v>
      </c>
      <c r="K53" s="508" t="s">
        <v>476</v>
      </c>
      <c r="L53" s="507" t="s">
        <v>13</v>
      </c>
      <c r="M53" s="504" t="s">
        <v>897</v>
      </c>
      <c r="N53" s="508" t="s">
        <v>329</v>
      </c>
      <c r="O53" s="13" t="s">
        <v>16</v>
      </c>
      <c r="P53" s="13" t="s">
        <v>17</v>
      </c>
      <c r="Q53" s="238" t="s">
        <v>21</v>
      </c>
      <c r="R53" s="238" t="s">
        <v>22</v>
      </c>
      <c r="S53" s="238" t="s">
        <v>23</v>
      </c>
      <c r="T53" s="238" t="s">
        <v>24</v>
      </c>
      <c r="U53" s="238" t="s">
        <v>25</v>
      </c>
      <c r="V53" s="238" t="s">
        <v>26</v>
      </c>
      <c r="W53" s="238" t="s">
        <v>27</v>
      </c>
      <c r="X53" s="238" t="s">
        <v>28</v>
      </c>
    </row>
    <row r="54">
      <c r="A54" s="565" t="s">
        <v>733</v>
      </c>
      <c r="B54" s="681">
        <f>G62/D144</f>
        <v>0</v>
      </c>
      <c r="C54" s="344" t="s">
        <v>764</v>
      </c>
      <c r="D54" s="344" t="s">
        <v>765</v>
      </c>
      <c r="E54" s="569">
        <v>6.8</v>
      </c>
      <c r="F54" s="106">
        <v>0.0</v>
      </c>
      <c r="G54" s="106">
        <v>0.0</v>
      </c>
      <c r="H54" s="675"/>
      <c r="I54" s="676">
        <f>IFERROR(__xludf.DUMMYFUNCTION("GOOGLEFINANCE(D54,""changepct"")"),-1.16)</f>
        <v>-1.16</v>
      </c>
      <c r="J54" s="677">
        <f>IFERROR(__xludf.DUMMYFUNCTION("googlefinance(D54,""price"")"),168.1)</f>
        <v>168.1</v>
      </c>
      <c r="K54" s="675"/>
      <c r="L54" s="697"/>
      <c r="M54" s="698"/>
      <c r="N54" s="696"/>
      <c r="O54" s="682">
        <v>0.0059</v>
      </c>
      <c r="P54" s="696"/>
      <c r="Q54" s="257"/>
      <c r="R54" s="257"/>
      <c r="S54" s="257"/>
      <c r="T54" s="257"/>
      <c r="U54" s="257"/>
      <c r="V54" s="257"/>
      <c r="W54" s="257"/>
      <c r="X54" s="257"/>
    </row>
    <row r="55">
      <c r="A55" s="528"/>
      <c r="B55" s="528"/>
      <c r="C55" s="104" t="s">
        <v>354</v>
      </c>
      <c r="D55" s="104" t="s">
        <v>355</v>
      </c>
      <c r="E55" s="569">
        <v>6.5</v>
      </c>
      <c r="F55" s="106">
        <v>0.0</v>
      </c>
      <c r="G55" s="106">
        <v>0.0</v>
      </c>
      <c r="H55" s="675"/>
      <c r="I55" s="676">
        <f>IFERROR(__xludf.DUMMYFUNCTION("GOOGLEFINANCE(D55,""changepct"")"),-2.31)</f>
        <v>-2.31</v>
      </c>
      <c r="J55" s="677">
        <f>IFERROR(__xludf.DUMMYFUNCTION("googlefinance(D55,""price"")"),176.55)</f>
        <v>176.55</v>
      </c>
      <c r="K55" s="675"/>
      <c r="L55" s="697"/>
      <c r="M55" s="698"/>
      <c r="N55" s="696"/>
      <c r="O55" s="682" t="s">
        <v>128</v>
      </c>
      <c r="P55" s="696"/>
      <c r="Q55" s="257"/>
      <c r="R55" s="257"/>
      <c r="S55" s="257"/>
      <c r="T55" s="257"/>
      <c r="U55" s="257"/>
      <c r="V55" s="257"/>
      <c r="W55" s="257"/>
      <c r="X55" s="257"/>
    </row>
    <row r="56">
      <c r="A56" s="528"/>
      <c r="B56" s="528"/>
      <c r="C56" s="344" t="s">
        <v>117</v>
      </c>
      <c r="D56" s="344" t="s">
        <v>118</v>
      </c>
      <c r="E56" s="569">
        <v>6.1</v>
      </c>
      <c r="F56" s="106">
        <v>0.0</v>
      </c>
      <c r="G56" s="106">
        <v>0.0</v>
      </c>
      <c r="H56" s="697"/>
      <c r="I56" s="676">
        <f>IFERROR(__xludf.DUMMYFUNCTION("GOOGLEFINANCE(D56,""changepct"")"),-1.15)</f>
        <v>-1.15</v>
      </c>
      <c r="J56" s="677">
        <f>IFERROR(__xludf.DUMMYFUNCTION("googlefinance(D56,""price"")"),483.37)</f>
        <v>483.37</v>
      </c>
      <c r="K56" s="697"/>
      <c r="L56" s="697"/>
      <c r="M56" s="698"/>
      <c r="N56" s="696"/>
      <c r="O56" s="682">
        <v>0.025</v>
      </c>
      <c r="P56" s="696"/>
      <c r="Q56" s="257"/>
      <c r="R56" s="257"/>
      <c r="S56" s="257"/>
      <c r="T56" s="257"/>
      <c r="U56" s="257"/>
      <c r="V56" s="257"/>
      <c r="W56" s="257"/>
      <c r="X56" s="257"/>
    </row>
    <row r="57">
      <c r="A57" s="528"/>
      <c r="B57" s="528"/>
      <c r="C57" s="344" t="s">
        <v>909</v>
      </c>
      <c r="D57" s="344" t="s">
        <v>116</v>
      </c>
      <c r="E57" s="569">
        <v>6.8</v>
      </c>
      <c r="F57" s="106">
        <v>0.0</v>
      </c>
      <c r="G57" s="106">
        <v>0.0</v>
      </c>
      <c r="H57" s="697"/>
      <c r="I57" s="676">
        <f>IFERROR(__xludf.DUMMYFUNCTION("GOOGLEFINANCE(D57,""changepct"")"),-1.04)</f>
        <v>-1.04</v>
      </c>
      <c r="J57" s="677">
        <f>IFERROR(__xludf.DUMMYFUNCTION("googlefinance(D57,""price"")"),263.38)</f>
        <v>263.38</v>
      </c>
      <c r="K57" s="697"/>
      <c r="L57" s="697"/>
      <c r="M57" s="698"/>
      <c r="N57" s="696"/>
      <c r="O57" s="682" t="s">
        <v>128</v>
      </c>
      <c r="P57" s="514"/>
      <c r="Q57" s="257"/>
      <c r="R57" s="257"/>
      <c r="S57" s="257"/>
      <c r="T57" s="257"/>
      <c r="U57" s="257"/>
      <c r="V57" s="257"/>
      <c r="W57" s="257"/>
      <c r="X57" s="257"/>
    </row>
    <row r="58">
      <c r="A58" s="528"/>
      <c r="B58" s="528"/>
      <c r="C58" s="344" t="s">
        <v>910</v>
      </c>
      <c r="D58" s="344" t="s">
        <v>538</v>
      </c>
      <c r="E58" s="569" t="s">
        <v>911</v>
      </c>
      <c r="F58" s="106">
        <v>0.0</v>
      </c>
      <c r="G58" s="106">
        <v>0.0</v>
      </c>
      <c r="H58" s="675"/>
      <c r="I58" s="676">
        <f>IFERROR(__xludf.DUMMYFUNCTION("GOOGLEFINANCE(D58,""changepct"")"),-0.32)</f>
        <v>-0.32</v>
      </c>
      <c r="J58" s="677">
        <f>IFERROR(__xludf.DUMMYFUNCTION("googlefinance(D58,""price"")"),33.87)</f>
        <v>33.87</v>
      </c>
      <c r="K58" s="675"/>
      <c r="L58" s="697"/>
      <c r="M58" s="698"/>
      <c r="N58" s="696"/>
      <c r="O58" s="538">
        <v>0.0018</v>
      </c>
      <c r="P58" s="514"/>
      <c r="Q58" s="257"/>
      <c r="R58" s="257"/>
      <c r="S58" s="257"/>
      <c r="T58" s="257"/>
      <c r="U58" s="257"/>
      <c r="V58" s="257"/>
      <c r="W58" s="257"/>
      <c r="X58" s="257"/>
    </row>
    <row r="59">
      <c r="A59" s="528"/>
      <c r="B59" s="528"/>
      <c r="C59" s="104" t="s">
        <v>403</v>
      </c>
      <c r="D59" s="104" t="s">
        <v>404</v>
      </c>
      <c r="E59" s="569">
        <v>6.4</v>
      </c>
      <c r="F59" s="106">
        <v>0.0</v>
      </c>
      <c r="G59" s="106">
        <v>0.0</v>
      </c>
      <c r="H59" s="216"/>
      <c r="I59" s="676">
        <f>IFERROR(__xludf.DUMMYFUNCTION("GOOGLEFINANCE(D59,""changepct"")"),-1.29)</f>
        <v>-1.29</v>
      </c>
      <c r="J59" s="677">
        <f>IFERROR(__xludf.DUMMYFUNCTION("googlefinance(D59,""price"")"),145.71)</f>
        <v>145.71</v>
      </c>
      <c r="K59" s="216"/>
      <c r="L59" s="697"/>
      <c r="M59" s="698"/>
      <c r="N59" s="696"/>
      <c r="O59" s="682">
        <v>0.0232</v>
      </c>
      <c r="P59" s="514"/>
      <c r="Q59" s="257"/>
      <c r="R59" s="257"/>
      <c r="S59" s="257"/>
      <c r="T59" s="257"/>
      <c r="U59" s="257"/>
      <c r="V59" s="257"/>
      <c r="W59" s="257"/>
      <c r="X59" s="257"/>
    </row>
    <row r="60">
      <c r="A60" s="528"/>
      <c r="B60" s="528"/>
      <c r="C60" s="344" t="s">
        <v>818</v>
      </c>
      <c r="D60" s="344" t="s">
        <v>120</v>
      </c>
      <c r="E60" s="569">
        <v>6.1</v>
      </c>
      <c r="F60" s="106">
        <v>0.0</v>
      </c>
      <c r="G60" s="106">
        <v>0.0</v>
      </c>
      <c r="H60" s="517"/>
      <c r="I60" s="676">
        <f>IFERROR(__xludf.DUMMYFUNCTION("GOOGLEFINANCE(D60,""changepct"")"),-1.02)</f>
        <v>-1.02</v>
      </c>
      <c r="J60" s="677">
        <f>IFERROR(__xludf.DUMMYFUNCTION("googlefinance(D60,""price"")"),466.52)</f>
        <v>466.52</v>
      </c>
      <c r="K60" s="528"/>
      <c r="L60" s="528"/>
      <c r="M60" s="518"/>
      <c r="N60" s="528"/>
      <c r="O60" s="682">
        <v>0.016</v>
      </c>
      <c r="P60" s="514"/>
      <c r="Q60" s="257"/>
      <c r="R60" s="257"/>
      <c r="S60" s="257"/>
      <c r="T60" s="257"/>
      <c r="U60" s="257"/>
      <c r="V60" s="257"/>
      <c r="W60" s="257"/>
      <c r="X60" s="257"/>
    </row>
    <row r="61">
      <c r="A61" s="528"/>
      <c r="B61" s="528"/>
      <c r="C61" s="344" t="s">
        <v>912</v>
      </c>
      <c r="D61" s="344" t="s">
        <v>913</v>
      </c>
      <c r="E61" s="569">
        <v>5.4</v>
      </c>
      <c r="F61" s="106">
        <v>0.0</v>
      </c>
      <c r="G61" s="106">
        <v>0.0</v>
      </c>
      <c r="H61" s="517"/>
      <c r="I61" s="676">
        <f>IFERROR(__xludf.DUMMYFUNCTION("GOOGLEFINANCE(D61,""changepct"")"),-0.32)</f>
        <v>-0.32</v>
      </c>
      <c r="J61" s="677">
        <f>IFERROR(__xludf.DUMMYFUNCTION("googlefinance(D61,""price"")"),112.16)</f>
        <v>112.16</v>
      </c>
      <c r="K61" s="528"/>
      <c r="L61" s="528"/>
      <c r="M61" s="518"/>
      <c r="N61" s="528"/>
      <c r="O61" s="682">
        <v>0.0143</v>
      </c>
      <c r="P61" s="514"/>
      <c r="Q61" s="257"/>
      <c r="R61" s="257"/>
      <c r="S61" s="257"/>
      <c r="T61" s="257"/>
      <c r="U61" s="257"/>
      <c r="V61" s="257"/>
      <c r="W61" s="257"/>
      <c r="X61" s="257"/>
    </row>
    <row r="62">
      <c r="A62" s="173"/>
      <c r="B62" s="13" t="s">
        <v>89</v>
      </c>
      <c r="C62" s="173"/>
      <c r="D62" s="173"/>
      <c r="E62" s="173"/>
      <c r="F62" s="693">
        <f t="shared" ref="F62:G62" si="28">SUM(F54:F61)</f>
        <v>0</v>
      </c>
      <c r="G62" s="693">
        <f t="shared" si="28"/>
        <v>0</v>
      </c>
      <c r="H62" s="607"/>
      <c r="I62" s="173"/>
      <c r="J62" s="173"/>
      <c r="K62" s="173"/>
      <c r="L62" s="173"/>
      <c r="M62" s="695"/>
      <c r="N62" s="693"/>
      <c r="O62" s="173"/>
      <c r="P62" s="693"/>
      <c r="Q62" s="238" t="s">
        <v>89</v>
      </c>
      <c r="R62" s="260"/>
      <c r="S62" s="260"/>
      <c r="T62" s="260"/>
      <c r="U62" s="238" t="s">
        <v>89</v>
      </c>
      <c r="V62" s="260"/>
      <c r="W62" s="260"/>
      <c r="X62" s="260"/>
    </row>
    <row r="63">
      <c r="A63" s="173"/>
      <c r="B63" s="13" t="s">
        <v>821</v>
      </c>
      <c r="C63" s="13" t="s">
        <v>3</v>
      </c>
      <c r="D63" s="13" t="s">
        <v>4</v>
      </c>
      <c r="E63" s="13" t="s">
        <v>5</v>
      </c>
      <c r="F63" s="504" t="s">
        <v>895</v>
      </c>
      <c r="G63" s="505" t="s">
        <v>730</v>
      </c>
      <c r="H63" s="505" t="s">
        <v>896</v>
      </c>
      <c r="I63" s="506" t="s">
        <v>10</v>
      </c>
      <c r="J63" s="673" t="s">
        <v>11</v>
      </c>
      <c r="K63" s="508" t="s">
        <v>476</v>
      </c>
      <c r="L63" s="507" t="s">
        <v>13</v>
      </c>
      <c r="M63" s="504" t="s">
        <v>897</v>
      </c>
      <c r="N63" s="508" t="s">
        <v>329</v>
      </c>
      <c r="O63" s="13" t="s">
        <v>16</v>
      </c>
      <c r="P63" s="13" t="s">
        <v>17</v>
      </c>
      <c r="Q63" s="238" t="s">
        <v>21</v>
      </c>
      <c r="R63" s="238" t="s">
        <v>22</v>
      </c>
      <c r="S63" s="238" t="s">
        <v>23</v>
      </c>
      <c r="T63" s="238" t="s">
        <v>24</v>
      </c>
      <c r="U63" s="238" t="s">
        <v>25</v>
      </c>
      <c r="V63" s="238" t="s">
        <v>26</v>
      </c>
      <c r="W63" s="238" t="s">
        <v>27</v>
      </c>
      <c r="X63" s="238" t="s">
        <v>28</v>
      </c>
    </row>
    <row r="64">
      <c r="A64" s="565" t="s">
        <v>733</v>
      </c>
      <c r="B64" s="681" t="str">
        <f>G79/D144</f>
        <v>#N/A</v>
      </c>
      <c r="C64" s="344" t="s">
        <v>914</v>
      </c>
      <c r="D64" s="344" t="s">
        <v>686</v>
      </c>
      <c r="E64" s="569">
        <v>6.7</v>
      </c>
      <c r="F64" s="106">
        <v>0.0</v>
      </c>
      <c r="G64" s="106">
        <f>F64+N64</f>
        <v>0</v>
      </c>
      <c r="H64" s="697"/>
      <c r="I64" s="700">
        <f>IFERROR(__xludf.DUMMYFUNCTION("GOOGLEFINANCE(D64,""changepct"")"),-0.86)</f>
        <v>-0.86</v>
      </c>
      <c r="J64" s="677">
        <f>IFERROR(__xludf.DUMMYFUNCTION("googlefinance(D64,""price"")"),70.39)</f>
        <v>70.39</v>
      </c>
      <c r="K64" s="697"/>
      <c r="L64" s="697"/>
      <c r="M64" s="679"/>
      <c r="N64" s="696"/>
      <c r="O64" s="682">
        <v>0.042</v>
      </c>
      <c r="P64" s="696"/>
      <c r="Q64" s="657"/>
      <c r="R64" s="257"/>
      <c r="S64" s="258"/>
      <c r="T64" s="658"/>
      <c r="U64" s="657"/>
      <c r="V64" s="257"/>
      <c r="W64" s="258"/>
      <c r="X64" s="658"/>
    </row>
    <row r="65">
      <c r="A65" s="528"/>
      <c r="B65" s="528"/>
      <c r="C65" s="344" t="s">
        <v>539</v>
      </c>
      <c r="D65" s="104" t="s">
        <v>540</v>
      </c>
      <c r="E65" s="569">
        <v>7.1</v>
      </c>
      <c r="F65" s="106">
        <v>39836.0</v>
      </c>
      <c r="G65" s="106">
        <v>0.0</v>
      </c>
      <c r="H65" s="675">
        <v>199.18</v>
      </c>
      <c r="I65" s="700">
        <f>IFERROR(__xludf.DUMMYFUNCTION("GOOGLEFINANCE(D65,""changepct"")"),-0.46)</f>
        <v>-0.46</v>
      </c>
      <c r="J65" s="677">
        <f>IFERROR(__xludf.DUMMYFUNCTION("googlefinance(D65,""price"")"),573.55)</f>
        <v>573.55</v>
      </c>
      <c r="K65" s="212">
        <v>210.49</v>
      </c>
      <c r="L65" s="697">
        <f t="shared" ref="L65:L67" si="29">J65-H65</f>
        <v>374.37</v>
      </c>
      <c r="M65" s="679">
        <f>K65/H65-1</f>
        <v>0.05678280952</v>
      </c>
      <c r="N65" s="696">
        <f t="shared" ref="N65:N67" si="30">F65*M65</f>
        <v>2262</v>
      </c>
      <c r="O65" s="682">
        <v>0.0253</v>
      </c>
      <c r="P65" s="106">
        <v>252.0</v>
      </c>
      <c r="Q65" s="210" t="s">
        <v>540</v>
      </c>
      <c r="R65" s="211">
        <v>44071.0</v>
      </c>
      <c r="S65" s="212">
        <v>210.49</v>
      </c>
      <c r="T65" s="213">
        <v>42098.0</v>
      </c>
      <c r="U65" s="657"/>
      <c r="V65" s="257"/>
      <c r="W65" s="258"/>
      <c r="X65" s="658"/>
    </row>
    <row r="66">
      <c r="A66" s="528"/>
      <c r="B66" s="528"/>
      <c r="C66" s="344" t="s">
        <v>539</v>
      </c>
      <c r="D66" s="104" t="s">
        <v>540</v>
      </c>
      <c r="E66" s="569">
        <v>7.1</v>
      </c>
      <c r="F66" s="106">
        <v>30273.0</v>
      </c>
      <c r="G66" s="106">
        <f t="shared" ref="G66:G68" si="31">F66+N66</f>
        <v>86032.5</v>
      </c>
      <c r="H66" s="675">
        <v>201.82</v>
      </c>
      <c r="I66" s="700">
        <f>IFERROR(__xludf.DUMMYFUNCTION("GOOGLEFINANCE(D66,""changepct"")"),-0.46)</f>
        <v>-0.46</v>
      </c>
      <c r="J66" s="677">
        <f>IFERROR(__xludf.DUMMYFUNCTION("googlefinance(D66,""price"")"),573.55)</f>
        <v>573.55</v>
      </c>
      <c r="K66" s="212"/>
      <c r="L66" s="697">
        <f t="shared" si="29"/>
        <v>371.73</v>
      </c>
      <c r="M66" s="679">
        <f t="shared" ref="M66:M67" si="32">J66/H66-1</f>
        <v>1.841888812</v>
      </c>
      <c r="N66" s="696">
        <f t="shared" si="30"/>
        <v>55759.5</v>
      </c>
      <c r="O66" s="682">
        <v>0.0253</v>
      </c>
      <c r="P66" s="106"/>
      <c r="Q66" s="657"/>
      <c r="R66" s="257"/>
      <c r="S66" s="258"/>
      <c r="T66" s="658"/>
      <c r="U66" s="210" t="s">
        <v>540</v>
      </c>
      <c r="V66" s="211">
        <v>44088.0</v>
      </c>
      <c r="W66" s="212">
        <v>201.82</v>
      </c>
      <c r="X66" s="213">
        <v>30273.0</v>
      </c>
    </row>
    <row r="67">
      <c r="A67" s="528"/>
      <c r="B67" s="528"/>
      <c r="C67" s="344" t="s">
        <v>768</v>
      </c>
      <c r="D67" s="344" t="s">
        <v>769</v>
      </c>
      <c r="E67" s="569">
        <v>7.1</v>
      </c>
      <c r="F67" s="106">
        <v>32490.0</v>
      </c>
      <c r="G67" s="106">
        <f t="shared" si="31"/>
        <v>46306</v>
      </c>
      <c r="H67" s="675">
        <v>162.45</v>
      </c>
      <c r="I67" s="700">
        <f>IFERROR(__xludf.DUMMYFUNCTION("GOOGLEFINANCE(D67,""changepct"")"),-0.84)</f>
        <v>-0.84</v>
      </c>
      <c r="J67" s="677">
        <f>IFERROR(__xludf.DUMMYFUNCTION("googlefinance(D67,""price"")"),231.53)</f>
        <v>231.53</v>
      </c>
      <c r="K67" s="212"/>
      <c r="L67" s="697">
        <f t="shared" si="29"/>
        <v>69.08</v>
      </c>
      <c r="M67" s="679">
        <f t="shared" si="32"/>
        <v>0.4252385349</v>
      </c>
      <c r="N67" s="696">
        <f t="shared" si="30"/>
        <v>13816</v>
      </c>
      <c r="O67" s="682">
        <v>0.0191</v>
      </c>
      <c r="P67" s="106">
        <v>149.0</v>
      </c>
      <c r="Q67" s="657"/>
      <c r="R67" s="257"/>
      <c r="S67" s="258"/>
      <c r="T67" s="658"/>
      <c r="U67" s="657"/>
      <c r="V67" s="257"/>
      <c r="W67" s="258"/>
      <c r="X67" s="658"/>
    </row>
    <row r="68">
      <c r="A68" s="528"/>
      <c r="B68" s="528"/>
      <c r="C68" s="344" t="s">
        <v>541</v>
      </c>
      <c r="D68" s="344" t="s">
        <v>382</v>
      </c>
      <c r="E68" s="569">
        <v>6.7</v>
      </c>
      <c r="F68" s="106">
        <v>0.0</v>
      </c>
      <c r="G68" s="106">
        <f t="shared" si="31"/>
        <v>0</v>
      </c>
      <c r="H68" s="697"/>
      <c r="I68" s="700">
        <f>IFERROR(__xludf.DUMMYFUNCTION("GOOGLEFINANCE(D68,""changepct"")"),-1.65)</f>
        <v>-1.65</v>
      </c>
      <c r="J68" s="677">
        <f>IFERROR(__xludf.DUMMYFUNCTION("googlefinance(D68,""price"")"),85.43)</f>
        <v>85.43</v>
      </c>
      <c r="K68" s="697"/>
      <c r="L68" s="697"/>
      <c r="M68" s="679"/>
      <c r="N68" s="696"/>
      <c r="O68" s="569" t="s">
        <v>128</v>
      </c>
      <c r="P68" s="514"/>
      <c r="Q68" s="657"/>
      <c r="R68" s="257"/>
      <c r="S68" s="258"/>
      <c r="T68" s="658"/>
      <c r="U68" s="657"/>
      <c r="V68" s="257"/>
      <c r="W68" s="258"/>
      <c r="X68" s="658"/>
    </row>
    <row r="69">
      <c r="A69" s="528"/>
      <c r="B69" s="528"/>
      <c r="C69" s="104" t="s">
        <v>869</v>
      </c>
      <c r="D69" s="104" t="s">
        <v>870</v>
      </c>
      <c r="E69" s="569">
        <v>6.9</v>
      </c>
      <c r="F69" s="106">
        <v>25660.0</v>
      </c>
      <c r="G69" s="106">
        <v>0.0</v>
      </c>
      <c r="H69" s="216">
        <v>25.66</v>
      </c>
      <c r="I69" s="700">
        <f>IFERROR(__xludf.DUMMYFUNCTION("GOOGLEFINANCE(D69,""changepct"")"),-0.98)</f>
        <v>-0.98</v>
      </c>
      <c r="J69" s="677">
        <f>IFERROR(__xludf.DUMMYFUNCTION("googlefinance(D69,""price"")"),70.41)</f>
        <v>70.41</v>
      </c>
      <c r="K69" s="678">
        <v>23.63</v>
      </c>
      <c r="L69" s="697">
        <f t="shared" ref="L69:L72" si="33">J69-H69</f>
        <v>44.75</v>
      </c>
      <c r="M69" s="679">
        <f t="shared" ref="M69:M70" si="34">K69/H69-1</f>
        <v>-0.07911145752</v>
      </c>
      <c r="N69" s="696">
        <f t="shared" ref="N69:N72" si="35">F69*M69</f>
        <v>-2030</v>
      </c>
      <c r="O69" s="682">
        <v>0.0823</v>
      </c>
      <c r="P69" s="696"/>
      <c r="Q69" s="210" t="s">
        <v>870</v>
      </c>
      <c r="R69" s="211">
        <v>44064.0</v>
      </c>
      <c r="S69" s="212">
        <v>23.63</v>
      </c>
      <c r="T69" s="213">
        <v>23630.0</v>
      </c>
      <c r="U69" s="657"/>
      <c r="V69" s="257"/>
      <c r="W69" s="258"/>
      <c r="X69" s="658"/>
    </row>
    <row r="70">
      <c r="A70" s="528"/>
      <c r="B70" s="528"/>
      <c r="C70" s="344" t="s">
        <v>615</v>
      </c>
      <c r="D70" s="344" t="s">
        <v>616</v>
      </c>
      <c r="E70" s="569">
        <v>7.2</v>
      </c>
      <c r="F70" s="106">
        <v>47265.0</v>
      </c>
      <c r="G70" s="106">
        <v>0.0</v>
      </c>
      <c r="H70" s="216">
        <v>94.53</v>
      </c>
      <c r="I70" s="700">
        <f>IFERROR(__xludf.DUMMYFUNCTION("GOOGLEFINANCE(D70,""changepct"")"),-0.77)</f>
        <v>-0.77</v>
      </c>
      <c r="J70" s="677">
        <f>IFERROR(__xludf.DUMMYFUNCTION("googlefinance(D70,""price"")"),239.32)</f>
        <v>239.32</v>
      </c>
      <c r="K70" s="678">
        <v>102.82</v>
      </c>
      <c r="L70" s="697">
        <f t="shared" si="33"/>
        <v>144.79</v>
      </c>
      <c r="M70" s="679">
        <f t="shared" si="34"/>
        <v>0.0876970274</v>
      </c>
      <c r="N70" s="696">
        <f t="shared" si="35"/>
        <v>4145</v>
      </c>
      <c r="O70" s="682">
        <v>0.0376</v>
      </c>
      <c r="P70" s="696"/>
      <c r="Q70" s="210" t="s">
        <v>616</v>
      </c>
      <c r="R70" s="211">
        <v>44071.0</v>
      </c>
      <c r="S70" s="212">
        <v>102.82</v>
      </c>
      <c r="T70" s="213">
        <v>51410.0</v>
      </c>
      <c r="U70" s="657"/>
      <c r="V70" s="257"/>
      <c r="W70" s="258"/>
      <c r="X70" s="658"/>
    </row>
    <row r="71">
      <c r="A71" s="528"/>
      <c r="B71" s="528"/>
      <c r="C71" s="344" t="s">
        <v>615</v>
      </c>
      <c r="D71" s="344" t="s">
        <v>616</v>
      </c>
      <c r="E71" s="569">
        <v>7.2</v>
      </c>
      <c r="F71" s="217">
        <v>30546.0</v>
      </c>
      <c r="G71" s="106">
        <f>F71+N71</f>
        <v>71796</v>
      </c>
      <c r="H71" s="216">
        <v>101.82</v>
      </c>
      <c r="I71" s="700">
        <f>IFERROR(__xludf.DUMMYFUNCTION("GOOGLEFINANCE(D71,""changepct"")"),-0.77)</f>
        <v>-0.77</v>
      </c>
      <c r="J71" s="677">
        <f>IFERROR(__xludf.DUMMYFUNCTION("googlefinance(D71,""price"")"),239.32)</f>
        <v>239.32</v>
      </c>
      <c r="K71" s="212"/>
      <c r="L71" s="697">
        <f t="shared" si="33"/>
        <v>137.5</v>
      </c>
      <c r="M71" s="679">
        <f>J71/H71-1</f>
        <v>1.350422314</v>
      </c>
      <c r="N71" s="696">
        <f t="shared" si="35"/>
        <v>41250</v>
      </c>
      <c r="O71" s="682">
        <v>0.0376</v>
      </c>
      <c r="P71" s="514"/>
      <c r="Q71" s="210"/>
      <c r="R71" s="211"/>
      <c r="S71" s="212"/>
      <c r="T71" s="213"/>
      <c r="U71" s="210" t="s">
        <v>616</v>
      </c>
      <c r="V71" s="211">
        <v>44088.0</v>
      </c>
      <c r="W71" s="216">
        <v>101.82</v>
      </c>
      <c r="X71" s="217">
        <v>30546.0</v>
      </c>
    </row>
    <row r="72">
      <c r="A72" s="528"/>
      <c r="B72" s="528"/>
      <c r="C72" s="726" t="s">
        <v>824</v>
      </c>
      <c r="D72" s="104" t="s">
        <v>569</v>
      </c>
      <c r="E72" s="569">
        <v>7.1</v>
      </c>
      <c r="F72" s="217">
        <v>30656.0</v>
      </c>
      <c r="G72" s="106">
        <v>0.0</v>
      </c>
      <c r="H72" s="216">
        <v>38.32</v>
      </c>
      <c r="I72" s="700">
        <f>IFERROR(__xludf.DUMMYFUNCTION("GOOGLEFINANCE(D72,""changepct"")"),-0.25)</f>
        <v>-0.25</v>
      </c>
      <c r="J72" s="677">
        <f>IFERROR(__xludf.DUMMYFUNCTION("googlefinance(D72,""price"")"),60.42)</f>
        <v>60.42</v>
      </c>
      <c r="K72" s="212">
        <v>39.54</v>
      </c>
      <c r="L72" s="697">
        <f t="shared" si="33"/>
        <v>22.1</v>
      </c>
      <c r="M72" s="679">
        <f>K72/H72-1</f>
        <v>0.03183716075</v>
      </c>
      <c r="N72" s="696">
        <f t="shared" si="35"/>
        <v>976</v>
      </c>
      <c r="O72" s="682">
        <v>0.0358</v>
      </c>
      <c r="P72" s="514"/>
      <c r="Q72" s="210" t="s">
        <v>569</v>
      </c>
      <c r="R72" s="211">
        <v>44071.0</v>
      </c>
      <c r="S72" s="212">
        <v>39.54</v>
      </c>
      <c r="T72" s="213">
        <v>31632.0</v>
      </c>
      <c r="U72" s="657"/>
      <c r="V72" s="257"/>
      <c r="W72" s="258"/>
      <c r="X72" s="658"/>
    </row>
    <row r="73">
      <c r="A73" s="528"/>
      <c r="B73" s="528"/>
      <c r="C73" s="104" t="s">
        <v>915</v>
      </c>
      <c r="D73" s="104" t="s">
        <v>916</v>
      </c>
      <c r="E73" s="569">
        <v>6.8</v>
      </c>
      <c r="F73" s="217">
        <v>0.0</v>
      </c>
      <c r="G73" s="106">
        <f t="shared" ref="G73:G78" si="36">F73+N73</f>
        <v>0</v>
      </c>
      <c r="H73" s="517"/>
      <c r="I73" s="700">
        <f>IFERROR(__xludf.DUMMYFUNCTION("GOOGLEFINANCE(D73,""changepct"")"),-0.88)</f>
        <v>-0.88</v>
      </c>
      <c r="J73" s="677">
        <f>IFERROR(__xludf.DUMMYFUNCTION("googlefinance(D73,""price"")"),110.57)</f>
        <v>110.57</v>
      </c>
      <c r="K73" s="697"/>
      <c r="L73" s="697"/>
      <c r="M73" s="679"/>
      <c r="N73" s="696"/>
      <c r="O73" s="682">
        <v>0.0217</v>
      </c>
      <c r="P73" s="514"/>
      <c r="Q73" s="657"/>
      <c r="R73" s="257"/>
      <c r="S73" s="258"/>
      <c r="T73" s="658"/>
      <c r="U73" s="657"/>
      <c r="V73" s="257"/>
      <c r="W73" s="258"/>
      <c r="X73" s="658"/>
    </row>
    <row r="74">
      <c r="A74" s="528"/>
      <c r="B74" s="528"/>
      <c r="C74" s="104" t="s">
        <v>873</v>
      </c>
      <c r="D74" s="104" t="s">
        <v>874</v>
      </c>
      <c r="E74" s="569">
        <v>7.1</v>
      </c>
      <c r="F74" s="217">
        <v>30050.0</v>
      </c>
      <c r="G74" s="106">
        <f t="shared" si="36"/>
        <v>72190</v>
      </c>
      <c r="H74" s="216">
        <v>60.1</v>
      </c>
      <c r="I74" s="700">
        <f>IFERROR(__xludf.DUMMYFUNCTION("GOOGLEFINANCE(D74,""changepct"")"),-1.05)</f>
        <v>-1.05</v>
      </c>
      <c r="J74" s="677">
        <f>IFERROR(__xludf.DUMMYFUNCTION("googlefinance(D74,""price"")"),144.38)</f>
        <v>144.38</v>
      </c>
      <c r="K74" s="675"/>
      <c r="L74" s="697">
        <f>J74-H74</f>
        <v>84.28</v>
      </c>
      <c r="M74" s="679">
        <f>J74/H74-1</f>
        <v>1.402329451</v>
      </c>
      <c r="N74" s="696">
        <f>F74*M74</f>
        <v>42140</v>
      </c>
      <c r="O74" s="682">
        <v>0.0178</v>
      </c>
      <c r="P74" s="217">
        <v>136.0</v>
      </c>
      <c r="Q74" s="657"/>
      <c r="R74" s="257"/>
      <c r="S74" s="258"/>
      <c r="T74" s="658"/>
      <c r="U74" s="657"/>
      <c r="V74" s="257"/>
      <c r="W74" s="258"/>
      <c r="X74" s="658"/>
    </row>
    <row r="75">
      <c r="A75" s="528"/>
      <c r="B75" s="528"/>
      <c r="C75" s="344" t="s">
        <v>917</v>
      </c>
      <c r="D75" s="344" t="s">
        <v>771</v>
      </c>
      <c r="E75" s="569">
        <v>6.5</v>
      </c>
      <c r="F75" s="217">
        <v>0.0</v>
      </c>
      <c r="G75" s="106">
        <f t="shared" si="36"/>
        <v>0</v>
      </c>
      <c r="H75" s="517"/>
      <c r="I75" s="700">
        <f>IFERROR(__xludf.DUMMYFUNCTION("GOOGLEFINANCE(D75,""changepct"")"),-1.25)</f>
        <v>-1.25</v>
      </c>
      <c r="J75" s="677">
        <f>IFERROR(__xludf.DUMMYFUNCTION("googlefinance(D75,""price"")"),525.55)</f>
        <v>525.55</v>
      </c>
      <c r="K75" s="697"/>
      <c r="L75" s="697"/>
      <c r="M75" s="679"/>
      <c r="N75" s="696"/>
      <c r="O75" s="569" t="s">
        <v>128</v>
      </c>
      <c r="P75" s="514"/>
      <c r="Q75" s="657"/>
      <c r="R75" s="257"/>
      <c r="S75" s="258"/>
      <c r="T75" s="658"/>
      <c r="U75" s="657"/>
      <c r="V75" s="257"/>
      <c r="W75" s="258"/>
      <c r="X75" s="658"/>
    </row>
    <row r="76">
      <c r="A76" s="528"/>
      <c r="B76" s="528"/>
      <c r="C76" s="344" t="s">
        <v>664</v>
      </c>
      <c r="D76" s="344" t="s">
        <v>665</v>
      </c>
      <c r="E76" s="569">
        <v>6.7</v>
      </c>
      <c r="F76" s="106">
        <v>0.0</v>
      </c>
      <c r="G76" s="106">
        <f t="shared" si="36"/>
        <v>0</v>
      </c>
      <c r="H76" s="517"/>
      <c r="I76" s="700">
        <f>IFERROR(__xludf.DUMMYFUNCTION("GOOGLEFINANCE(D76,""changepct"")"),-1.05)</f>
        <v>-1.05</v>
      </c>
      <c r="J76" s="677">
        <f>IFERROR(__xludf.DUMMYFUNCTION("googlefinance(D76,""price"")"),315.31)</f>
        <v>315.31</v>
      </c>
      <c r="K76" s="697"/>
      <c r="L76" s="697"/>
      <c r="M76" s="679"/>
      <c r="N76" s="696"/>
      <c r="O76" s="682">
        <v>0.0067</v>
      </c>
      <c r="P76" s="696"/>
      <c r="Q76" s="657"/>
      <c r="R76" s="257"/>
      <c r="S76" s="258"/>
      <c r="T76" s="658"/>
      <c r="U76" s="657"/>
      <c r="V76" s="257"/>
      <c r="W76" s="258"/>
      <c r="X76" s="658"/>
    </row>
    <row r="77">
      <c r="A77" s="528"/>
      <c r="B77" s="528"/>
      <c r="C77" s="344" t="s">
        <v>871</v>
      </c>
      <c r="D77" s="344" t="s">
        <v>872</v>
      </c>
      <c r="E77" s="569">
        <v>6.7</v>
      </c>
      <c r="F77" s="217">
        <v>0.0</v>
      </c>
      <c r="G77" s="106">
        <f t="shared" si="36"/>
        <v>0</v>
      </c>
      <c r="H77" s="517"/>
      <c r="I77" s="700">
        <f>IFERROR(__xludf.DUMMYFUNCTION("GOOGLEFINANCE(D77,""changepct"")"),-0.97)</f>
        <v>-0.97</v>
      </c>
      <c r="J77" s="677">
        <f>IFERROR(__xludf.DUMMYFUNCTION("googlefinance(D77,""price"")"),43.91)</f>
        <v>43.91</v>
      </c>
      <c r="K77" s="697"/>
      <c r="L77" s="697"/>
      <c r="M77" s="679"/>
      <c r="N77" s="696"/>
      <c r="O77" s="682">
        <v>0.03</v>
      </c>
      <c r="P77" s="514"/>
      <c r="Q77" s="657"/>
      <c r="R77" s="257"/>
      <c r="S77" s="258"/>
      <c r="T77" s="658"/>
      <c r="U77" s="657"/>
      <c r="V77" s="257"/>
      <c r="W77" s="258"/>
      <c r="X77" s="658"/>
    </row>
    <row r="78">
      <c r="A78" s="528"/>
      <c r="B78" s="528"/>
      <c r="C78" s="344" t="s">
        <v>822</v>
      </c>
      <c r="D78" s="344" t="s">
        <v>823</v>
      </c>
      <c r="E78" s="569">
        <v>7.3</v>
      </c>
      <c r="F78" s="106">
        <v>34410.0</v>
      </c>
      <c r="G78" s="106" t="str">
        <f t="shared" si="36"/>
        <v>#N/A</v>
      </c>
      <c r="H78" s="216">
        <v>11.47</v>
      </c>
      <c r="I78" s="700" t="str">
        <f>IFERROR(__xludf.DUMMYFUNCTION("GOOGLEFINANCE(D78,""changepct"")"),"#N/A")</f>
        <v>#N/A</v>
      </c>
      <c r="J78" s="677" t="str">
        <f>IFERROR(__xludf.DUMMYFUNCTION("googlefinance(D78,""price"")"),"#N/A")</f>
        <v>#N/A</v>
      </c>
      <c r="K78" s="678"/>
      <c r="L78" s="697" t="str">
        <f>J78-H78</f>
        <v>#N/A</v>
      </c>
      <c r="M78" s="679" t="str">
        <f>J78/H78-1</f>
        <v>#N/A</v>
      </c>
      <c r="N78" s="696" t="str">
        <f>F78*M78</f>
        <v>#N/A</v>
      </c>
      <c r="O78" s="682">
        <v>0.0958</v>
      </c>
      <c r="P78" s="106">
        <v>840.0</v>
      </c>
      <c r="Q78" s="657"/>
      <c r="R78" s="257"/>
      <c r="S78" s="258"/>
      <c r="T78" s="658"/>
      <c r="U78" s="657"/>
      <c r="V78" s="257"/>
      <c r="W78" s="258"/>
      <c r="X78" s="658"/>
    </row>
    <row r="79">
      <c r="A79" s="173"/>
      <c r="B79" s="13" t="s">
        <v>89</v>
      </c>
      <c r="C79" s="173"/>
      <c r="D79" s="173"/>
      <c r="E79" s="173"/>
      <c r="F79" s="693">
        <f t="shared" ref="F79:G79" si="37">SUM(F64:F78)</f>
        <v>301186</v>
      </c>
      <c r="G79" s="693" t="str">
        <f t="shared" si="37"/>
        <v>#N/A</v>
      </c>
      <c r="H79" s="607"/>
      <c r="I79" s="173"/>
      <c r="J79" s="173"/>
      <c r="K79" s="173"/>
      <c r="L79" s="173"/>
      <c r="M79" s="695" t="str">
        <f>N79/F79</f>
        <v>#N/A</v>
      </c>
      <c r="N79" s="693" t="str">
        <f>SUM(N64:N78)</f>
        <v>#N/A</v>
      </c>
      <c r="O79" s="173"/>
      <c r="P79" s="693">
        <f>SUM(P64:P78)</f>
        <v>1377</v>
      </c>
      <c r="Q79" s="238" t="s">
        <v>89</v>
      </c>
      <c r="R79" s="260"/>
      <c r="S79" s="260"/>
      <c r="T79" s="240">
        <f>SUM(T64:T78)</f>
        <v>148770</v>
      </c>
      <c r="U79" s="238" t="s">
        <v>89</v>
      </c>
      <c r="V79" s="260"/>
      <c r="W79" s="667"/>
      <c r="X79" s="240">
        <f>SUM(X64:X78)</f>
        <v>60819</v>
      </c>
    </row>
    <row r="80">
      <c r="A80" s="13" t="s">
        <v>772</v>
      </c>
      <c r="B80" s="13" t="s">
        <v>825</v>
      </c>
      <c r="C80" s="13" t="s">
        <v>150</v>
      </c>
      <c r="D80" s="13" t="s">
        <v>4</v>
      </c>
      <c r="E80" s="13" t="s">
        <v>5</v>
      </c>
      <c r="F80" s="504" t="s">
        <v>895</v>
      </c>
      <c r="G80" s="505" t="s">
        <v>730</v>
      </c>
      <c r="H80" s="505" t="s">
        <v>896</v>
      </c>
      <c r="I80" s="506" t="s">
        <v>10</v>
      </c>
      <c r="J80" s="673" t="s">
        <v>11</v>
      </c>
      <c r="K80" s="508" t="s">
        <v>476</v>
      </c>
      <c r="L80" s="507" t="s">
        <v>13</v>
      </c>
      <c r="M80" s="504" t="s">
        <v>897</v>
      </c>
      <c r="N80" s="508" t="s">
        <v>329</v>
      </c>
      <c r="O80" s="13" t="s">
        <v>16</v>
      </c>
      <c r="P80" s="13" t="s">
        <v>17</v>
      </c>
      <c r="Q80" s="238" t="s">
        <v>21</v>
      </c>
      <c r="R80" s="238" t="s">
        <v>22</v>
      </c>
      <c r="S80" s="238" t="s">
        <v>23</v>
      </c>
      <c r="T80" s="238" t="s">
        <v>24</v>
      </c>
      <c r="U80" s="238" t="s">
        <v>25</v>
      </c>
      <c r="V80" s="238" t="s">
        <v>26</v>
      </c>
      <c r="W80" s="238" t="s">
        <v>27</v>
      </c>
      <c r="X80" s="238" t="s">
        <v>28</v>
      </c>
    </row>
    <row r="81">
      <c r="A81" s="565" t="s">
        <v>733</v>
      </c>
      <c r="B81" s="681"/>
      <c r="C81" s="344" t="s">
        <v>151</v>
      </c>
      <c r="D81" s="344" t="s">
        <v>152</v>
      </c>
      <c r="E81" s="569">
        <v>9.1</v>
      </c>
      <c r="F81" s="106">
        <v>177210.0</v>
      </c>
      <c r="G81" s="696">
        <f t="shared" ref="G81:G106" si="38">F81+N81</f>
        <v>175000</v>
      </c>
      <c r="H81" s="675">
        <v>1772.1</v>
      </c>
      <c r="I81" s="515"/>
      <c r="J81" s="727">
        <v>1750.0</v>
      </c>
      <c r="K81" s="697"/>
      <c r="L81" s="697">
        <f t="shared" ref="L81:L82" si="39">J81-H81</f>
        <v>-22.1</v>
      </c>
      <c r="M81" s="698">
        <f t="shared" ref="M81:M82" si="40">J81/H81-1</f>
        <v>-0.01247107951</v>
      </c>
      <c r="N81" s="696">
        <f t="shared" ref="N81:N82" si="41">F81*M81</f>
        <v>-2210</v>
      </c>
      <c r="O81" s="569" t="s">
        <v>128</v>
      </c>
      <c r="P81" s="514"/>
      <c r="Q81" s="257"/>
      <c r="R81" s="257"/>
      <c r="S81" s="257"/>
      <c r="T81" s="257"/>
      <c r="U81" s="657"/>
      <c r="V81" s="257"/>
      <c r="W81" s="258"/>
      <c r="X81" s="658"/>
    </row>
    <row r="82">
      <c r="A82" s="344" t="s">
        <v>153</v>
      </c>
      <c r="B82" s="596">
        <f>G81+G82</f>
        <v>267500</v>
      </c>
      <c r="C82" s="344" t="s">
        <v>154</v>
      </c>
      <c r="D82" s="344" t="s">
        <v>155</v>
      </c>
      <c r="E82" s="569">
        <v>9.2</v>
      </c>
      <c r="F82" s="106">
        <v>91000.0</v>
      </c>
      <c r="G82" s="696">
        <f t="shared" si="38"/>
        <v>92500</v>
      </c>
      <c r="H82" s="675">
        <v>18.2</v>
      </c>
      <c r="I82" s="515"/>
      <c r="J82" s="727">
        <v>18.5</v>
      </c>
      <c r="K82" s="697"/>
      <c r="L82" s="697">
        <f t="shared" si="39"/>
        <v>0.3</v>
      </c>
      <c r="M82" s="698">
        <f t="shared" si="40"/>
        <v>0.01648351648</v>
      </c>
      <c r="N82" s="696">
        <f t="shared" si="41"/>
        <v>1500</v>
      </c>
      <c r="O82" s="569" t="s">
        <v>128</v>
      </c>
      <c r="P82" s="514"/>
      <c r="Q82" s="257"/>
      <c r="R82" s="257"/>
      <c r="S82" s="257"/>
      <c r="T82" s="257"/>
      <c r="U82" s="657"/>
      <c r="V82" s="257"/>
      <c r="W82" s="258"/>
      <c r="X82" s="658"/>
    </row>
    <row r="83">
      <c r="A83" s="104" t="s">
        <v>156</v>
      </c>
      <c r="B83" s="598">
        <f>B82/D144</f>
        <v>0.0493448935</v>
      </c>
      <c r="C83" s="344" t="s">
        <v>773</v>
      </c>
      <c r="D83" s="344" t="s">
        <v>774</v>
      </c>
      <c r="E83" s="569">
        <v>9.1</v>
      </c>
      <c r="F83" s="106">
        <v>0.0</v>
      </c>
      <c r="G83" s="696">
        <f t="shared" si="38"/>
        <v>0</v>
      </c>
      <c r="H83" s="675"/>
      <c r="I83" s="676">
        <f>IFERROR(__xludf.DUMMYFUNCTION("GOOGLEFINANCE(D83,""changepct"")"),-1.23)</f>
        <v>-1.23</v>
      </c>
      <c r="J83" s="677">
        <f>IFERROR(__xludf.DUMMYFUNCTION("googlefinance(D83,""price"")"),26.43)</f>
        <v>26.43</v>
      </c>
      <c r="K83" s="675"/>
      <c r="L83" s="697"/>
      <c r="M83" s="698"/>
      <c r="N83" s="696"/>
      <c r="O83" s="569" t="s">
        <v>128</v>
      </c>
      <c r="P83" s="514"/>
      <c r="Q83" s="257"/>
      <c r="R83" s="257"/>
      <c r="S83" s="257"/>
      <c r="T83" s="257"/>
      <c r="U83" s="657"/>
      <c r="V83" s="257"/>
      <c r="W83" s="258"/>
      <c r="X83" s="658"/>
    </row>
    <row r="84">
      <c r="A84" s="344" t="s">
        <v>159</v>
      </c>
      <c r="B84" s="596" t="str">
        <f>G84+G85+G86+G87+G88+G89+G90+G93+G94+G95+G96+G97+G98+G99+G100+G101+G102+G103+G104+G106+G105</f>
        <v>#N/A</v>
      </c>
      <c r="C84" s="344" t="s">
        <v>570</v>
      </c>
      <c r="D84" s="344" t="s">
        <v>158</v>
      </c>
      <c r="E84" s="569">
        <v>8.9</v>
      </c>
      <c r="F84" s="106">
        <v>86225.0</v>
      </c>
      <c r="G84" s="696">
        <f t="shared" si="38"/>
        <v>84425</v>
      </c>
      <c r="H84" s="675">
        <v>34.49</v>
      </c>
      <c r="I84" s="676">
        <f>IFERROR(__xludf.DUMMYFUNCTION("GOOGLEFINANCE(D84,""changepct"")"),-1.43)</f>
        <v>-1.43</v>
      </c>
      <c r="J84" s="677">
        <f>IFERROR(__xludf.DUMMYFUNCTION("googlefinance(D84,""price"")"),33.77)</f>
        <v>33.77</v>
      </c>
      <c r="K84" s="675"/>
      <c r="L84" s="697">
        <f t="shared" ref="L84:L106" si="42">J84-H84</f>
        <v>-0.72</v>
      </c>
      <c r="M84" s="698">
        <f t="shared" ref="M84:M106" si="43">J84/H84-1</f>
        <v>-0.02087561612</v>
      </c>
      <c r="N84" s="696">
        <f t="shared" ref="N84:N106" si="44">F84*M84</f>
        <v>-1800</v>
      </c>
      <c r="O84" s="682">
        <v>0.0081</v>
      </c>
      <c r="P84" s="106">
        <v>196.0</v>
      </c>
      <c r="Q84" s="257"/>
      <c r="R84" s="257"/>
      <c r="S84" s="257"/>
      <c r="T84" s="257"/>
      <c r="U84" s="657"/>
      <c r="V84" s="257"/>
      <c r="W84" s="258"/>
      <c r="X84" s="658"/>
    </row>
    <row r="85">
      <c r="A85" s="104" t="s">
        <v>708</v>
      </c>
      <c r="B85" s="598" t="str">
        <f>B84/D144</f>
        <v>#N/A</v>
      </c>
      <c r="C85" s="344" t="s">
        <v>160</v>
      </c>
      <c r="D85" s="344" t="s">
        <v>161</v>
      </c>
      <c r="E85" s="569">
        <v>9.0</v>
      </c>
      <c r="F85" s="106">
        <v>92420.0</v>
      </c>
      <c r="G85" s="696">
        <f t="shared" si="38"/>
        <v>84640</v>
      </c>
      <c r="H85" s="675">
        <v>46.21</v>
      </c>
      <c r="I85" s="676">
        <f>IFERROR(__xludf.DUMMYFUNCTION("GOOGLEFINANCE(D85,""changepct"")"),-1.7)</f>
        <v>-1.7</v>
      </c>
      <c r="J85" s="677">
        <f>IFERROR(__xludf.DUMMYFUNCTION("googlefinance(D85,""price"")"),42.32)</f>
        <v>42.32</v>
      </c>
      <c r="K85" s="675"/>
      <c r="L85" s="697">
        <f t="shared" si="42"/>
        <v>-3.89</v>
      </c>
      <c r="M85" s="698">
        <f t="shared" si="43"/>
        <v>-0.08418091322</v>
      </c>
      <c r="N85" s="696">
        <f t="shared" si="44"/>
        <v>-7780</v>
      </c>
      <c r="O85" s="682">
        <v>0.0057</v>
      </c>
      <c r="P85" s="106">
        <v>165.0</v>
      </c>
      <c r="Q85" s="257"/>
      <c r="R85" s="257"/>
      <c r="S85" s="257"/>
      <c r="T85" s="257"/>
      <c r="U85" s="657"/>
      <c r="V85" s="257"/>
      <c r="W85" s="258"/>
      <c r="X85" s="658"/>
    </row>
    <row r="86">
      <c r="A86" s="104" t="s">
        <v>775</v>
      </c>
      <c r="B86" s="344" t="str">
        <f>B82+B84</f>
        <v>#N/A</v>
      </c>
      <c r="C86" s="104" t="s">
        <v>776</v>
      </c>
      <c r="D86" s="104" t="s">
        <v>548</v>
      </c>
      <c r="E86" s="569">
        <v>8.2</v>
      </c>
      <c r="F86" s="106">
        <v>53560.0</v>
      </c>
      <c r="G86" s="696">
        <f t="shared" si="38"/>
        <v>117455</v>
      </c>
      <c r="H86" s="675">
        <v>8.24</v>
      </c>
      <c r="I86" s="676">
        <f>IFERROR(__xludf.DUMMYFUNCTION("GOOGLEFINANCE(D86,""changepct"")"),-1.53)</f>
        <v>-1.53</v>
      </c>
      <c r="J86" s="677">
        <f>IFERROR(__xludf.DUMMYFUNCTION("googlefinance(D86,""price"")"),18.07)</f>
        <v>18.07</v>
      </c>
      <c r="K86" s="675"/>
      <c r="L86" s="697">
        <f t="shared" si="42"/>
        <v>9.83</v>
      </c>
      <c r="M86" s="698">
        <f t="shared" si="43"/>
        <v>1.192961165</v>
      </c>
      <c r="N86" s="696">
        <f t="shared" si="44"/>
        <v>63895</v>
      </c>
      <c r="O86" s="682">
        <v>0.0074</v>
      </c>
      <c r="P86" s="106">
        <v>114.0</v>
      </c>
      <c r="Q86" s="257"/>
      <c r="R86" s="257"/>
      <c r="S86" s="257"/>
      <c r="T86" s="257"/>
      <c r="U86" s="657"/>
      <c r="V86" s="257"/>
      <c r="W86" s="258"/>
      <c r="X86" s="658"/>
    </row>
    <row r="87">
      <c r="A87" s="104" t="s">
        <v>777</v>
      </c>
      <c r="B87" s="599" t="str">
        <f>B86/D144</f>
        <v>#N/A</v>
      </c>
      <c r="C87" s="344" t="s">
        <v>709</v>
      </c>
      <c r="D87" s="344" t="s">
        <v>710</v>
      </c>
      <c r="E87" s="569">
        <v>8.7</v>
      </c>
      <c r="F87" s="106">
        <v>57600.0</v>
      </c>
      <c r="G87" s="696">
        <f t="shared" si="38"/>
        <v>78780</v>
      </c>
      <c r="H87" s="675">
        <v>38.4</v>
      </c>
      <c r="I87" s="676" t="str">
        <f>IFERROR(__xludf.DUMMYFUNCTION("GOOGLEFINANCE(D87,""changepct"")"),"#N/A")</f>
        <v>#N/A</v>
      </c>
      <c r="J87" s="678">
        <v>52.52</v>
      </c>
      <c r="K87" s="675"/>
      <c r="L87" s="697">
        <f t="shared" si="42"/>
        <v>14.12</v>
      </c>
      <c r="M87" s="698">
        <f t="shared" si="43"/>
        <v>0.3677083333</v>
      </c>
      <c r="N87" s="696">
        <f t="shared" si="44"/>
        <v>21180</v>
      </c>
      <c r="O87" s="682">
        <v>0.0114</v>
      </c>
      <c r="P87" s="106">
        <v>219.0</v>
      </c>
      <c r="Q87" s="257"/>
      <c r="R87" s="257"/>
      <c r="S87" s="257"/>
      <c r="T87" s="257"/>
      <c r="U87" s="657"/>
      <c r="V87" s="257"/>
      <c r="W87" s="258"/>
      <c r="X87" s="658"/>
    </row>
    <row r="88">
      <c r="A88" s="528"/>
      <c r="B88" s="528"/>
      <c r="C88" s="344" t="s">
        <v>506</v>
      </c>
      <c r="D88" s="344" t="s">
        <v>169</v>
      </c>
      <c r="E88" s="569">
        <v>8.8</v>
      </c>
      <c r="F88" s="106">
        <v>58150.0</v>
      </c>
      <c r="G88" s="696">
        <f t="shared" si="38"/>
        <v>37000</v>
      </c>
      <c r="H88" s="675">
        <v>58.15</v>
      </c>
      <c r="I88" s="676">
        <f>IFERROR(__xludf.DUMMYFUNCTION("GOOGLEFINANCE(D88,""changepct"")"),-2.22)</f>
        <v>-2.22</v>
      </c>
      <c r="J88" s="677">
        <f>IFERROR(__xludf.DUMMYFUNCTION("googlefinance(D88,""price"")"),37.0)</f>
        <v>37</v>
      </c>
      <c r="K88" s="675"/>
      <c r="L88" s="697">
        <f t="shared" si="42"/>
        <v>-21.15</v>
      </c>
      <c r="M88" s="698">
        <f t="shared" si="43"/>
        <v>-0.3637145314</v>
      </c>
      <c r="N88" s="696">
        <f t="shared" si="44"/>
        <v>-21150</v>
      </c>
      <c r="O88" s="682">
        <v>0.0162</v>
      </c>
      <c r="P88" s="217">
        <v>256.0</v>
      </c>
      <c r="Q88" s="257"/>
      <c r="R88" s="257"/>
      <c r="S88" s="257"/>
      <c r="T88" s="257"/>
      <c r="U88" s="657"/>
      <c r="V88" s="257"/>
      <c r="W88" s="258"/>
      <c r="X88" s="658"/>
    </row>
    <row r="89">
      <c r="A89" s="528"/>
      <c r="B89" s="528"/>
      <c r="C89" s="728" t="s">
        <v>683</v>
      </c>
      <c r="D89" s="364" t="s">
        <v>684</v>
      </c>
      <c r="E89" s="499">
        <v>8.1</v>
      </c>
      <c r="F89" s="106">
        <v>28500.0</v>
      </c>
      <c r="G89" s="696" t="str">
        <f t="shared" si="38"/>
        <v>#N/A</v>
      </c>
      <c r="H89" s="675">
        <v>28.5</v>
      </c>
      <c r="I89" s="676" t="str">
        <f>IFERROR(__xludf.DUMMYFUNCTION("GOOGLEFINANCE(D89,""changepct"")"),"#N/A")</f>
        <v>#N/A</v>
      </c>
      <c r="J89" s="677" t="str">
        <f>IFERROR(__xludf.DUMMYFUNCTION("googlefinance(D89,""price"")"),"#N/A")</f>
        <v>#N/A</v>
      </c>
      <c r="K89" s="675"/>
      <c r="L89" s="697" t="str">
        <f t="shared" si="42"/>
        <v>#N/A</v>
      </c>
      <c r="M89" s="698" t="str">
        <f t="shared" si="43"/>
        <v>#N/A</v>
      </c>
      <c r="N89" s="696" t="str">
        <f t="shared" si="44"/>
        <v>#N/A</v>
      </c>
      <c r="O89" s="682">
        <v>0.0541</v>
      </c>
      <c r="P89" s="217">
        <v>338.0</v>
      </c>
      <c r="Q89" s="257"/>
      <c r="R89" s="257"/>
      <c r="S89" s="257"/>
      <c r="T89" s="257"/>
      <c r="U89" s="657"/>
      <c r="V89" s="257"/>
      <c r="W89" s="258"/>
      <c r="X89" s="658"/>
    </row>
    <row r="90">
      <c r="A90" s="528"/>
      <c r="B90" s="528"/>
      <c r="C90" s="104" t="s">
        <v>166</v>
      </c>
      <c r="D90" s="104" t="s">
        <v>167</v>
      </c>
      <c r="E90" s="569">
        <v>8.9</v>
      </c>
      <c r="F90" s="106">
        <v>66100.0</v>
      </c>
      <c r="G90" s="696">
        <f t="shared" si="38"/>
        <v>91700</v>
      </c>
      <c r="H90" s="675">
        <v>6.61</v>
      </c>
      <c r="I90" s="676">
        <f>IFERROR(__xludf.DUMMYFUNCTION("GOOGLEFINANCE(D90,""changepct"")"),-1.5)</f>
        <v>-1.5</v>
      </c>
      <c r="J90" s="677">
        <f>IFERROR(__xludf.DUMMYFUNCTION("googlefinance(D90,""price"")"),9.17)</f>
        <v>9.17</v>
      </c>
      <c r="K90" s="675"/>
      <c r="L90" s="697">
        <f t="shared" si="42"/>
        <v>2.56</v>
      </c>
      <c r="M90" s="698">
        <f t="shared" si="43"/>
        <v>0.3872919818</v>
      </c>
      <c r="N90" s="696">
        <f t="shared" si="44"/>
        <v>25600</v>
      </c>
      <c r="O90" s="569" t="s">
        <v>128</v>
      </c>
      <c r="P90" s="514"/>
      <c r="Q90" s="257"/>
      <c r="R90" s="257"/>
      <c r="S90" s="257"/>
      <c r="T90" s="257"/>
      <c r="U90" s="657"/>
      <c r="V90" s="257"/>
      <c r="W90" s="258"/>
      <c r="X90" s="658"/>
    </row>
    <row r="91">
      <c r="A91" s="528"/>
      <c r="B91" s="528"/>
      <c r="C91" s="729" t="s">
        <v>661</v>
      </c>
      <c r="D91" s="104" t="s">
        <v>144</v>
      </c>
      <c r="E91" s="569">
        <v>8.1</v>
      </c>
      <c r="F91" s="106">
        <v>39100.0</v>
      </c>
      <c r="G91" s="106">
        <f t="shared" si="38"/>
        <v>15000</v>
      </c>
      <c r="H91" s="675">
        <v>7.82</v>
      </c>
      <c r="I91" s="676">
        <f>IFERROR(__xludf.DUMMYFUNCTION("GOOGLEFINANCE(D91,""changepct"")"),-2.91)</f>
        <v>-2.91</v>
      </c>
      <c r="J91" s="677">
        <f>IFERROR(__xludf.DUMMYFUNCTION("googlefinance(D91,""price"")"),3.0)</f>
        <v>3</v>
      </c>
      <c r="K91" s="675"/>
      <c r="L91" s="697">
        <f t="shared" si="42"/>
        <v>-4.82</v>
      </c>
      <c r="M91" s="698">
        <f t="shared" si="43"/>
        <v>-0.6163682864</v>
      </c>
      <c r="N91" s="696">
        <f t="shared" si="44"/>
        <v>-24100</v>
      </c>
      <c r="O91" s="569" t="s">
        <v>128</v>
      </c>
      <c r="P91" s="514"/>
      <c r="Q91" s="257"/>
      <c r="R91" s="257"/>
      <c r="S91" s="257"/>
      <c r="T91" s="257"/>
      <c r="U91" s="210" t="s">
        <v>144</v>
      </c>
      <c r="V91" s="211">
        <v>44088.0</v>
      </c>
      <c r="W91" s="675">
        <v>7.82</v>
      </c>
      <c r="X91" s="106">
        <v>39100.0</v>
      </c>
    </row>
    <row r="92">
      <c r="A92" s="528"/>
      <c r="B92" s="528"/>
      <c r="C92" s="104" t="s">
        <v>536</v>
      </c>
      <c r="D92" s="104" t="s">
        <v>136</v>
      </c>
      <c r="E92" s="569">
        <v>7.5</v>
      </c>
      <c r="F92" s="106">
        <v>33480.0</v>
      </c>
      <c r="G92" s="106">
        <f t="shared" si="38"/>
        <v>153990</v>
      </c>
      <c r="H92" s="675">
        <v>11.16</v>
      </c>
      <c r="I92" s="676">
        <f>IFERROR(__xludf.DUMMYFUNCTION("GOOGLEFINANCE(D92,""changepct"")"),-2.21)</f>
        <v>-2.21</v>
      </c>
      <c r="J92" s="677">
        <f>IFERROR(__xludf.DUMMYFUNCTION("googlefinance(D92,""price"")"),51.33)</f>
        <v>51.33</v>
      </c>
      <c r="K92" s="675"/>
      <c r="L92" s="697">
        <f t="shared" si="42"/>
        <v>40.17</v>
      </c>
      <c r="M92" s="698">
        <f t="shared" si="43"/>
        <v>3.599462366</v>
      </c>
      <c r="N92" s="696">
        <f t="shared" si="44"/>
        <v>120510</v>
      </c>
      <c r="O92" s="569" t="s">
        <v>128</v>
      </c>
      <c r="P92" s="514"/>
      <c r="Q92" s="257"/>
      <c r="R92" s="257"/>
      <c r="S92" s="257"/>
      <c r="T92" s="257"/>
      <c r="U92" s="210" t="s">
        <v>136</v>
      </c>
      <c r="V92" s="211">
        <v>44088.0</v>
      </c>
      <c r="W92" s="212">
        <v>11.16</v>
      </c>
      <c r="X92" s="213">
        <v>33480.0</v>
      </c>
    </row>
    <row r="93">
      <c r="A93" s="528"/>
      <c r="B93" s="528"/>
      <c r="C93" s="344" t="s">
        <v>783</v>
      </c>
      <c r="D93" s="344" t="s">
        <v>573</v>
      </c>
      <c r="E93" s="569">
        <v>8.1</v>
      </c>
      <c r="F93" s="106">
        <v>46700.0</v>
      </c>
      <c r="G93" s="696">
        <f t="shared" si="38"/>
        <v>42100</v>
      </c>
      <c r="H93" s="675">
        <v>4.67</v>
      </c>
      <c r="I93" s="676">
        <f>IFERROR(__xludf.DUMMYFUNCTION("GOOGLEFINANCE(D93,""changepct"")"),-2.55)</f>
        <v>-2.55</v>
      </c>
      <c r="J93" s="677">
        <f>IFERROR(__xludf.DUMMYFUNCTION("googlefinance(D93,""price"")"),4.21)</f>
        <v>4.21</v>
      </c>
      <c r="K93" s="675"/>
      <c r="L93" s="697">
        <f t="shared" si="42"/>
        <v>-0.46</v>
      </c>
      <c r="M93" s="698">
        <f t="shared" si="43"/>
        <v>-0.09850107066</v>
      </c>
      <c r="N93" s="696">
        <f t="shared" si="44"/>
        <v>-4600</v>
      </c>
      <c r="O93" s="569" t="s">
        <v>128</v>
      </c>
      <c r="P93" s="514"/>
      <c r="Q93" s="257"/>
      <c r="R93" s="257"/>
      <c r="S93" s="257"/>
      <c r="T93" s="257"/>
      <c r="U93" s="657"/>
      <c r="V93" s="257"/>
      <c r="W93" s="258"/>
      <c r="X93" s="658"/>
    </row>
    <row r="94">
      <c r="A94" s="528"/>
      <c r="B94" s="528"/>
      <c r="C94" s="571" t="s">
        <v>179</v>
      </c>
      <c r="D94" s="104" t="s">
        <v>180</v>
      </c>
      <c r="E94" s="569">
        <v>9.1</v>
      </c>
      <c r="F94" s="106">
        <v>86380.0</v>
      </c>
      <c r="G94" s="696">
        <f t="shared" si="38"/>
        <v>80080</v>
      </c>
      <c r="H94" s="675">
        <v>12.34</v>
      </c>
      <c r="I94" s="676">
        <f>IFERROR(__xludf.DUMMYFUNCTION("GOOGLEFINANCE(D94,""changepct"")"),-2.8)</f>
        <v>-2.8</v>
      </c>
      <c r="J94" s="677">
        <f>IFERROR(__xludf.DUMMYFUNCTION("googlefinance(D94,""price"")"),11.44)</f>
        <v>11.44</v>
      </c>
      <c r="K94" s="675"/>
      <c r="L94" s="697">
        <f t="shared" si="42"/>
        <v>-0.9</v>
      </c>
      <c r="M94" s="698">
        <f t="shared" si="43"/>
        <v>-0.07293354943</v>
      </c>
      <c r="N94" s="696">
        <f t="shared" si="44"/>
        <v>-6300</v>
      </c>
      <c r="O94" s="682">
        <v>0.0211</v>
      </c>
      <c r="P94" s="217">
        <v>578.0</v>
      </c>
      <c r="Q94" s="257"/>
      <c r="R94" s="257"/>
      <c r="S94" s="257"/>
      <c r="T94" s="257"/>
      <c r="U94" s="657"/>
      <c r="V94" s="257"/>
      <c r="W94" s="258"/>
      <c r="X94" s="658"/>
    </row>
    <row r="95">
      <c r="A95" s="528"/>
      <c r="B95" s="528"/>
      <c r="C95" s="571" t="s">
        <v>781</v>
      </c>
      <c r="D95" s="104" t="s">
        <v>782</v>
      </c>
      <c r="E95" s="569">
        <v>8.5</v>
      </c>
      <c r="F95" s="106">
        <v>34710.0</v>
      </c>
      <c r="G95" s="696">
        <f t="shared" si="38"/>
        <v>31610</v>
      </c>
      <c r="H95" s="675">
        <v>34.71</v>
      </c>
      <c r="I95" s="676">
        <f>IFERROR(__xludf.DUMMYFUNCTION("GOOGLEFINANCE(D95,""changepct"")"),-2.45)</f>
        <v>-2.45</v>
      </c>
      <c r="J95" s="677">
        <f>IFERROR(__xludf.DUMMYFUNCTION("googlefinance(D95,""price"")"),31.61)</f>
        <v>31.61</v>
      </c>
      <c r="K95" s="675"/>
      <c r="L95" s="697">
        <f t="shared" si="42"/>
        <v>-3.1</v>
      </c>
      <c r="M95" s="698">
        <f t="shared" si="43"/>
        <v>-0.08931143763</v>
      </c>
      <c r="N95" s="696">
        <f t="shared" si="44"/>
        <v>-3100</v>
      </c>
      <c r="O95" s="682">
        <v>0.0163</v>
      </c>
      <c r="P95" s="217">
        <v>176.0</v>
      </c>
      <c r="Q95" s="257"/>
      <c r="R95" s="257"/>
      <c r="S95" s="257"/>
      <c r="T95" s="257"/>
      <c r="U95" s="657"/>
      <c r="V95" s="257"/>
      <c r="W95" s="258"/>
      <c r="X95" s="658"/>
    </row>
    <row r="96">
      <c r="A96" s="528"/>
      <c r="B96" s="528"/>
      <c r="C96" s="600" t="s">
        <v>711</v>
      </c>
      <c r="D96" s="344" t="s">
        <v>550</v>
      </c>
      <c r="E96" s="569">
        <v>8.5</v>
      </c>
      <c r="F96" s="106">
        <v>44600.0</v>
      </c>
      <c r="G96" s="696">
        <f t="shared" si="38"/>
        <v>26950</v>
      </c>
      <c r="H96" s="675">
        <v>8.92</v>
      </c>
      <c r="I96" s="676">
        <f>IFERROR(__xludf.DUMMYFUNCTION("GOOGLEFINANCE(D96,""changepct"")"),-2.71)</f>
        <v>-2.71</v>
      </c>
      <c r="J96" s="677">
        <f>IFERROR(__xludf.DUMMYFUNCTION("googlefinance(D96,""price"")"),5.39)</f>
        <v>5.39</v>
      </c>
      <c r="K96" s="675"/>
      <c r="L96" s="697">
        <f t="shared" si="42"/>
        <v>-3.53</v>
      </c>
      <c r="M96" s="698">
        <f t="shared" si="43"/>
        <v>-0.3957399103</v>
      </c>
      <c r="N96" s="696">
        <f t="shared" si="44"/>
        <v>-17650</v>
      </c>
      <c r="O96" s="569" t="s">
        <v>128</v>
      </c>
      <c r="P96" s="514"/>
      <c r="Q96" s="257"/>
      <c r="R96" s="257"/>
      <c r="S96" s="257"/>
      <c r="T96" s="257"/>
      <c r="U96" s="657"/>
      <c r="V96" s="257"/>
      <c r="W96" s="258"/>
      <c r="X96" s="658"/>
    </row>
    <row r="97">
      <c r="A97" s="528"/>
      <c r="B97" s="528"/>
      <c r="C97" s="344" t="s">
        <v>357</v>
      </c>
      <c r="D97" s="344" t="s">
        <v>174</v>
      </c>
      <c r="E97" s="569">
        <v>8.7</v>
      </c>
      <c r="F97" s="106">
        <v>55500.0</v>
      </c>
      <c r="G97" s="696">
        <f t="shared" si="38"/>
        <v>39880</v>
      </c>
      <c r="H97" s="675">
        <v>27.75</v>
      </c>
      <c r="I97" s="676">
        <f>IFERROR(__xludf.DUMMYFUNCTION("GOOGLEFINANCE(D97,""changepct"")"),-3.11)</f>
        <v>-3.11</v>
      </c>
      <c r="J97" s="677">
        <f>IFERROR(__xludf.DUMMYFUNCTION("googlefinance(D97,""price"")"),19.94)</f>
        <v>19.94</v>
      </c>
      <c r="K97" s="675"/>
      <c r="L97" s="697">
        <f t="shared" si="42"/>
        <v>-7.81</v>
      </c>
      <c r="M97" s="698">
        <f t="shared" si="43"/>
        <v>-0.2814414414</v>
      </c>
      <c r="N97" s="696">
        <f t="shared" si="44"/>
        <v>-15620</v>
      </c>
      <c r="O97" s="682">
        <v>0.0094</v>
      </c>
      <c r="P97" s="106">
        <v>156.0</v>
      </c>
      <c r="Q97" s="257"/>
      <c r="R97" s="257"/>
      <c r="S97" s="257"/>
      <c r="T97" s="257"/>
      <c r="U97" s="657"/>
      <c r="V97" s="257"/>
      <c r="W97" s="258"/>
      <c r="X97" s="658"/>
    </row>
    <row r="98">
      <c r="A98" s="584"/>
      <c r="B98" s="563"/>
      <c r="C98" s="104" t="s">
        <v>166</v>
      </c>
      <c r="D98" s="104" t="s">
        <v>167</v>
      </c>
      <c r="E98" s="569">
        <v>8.9</v>
      </c>
      <c r="F98" s="222">
        <v>44450.0</v>
      </c>
      <c r="G98" s="696">
        <f t="shared" si="38"/>
        <v>45850</v>
      </c>
      <c r="H98" s="221">
        <v>8.89</v>
      </c>
      <c r="I98" s="676">
        <f>IFERROR(__xludf.DUMMYFUNCTION("GOOGLEFINANCE(D98,""changepct"")"),-1.5)</f>
        <v>-1.5</v>
      </c>
      <c r="J98" s="677">
        <f>IFERROR(__xludf.DUMMYFUNCTION("googlefinance(D98,""price"")"),9.17)</f>
        <v>9.17</v>
      </c>
      <c r="K98" s="584"/>
      <c r="L98" s="697">
        <f t="shared" si="42"/>
        <v>0.28</v>
      </c>
      <c r="M98" s="698">
        <f t="shared" si="43"/>
        <v>0.03149606299</v>
      </c>
      <c r="N98" s="696">
        <f t="shared" si="44"/>
        <v>1400</v>
      </c>
      <c r="O98" s="584"/>
      <c r="P98" s="690"/>
      <c r="Q98" s="237"/>
      <c r="R98" s="722"/>
      <c r="S98" s="722"/>
      <c r="T98" s="722"/>
      <c r="U98" s="104" t="s">
        <v>167</v>
      </c>
      <c r="V98" s="220">
        <v>44043.0</v>
      </c>
      <c r="W98" s="221">
        <v>8.89</v>
      </c>
      <c r="X98" s="222">
        <v>44450.0</v>
      </c>
    </row>
    <row r="99">
      <c r="A99" s="584"/>
      <c r="B99" s="563"/>
      <c r="C99" s="344" t="s">
        <v>709</v>
      </c>
      <c r="D99" s="344" t="s">
        <v>710</v>
      </c>
      <c r="E99" s="569">
        <v>8.7</v>
      </c>
      <c r="F99" s="222">
        <v>52510.0</v>
      </c>
      <c r="G99" s="696">
        <f t="shared" si="38"/>
        <v>52520</v>
      </c>
      <c r="H99" s="221">
        <v>52.51</v>
      </c>
      <c r="I99" s="676" t="str">
        <f>IFERROR(__xludf.DUMMYFUNCTION("GOOGLEFINANCE(D99,""changepct"")"),"#N/A")</f>
        <v>#N/A</v>
      </c>
      <c r="J99" s="678">
        <v>52.52</v>
      </c>
      <c r="K99" s="584"/>
      <c r="L99" s="697">
        <f t="shared" si="42"/>
        <v>0.01</v>
      </c>
      <c r="M99" s="698">
        <f t="shared" si="43"/>
        <v>0.0001904399162</v>
      </c>
      <c r="N99" s="696">
        <f t="shared" si="44"/>
        <v>10</v>
      </c>
      <c r="O99" s="584"/>
      <c r="P99" s="690"/>
      <c r="Q99" s="237"/>
      <c r="R99" s="722"/>
      <c r="S99" s="722"/>
      <c r="T99" s="722"/>
      <c r="U99" s="344" t="s">
        <v>710</v>
      </c>
      <c r="V99" s="220">
        <v>44043.0</v>
      </c>
      <c r="W99" s="221">
        <v>52.51</v>
      </c>
      <c r="X99" s="222">
        <v>52510.0</v>
      </c>
    </row>
    <row r="100">
      <c r="A100" s="584"/>
      <c r="B100" s="563"/>
      <c r="C100" s="344" t="s">
        <v>570</v>
      </c>
      <c r="D100" s="344" t="s">
        <v>158</v>
      </c>
      <c r="E100" s="569">
        <v>8.9</v>
      </c>
      <c r="F100" s="222">
        <v>42200.0</v>
      </c>
      <c r="G100" s="696">
        <f t="shared" si="38"/>
        <v>33770</v>
      </c>
      <c r="H100" s="221">
        <v>42.2</v>
      </c>
      <c r="I100" s="676">
        <f>IFERROR(__xludf.DUMMYFUNCTION("GOOGLEFINANCE(D100,""changepct"")"),-1.43)</f>
        <v>-1.43</v>
      </c>
      <c r="J100" s="677">
        <f>IFERROR(__xludf.DUMMYFUNCTION("googlefinance(D100,""price"")"),33.77)</f>
        <v>33.77</v>
      </c>
      <c r="K100" s="584"/>
      <c r="L100" s="697">
        <f t="shared" si="42"/>
        <v>-8.43</v>
      </c>
      <c r="M100" s="698">
        <f t="shared" si="43"/>
        <v>-0.1997630332</v>
      </c>
      <c r="N100" s="696">
        <f t="shared" si="44"/>
        <v>-8430</v>
      </c>
      <c r="O100" s="584"/>
      <c r="P100" s="690"/>
      <c r="Q100" s="237"/>
      <c r="R100" s="722"/>
      <c r="S100" s="722"/>
      <c r="T100" s="722"/>
      <c r="U100" s="344" t="s">
        <v>158</v>
      </c>
      <c r="V100" s="220">
        <v>44043.0</v>
      </c>
      <c r="W100" s="221">
        <v>42.2</v>
      </c>
      <c r="X100" s="222">
        <v>42200.0</v>
      </c>
    </row>
    <row r="101">
      <c r="A101" s="584"/>
      <c r="B101" s="563"/>
      <c r="C101" s="571" t="s">
        <v>179</v>
      </c>
      <c r="D101" s="104" t="s">
        <v>180</v>
      </c>
      <c r="E101" s="569">
        <v>9.1</v>
      </c>
      <c r="F101" s="222">
        <v>34240.0</v>
      </c>
      <c r="G101" s="696">
        <f t="shared" si="38"/>
        <v>22880</v>
      </c>
      <c r="H101" s="221">
        <v>17.12</v>
      </c>
      <c r="I101" s="676">
        <f>IFERROR(__xludf.DUMMYFUNCTION("GOOGLEFINANCE(D101,""changepct"")"),-2.8)</f>
        <v>-2.8</v>
      </c>
      <c r="J101" s="677">
        <f>IFERROR(__xludf.DUMMYFUNCTION("googlefinance(D101,""price"")"),11.44)</f>
        <v>11.44</v>
      </c>
      <c r="K101" s="584"/>
      <c r="L101" s="697">
        <f t="shared" si="42"/>
        <v>-5.68</v>
      </c>
      <c r="M101" s="698">
        <f t="shared" si="43"/>
        <v>-0.3317757009</v>
      </c>
      <c r="N101" s="696">
        <f t="shared" si="44"/>
        <v>-11360</v>
      </c>
      <c r="O101" s="584"/>
      <c r="P101" s="690"/>
      <c r="Q101" s="237"/>
      <c r="R101" s="722"/>
      <c r="S101" s="722"/>
      <c r="T101" s="722"/>
      <c r="U101" s="104" t="s">
        <v>180</v>
      </c>
      <c r="V101" s="220">
        <v>44043.0</v>
      </c>
      <c r="W101" s="221">
        <v>17.12</v>
      </c>
      <c r="X101" s="222">
        <v>34240.0</v>
      </c>
    </row>
    <row r="102">
      <c r="A102" s="584"/>
      <c r="B102" s="563"/>
      <c r="C102" s="571" t="s">
        <v>781</v>
      </c>
      <c r="D102" s="104" t="s">
        <v>782</v>
      </c>
      <c r="E102" s="569">
        <v>8.5</v>
      </c>
      <c r="F102" s="222">
        <v>47940.0</v>
      </c>
      <c r="G102" s="696">
        <f t="shared" si="38"/>
        <v>31610</v>
      </c>
      <c r="H102" s="221">
        <v>47.94</v>
      </c>
      <c r="I102" s="676">
        <f>IFERROR(__xludf.DUMMYFUNCTION("GOOGLEFINANCE(D102,""changepct"")"),-2.45)</f>
        <v>-2.45</v>
      </c>
      <c r="J102" s="677">
        <f>IFERROR(__xludf.DUMMYFUNCTION("googlefinance(D102,""price"")"),31.61)</f>
        <v>31.61</v>
      </c>
      <c r="K102" s="584"/>
      <c r="L102" s="697">
        <f t="shared" si="42"/>
        <v>-16.33</v>
      </c>
      <c r="M102" s="698">
        <f t="shared" si="43"/>
        <v>-0.340634126</v>
      </c>
      <c r="N102" s="696">
        <f t="shared" si="44"/>
        <v>-16330</v>
      </c>
      <c r="O102" s="584"/>
      <c r="P102" s="690"/>
      <c r="Q102" s="237"/>
      <c r="R102" s="722"/>
      <c r="S102" s="722"/>
      <c r="T102" s="722"/>
      <c r="U102" s="104" t="s">
        <v>782</v>
      </c>
      <c r="V102" s="220">
        <v>44043.0</v>
      </c>
      <c r="W102" s="221">
        <v>47.94</v>
      </c>
      <c r="X102" s="222">
        <v>47940.0</v>
      </c>
    </row>
    <row r="103">
      <c r="A103" s="584"/>
      <c r="B103" s="563"/>
      <c r="C103" s="600" t="s">
        <v>711</v>
      </c>
      <c r="D103" s="344" t="s">
        <v>550</v>
      </c>
      <c r="E103" s="569">
        <v>8.5</v>
      </c>
      <c r="F103" s="222">
        <v>26540.0</v>
      </c>
      <c r="G103" s="696">
        <f t="shared" si="38"/>
        <v>10780</v>
      </c>
      <c r="H103" s="221">
        <v>13.27</v>
      </c>
      <c r="I103" s="676">
        <f>IFERROR(__xludf.DUMMYFUNCTION("GOOGLEFINANCE(D103,""changepct"")"),-2.71)</f>
        <v>-2.71</v>
      </c>
      <c r="J103" s="677">
        <f>IFERROR(__xludf.DUMMYFUNCTION("googlefinance(D103,""price"")"),5.39)</f>
        <v>5.39</v>
      </c>
      <c r="K103" s="584"/>
      <c r="L103" s="697">
        <f t="shared" si="42"/>
        <v>-7.88</v>
      </c>
      <c r="M103" s="698">
        <f t="shared" si="43"/>
        <v>-0.5938206481</v>
      </c>
      <c r="N103" s="696">
        <f t="shared" si="44"/>
        <v>-15760</v>
      </c>
      <c r="O103" s="584"/>
      <c r="P103" s="690"/>
      <c r="Q103" s="237"/>
      <c r="R103" s="722"/>
      <c r="S103" s="722"/>
      <c r="T103" s="722"/>
      <c r="U103" s="344" t="s">
        <v>550</v>
      </c>
      <c r="V103" s="220">
        <v>44043.0</v>
      </c>
      <c r="W103" s="221">
        <v>13.27</v>
      </c>
      <c r="X103" s="222">
        <v>26540.0</v>
      </c>
    </row>
    <row r="104">
      <c r="A104" s="584"/>
      <c r="B104" s="563"/>
      <c r="C104" s="344" t="s">
        <v>357</v>
      </c>
      <c r="D104" s="344" t="s">
        <v>174</v>
      </c>
      <c r="E104" s="569">
        <v>8.7</v>
      </c>
      <c r="F104" s="222">
        <v>36330.0</v>
      </c>
      <c r="G104" s="696">
        <f t="shared" si="38"/>
        <v>19940</v>
      </c>
      <c r="H104" s="221">
        <v>36.33</v>
      </c>
      <c r="I104" s="676">
        <f>IFERROR(__xludf.DUMMYFUNCTION("GOOGLEFINANCE(D104,""changepct"")"),-3.11)</f>
        <v>-3.11</v>
      </c>
      <c r="J104" s="677">
        <f>IFERROR(__xludf.DUMMYFUNCTION("googlefinance(D104,""price"")"),19.94)</f>
        <v>19.94</v>
      </c>
      <c r="K104" s="584"/>
      <c r="L104" s="697">
        <f t="shared" si="42"/>
        <v>-16.39</v>
      </c>
      <c r="M104" s="698">
        <f t="shared" si="43"/>
        <v>-0.4511423066</v>
      </c>
      <c r="N104" s="696">
        <f t="shared" si="44"/>
        <v>-16390</v>
      </c>
      <c r="O104" s="584"/>
      <c r="P104" s="690"/>
      <c r="Q104" s="237"/>
      <c r="R104" s="722"/>
      <c r="S104" s="722"/>
      <c r="T104" s="722"/>
      <c r="U104" s="344" t="s">
        <v>174</v>
      </c>
      <c r="V104" s="220">
        <v>44043.0</v>
      </c>
      <c r="W104" s="221">
        <v>36.33</v>
      </c>
      <c r="X104" s="222">
        <v>36330.0</v>
      </c>
    </row>
    <row r="105">
      <c r="A105" s="584"/>
      <c r="B105" s="563"/>
      <c r="C105" s="104" t="s">
        <v>780</v>
      </c>
      <c r="D105" s="104" t="s">
        <v>688</v>
      </c>
      <c r="E105" s="569">
        <v>8.9</v>
      </c>
      <c r="F105" s="222">
        <v>38220.0</v>
      </c>
      <c r="G105" s="696">
        <f t="shared" si="38"/>
        <v>39480</v>
      </c>
      <c r="H105" s="221">
        <v>12.74</v>
      </c>
      <c r="I105" s="676">
        <f>IFERROR(__xludf.DUMMYFUNCTION("GOOGLEFINANCE(D105,""changepct"")"),-1.72)</f>
        <v>-1.72</v>
      </c>
      <c r="J105" s="677">
        <f>IFERROR(__xludf.DUMMYFUNCTION("googlefinance(D105,""price"")"),13.16)</f>
        <v>13.16</v>
      </c>
      <c r="K105" s="584"/>
      <c r="L105" s="697">
        <f t="shared" si="42"/>
        <v>0.42</v>
      </c>
      <c r="M105" s="698">
        <f t="shared" si="43"/>
        <v>0.03296703297</v>
      </c>
      <c r="N105" s="696">
        <f t="shared" si="44"/>
        <v>1260</v>
      </c>
      <c r="O105" s="584"/>
      <c r="P105" s="690"/>
      <c r="Q105" s="237"/>
      <c r="R105" s="722"/>
      <c r="S105" s="722"/>
      <c r="T105" s="722"/>
      <c r="U105" s="104" t="s">
        <v>688</v>
      </c>
      <c r="V105" s="220">
        <v>44083.0</v>
      </c>
      <c r="W105" s="221">
        <v>12.74</v>
      </c>
      <c r="X105" s="222">
        <v>38220.0</v>
      </c>
    </row>
    <row r="106">
      <c r="A106" s="584"/>
      <c r="B106" s="563"/>
      <c r="C106" s="344" t="s">
        <v>783</v>
      </c>
      <c r="D106" s="344" t="s">
        <v>573</v>
      </c>
      <c r="E106" s="569">
        <v>8.1</v>
      </c>
      <c r="F106" s="222">
        <v>33450.0</v>
      </c>
      <c r="G106" s="696">
        <f t="shared" si="38"/>
        <v>21050</v>
      </c>
      <c r="H106" s="221">
        <v>6.69</v>
      </c>
      <c r="I106" s="676">
        <f>IFERROR(__xludf.DUMMYFUNCTION("GOOGLEFINANCE(D106,""changepct"")"),-2.55)</f>
        <v>-2.55</v>
      </c>
      <c r="J106" s="677">
        <f>IFERROR(__xludf.DUMMYFUNCTION("googlefinance(D106,""price"")"),4.21)</f>
        <v>4.21</v>
      </c>
      <c r="K106" s="584"/>
      <c r="L106" s="697">
        <f t="shared" si="42"/>
        <v>-2.48</v>
      </c>
      <c r="M106" s="698">
        <f t="shared" si="43"/>
        <v>-0.3707025411</v>
      </c>
      <c r="N106" s="696">
        <f t="shared" si="44"/>
        <v>-12400</v>
      </c>
      <c r="O106" s="584"/>
      <c r="P106" s="690"/>
      <c r="Q106" s="237"/>
      <c r="R106" s="722"/>
      <c r="S106" s="722"/>
      <c r="T106" s="722"/>
      <c r="U106" s="344" t="s">
        <v>573</v>
      </c>
      <c r="V106" s="220">
        <v>44043.0</v>
      </c>
      <c r="W106" s="221">
        <v>6.69</v>
      </c>
      <c r="X106" s="222">
        <v>33450.0</v>
      </c>
    </row>
    <row r="107">
      <c r="A107" s="173"/>
      <c r="B107" s="13" t="s">
        <v>89</v>
      </c>
      <c r="C107" s="173"/>
      <c r="D107" s="173"/>
      <c r="E107" s="173"/>
      <c r="F107" s="693">
        <f t="shared" ref="F107:G107" si="45">SUM(F81:F106)</f>
        <v>1407115</v>
      </c>
      <c r="G107" s="693" t="str">
        <f t="shared" si="45"/>
        <v>#N/A</v>
      </c>
      <c r="H107" s="173"/>
      <c r="I107" s="173"/>
      <c r="J107" s="173"/>
      <c r="K107" s="173"/>
      <c r="L107" s="173"/>
      <c r="M107" s="695" t="str">
        <f>N107/C140</f>
        <v>#N/A</v>
      </c>
      <c r="N107" s="693" t="str">
        <f>SUM(N81:N106)</f>
        <v>#N/A</v>
      </c>
      <c r="O107" s="173"/>
      <c r="P107" s="693">
        <f>SUM(P83:P97)</f>
        <v>2198</v>
      </c>
      <c r="Q107" s="238" t="s">
        <v>89</v>
      </c>
      <c r="R107" s="260"/>
      <c r="S107" s="260"/>
      <c r="T107" s="260"/>
      <c r="U107" s="238" t="s">
        <v>89</v>
      </c>
      <c r="V107" s="260"/>
      <c r="W107" s="260"/>
      <c r="X107" s="240">
        <f>SUM(X81:X106)</f>
        <v>428460</v>
      </c>
    </row>
    <row r="108">
      <c r="A108" s="13" t="s">
        <v>826</v>
      </c>
      <c r="B108" s="173"/>
      <c r="C108" s="13" t="s">
        <v>827</v>
      </c>
      <c r="D108" s="13" t="s">
        <v>4</v>
      </c>
      <c r="E108" s="13" t="s">
        <v>5</v>
      </c>
      <c r="F108" s="504" t="s">
        <v>895</v>
      </c>
      <c r="G108" s="649" t="s">
        <v>730</v>
      </c>
      <c r="H108" s="505" t="s">
        <v>896</v>
      </c>
      <c r="I108" s="506" t="s">
        <v>10</v>
      </c>
      <c r="J108" s="673" t="s">
        <v>11</v>
      </c>
      <c r="K108" s="508" t="s">
        <v>476</v>
      </c>
      <c r="L108" s="507" t="s">
        <v>13</v>
      </c>
      <c r="M108" s="504" t="s">
        <v>897</v>
      </c>
      <c r="N108" s="508" t="s">
        <v>329</v>
      </c>
      <c r="O108" s="13" t="s">
        <v>16</v>
      </c>
      <c r="P108" s="13" t="s">
        <v>17</v>
      </c>
      <c r="Q108" s="238" t="s">
        <v>21</v>
      </c>
      <c r="R108" s="238" t="s">
        <v>22</v>
      </c>
      <c r="S108" s="238" t="s">
        <v>23</v>
      </c>
      <c r="T108" s="238" t="s">
        <v>24</v>
      </c>
      <c r="U108" s="238" t="s">
        <v>25</v>
      </c>
      <c r="V108" s="238" t="s">
        <v>26</v>
      </c>
      <c r="W108" s="238" t="s">
        <v>27</v>
      </c>
      <c r="X108" s="238" t="s">
        <v>28</v>
      </c>
    </row>
    <row r="109">
      <c r="A109" s="565" t="s">
        <v>733</v>
      </c>
      <c r="B109" s="681">
        <f>G111/D144</f>
        <v>0.03328151658</v>
      </c>
      <c r="C109" s="344" t="s">
        <v>828</v>
      </c>
      <c r="D109" s="344" t="s">
        <v>408</v>
      </c>
      <c r="E109" s="651">
        <v>8.4</v>
      </c>
      <c r="F109" s="106">
        <v>164300.0</v>
      </c>
      <c r="G109" s="696">
        <f t="shared" ref="G109:G110" si="46">F109+N109</f>
        <v>87800</v>
      </c>
      <c r="H109" s="675">
        <v>164.3</v>
      </c>
      <c r="I109" s="676">
        <f>IFERROR(__xludf.DUMMYFUNCTION("GOOGLEFINANCE(D109,""changepct"")"),0.8)</f>
        <v>0.8</v>
      </c>
      <c r="J109" s="516">
        <f>IFERROR(__xludf.DUMMYFUNCTION("googlefinance(D109,""price"")"),87.8)</f>
        <v>87.8</v>
      </c>
      <c r="K109" s="697"/>
      <c r="L109" s="697">
        <f t="shared" ref="L109:L110" si="47">J109-H109</f>
        <v>-76.5</v>
      </c>
      <c r="M109" s="698">
        <f t="shared" ref="M109:M110" si="48">J109/H109-1</f>
        <v>-0.4656116859</v>
      </c>
      <c r="N109" s="696">
        <f t="shared" ref="N109:N110" si="49">F109*M109</f>
        <v>-76500</v>
      </c>
      <c r="O109" s="682">
        <v>0.0182</v>
      </c>
      <c r="P109" s="106">
        <v>746.0</v>
      </c>
      <c r="Q109" s="257"/>
      <c r="R109" s="257"/>
      <c r="S109" s="257"/>
      <c r="T109" s="257"/>
      <c r="U109" s="257"/>
      <c r="V109" s="257"/>
      <c r="W109" s="257"/>
      <c r="X109" s="257"/>
    </row>
    <row r="110">
      <c r="A110" s="528"/>
      <c r="B110" s="528"/>
      <c r="C110" s="344" t="s">
        <v>829</v>
      </c>
      <c r="D110" s="344" t="s">
        <v>639</v>
      </c>
      <c r="E110" s="651">
        <v>8.2</v>
      </c>
      <c r="F110" s="106">
        <v>121380.0</v>
      </c>
      <c r="G110" s="696">
        <f t="shared" si="46"/>
        <v>92620</v>
      </c>
      <c r="H110" s="675">
        <v>121.38</v>
      </c>
      <c r="I110" s="676">
        <f>IFERROR(__xludf.DUMMYFUNCTION("GOOGLEFINANCE(D110,""changepct"")"),0.59)</f>
        <v>0.59</v>
      </c>
      <c r="J110" s="516">
        <f>IFERROR(__xludf.DUMMYFUNCTION("googlefinance(D110,""price"")"),92.62)</f>
        <v>92.62</v>
      </c>
      <c r="K110" s="697"/>
      <c r="L110" s="697">
        <f t="shared" si="47"/>
        <v>-28.76</v>
      </c>
      <c r="M110" s="698">
        <f t="shared" si="48"/>
        <v>-0.2369418356</v>
      </c>
      <c r="N110" s="696">
        <f t="shared" si="49"/>
        <v>-28760</v>
      </c>
      <c r="O110" s="682">
        <v>0.0178</v>
      </c>
      <c r="P110" s="106">
        <v>543.0</v>
      </c>
      <c r="Q110" s="257"/>
      <c r="R110" s="257"/>
      <c r="S110" s="257"/>
      <c r="T110" s="257"/>
      <c r="U110" s="257"/>
      <c r="V110" s="257"/>
      <c r="W110" s="257"/>
      <c r="X110" s="257"/>
    </row>
    <row r="111">
      <c r="A111" s="173"/>
      <c r="B111" s="13" t="s">
        <v>89</v>
      </c>
      <c r="C111" s="173"/>
      <c r="D111" s="173"/>
      <c r="E111" s="173"/>
      <c r="F111" s="693">
        <f t="shared" ref="F111:G111" si="50">SUM(F109:F110)</f>
        <v>285680</v>
      </c>
      <c r="G111" s="693">
        <f t="shared" si="50"/>
        <v>180420</v>
      </c>
      <c r="H111" s="173"/>
      <c r="I111" s="173"/>
      <c r="J111" s="173"/>
      <c r="K111" s="173"/>
      <c r="L111" s="173"/>
      <c r="M111" s="695">
        <f>N111/F111</f>
        <v>-0.3684542145</v>
      </c>
      <c r="N111" s="693">
        <f>SUM(N109:N110)</f>
        <v>-105260</v>
      </c>
      <c r="O111" s="173"/>
      <c r="P111" s="693">
        <f>SUM(P109:P110)</f>
        <v>1289</v>
      </c>
      <c r="Q111" s="238" t="s">
        <v>89</v>
      </c>
      <c r="R111" s="260"/>
      <c r="S111" s="260"/>
      <c r="T111" s="260"/>
      <c r="U111" s="238" t="s">
        <v>89</v>
      </c>
      <c r="V111" s="260"/>
      <c r="W111" s="260"/>
      <c r="X111" s="260"/>
    </row>
    <row r="112">
      <c r="A112" s="13" t="s">
        <v>784</v>
      </c>
      <c r="B112" s="13" t="s">
        <v>830</v>
      </c>
      <c r="C112" s="13" t="s">
        <v>182</v>
      </c>
      <c r="D112" s="13" t="s">
        <v>4</v>
      </c>
      <c r="E112" s="13" t="s">
        <v>5</v>
      </c>
      <c r="F112" s="504" t="s">
        <v>895</v>
      </c>
      <c r="G112" s="505" t="s">
        <v>786</v>
      </c>
      <c r="H112" s="505" t="s">
        <v>896</v>
      </c>
      <c r="I112" s="506" t="s">
        <v>10</v>
      </c>
      <c r="J112" s="673" t="s">
        <v>11</v>
      </c>
      <c r="K112" s="508" t="s">
        <v>476</v>
      </c>
      <c r="L112" s="507" t="s">
        <v>13</v>
      </c>
      <c r="M112" s="504" t="s">
        <v>897</v>
      </c>
      <c r="N112" s="508" t="s">
        <v>329</v>
      </c>
      <c r="O112" s="13" t="s">
        <v>16</v>
      </c>
      <c r="P112" s="13" t="s">
        <v>17</v>
      </c>
      <c r="Q112" s="238" t="s">
        <v>21</v>
      </c>
      <c r="R112" s="238" t="s">
        <v>22</v>
      </c>
      <c r="S112" s="238" t="s">
        <v>23</v>
      </c>
      <c r="T112" s="238" t="s">
        <v>24</v>
      </c>
      <c r="U112" s="238" t="s">
        <v>25</v>
      </c>
      <c r="V112" s="238" t="s">
        <v>26</v>
      </c>
      <c r="W112" s="238" t="s">
        <v>27</v>
      </c>
      <c r="X112" s="238" t="s">
        <v>28</v>
      </c>
    </row>
    <row r="113">
      <c r="A113" s="565" t="s">
        <v>733</v>
      </c>
      <c r="B113" s="681">
        <f>G137/D144</f>
        <v>0</v>
      </c>
      <c r="C113" s="601" t="s">
        <v>413</v>
      </c>
      <c r="D113" s="344" t="s">
        <v>185</v>
      </c>
      <c r="E113" s="569">
        <v>8.1</v>
      </c>
      <c r="F113" s="106">
        <v>350000.0</v>
      </c>
      <c r="G113" s="106">
        <f t="shared" ref="G113:G114" si="51">F113+N113</f>
        <v>0</v>
      </c>
      <c r="H113" s="110">
        <v>9134.147</v>
      </c>
      <c r="I113" s="676"/>
      <c r="J113" s="730"/>
      <c r="K113" s="212"/>
      <c r="L113" s="697">
        <f t="shared" ref="L113:L136" si="52">J113-H113</f>
        <v>-9134.147</v>
      </c>
      <c r="M113" s="698">
        <f t="shared" ref="M113:M114" si="53">J113/H113-1</f>
        <v>-1</v>
      </c>
      <c r="N113" s="696">
        <f t="shared" ref="N113:N136" si="54">F113*M113</f>
        <v>-350000</v>
      </c>
      <c r="O113" s="528"/>
      <c r="P113" s="528"/>
      <c r="Q113" s="657"/>
      <c r="R113" s="257"/>
      <c r="S113" s="731"/>
      <c r="T113" s="658"/>
      <c r="U113" s="257"/>
      <c r="V113" s="257"/>
      <c r="W113" s="258"/>
      <c r="X113" s="658"/>
    </row>
    <row r="114">
      <c r="A114" s="528"/>
      <c r="B114" s="528"/>
      <c r="C114" s="344" t="s">
        <v>832</v>
      </c>
      <c r="D114" s="344" t="s">
        <v>204</v>
      </c>
      <c r="E114" s="569">
        <v>7.8</v>
      </c>
      <c r="F114" s="213">
        <v>70000.0</v>
      </c>
      <c r="G114" s="106">
        <f t="shared" si="51"/>
        <v>0</v>
      </c>
      <c r="H114" s="665">
        <v>41.021</v>
      </c>
      <c r="I114" s="676"/>
      <c r="J114" s="730"/>
      <c r="K114" s="212"/>
      <c r="L114" s="697">
        <f t="shared" si="52"/>
        <v>-41.021</v>
      </c>
      <c r="M114" s="698">
        <f t="shared" si="53"/>
        <v>-1</v>
      </c>
      <c r="N114" s="696">
        <f t="shared" si="54"/>
        <v>-70000</v>
      </c>
      <c r="O114" s="528"/>
      <c r="P114" s="528"/>
      <c r="Q114" s="657"/>
      <c r="R114" s="257"/>
      <c r="S114" s="731"/>
      <c r="T114" s="658"/>
      <c r="U114" s="257"/>
      <c r="V114" s="257"/>
      <c r="W114" s="258"/>
      <c r="X114" s="658"/>
    </row>
    <row r="115">
      <c r="A115" s="528"/>
      <c r="B115" s="528"/>
      <c r="C115" s="344" t="s">
        <v>359</v>
      </c>
      <c r="D115" s="563" t="s">
        <v>360</v>
      </c>
      <c r="E115" s="569">
        <v>7.7</v>
      </c>
      <c r="F115" s="213">
        <v>45000.0</v>
      </c>
      <c r="G115" s="106">
        <v>0.0</v>
      </c>
      <c r="H115" s="665">
        <v>67.81</v>
      </c>
      <c r="I115" s="676"/>
      <c r="J115" s="730"/>
      <c r="K115" s="230">
        <v>72.05</v>
      </c>
      <c r="L115" s="697">
        <f t="shared" si="52"/>
        <v>-67.81</v>
      </c>
      <c r="M115" s="698">
        <f>K115/H115-1</f>
        <v>0.06252765079</v>
      </c>
      <c r="N115" s="696">
        <f t="shared" si="54"/>
        <v>2813.744286</v>
      </c>
      <c r="O115" s="528"/>
      <c r="P115" s="528"/>
      <c r="Q115" s="210" t="s">
        <v>360</v>
      </c>
      <c r="R115" s="211">
        <v>44021.0</v>
      </c>
      <c r="S115" s="230">
        <v>72.05</v>
      </c>
      <c r="T115" s="213">
        <v>47814.0</v>
      </c>
      <c r="U115" s="257"/>
      <c r="V115" s="257"/>
      <c r="W115" s="258"/>
      <c r="X115" s="658"/>
    </row>
    <row r="116">
      <c r="A116" s="528"/>
      <c r="B116" s="528"/>
      <c r="C116" s="344" t="s">
        <v>359</v>
      </c>
      <c r="D116" s="563" t="s">
        <v>360</v>
      </c>
      <c r="E116" s="569">
        <v>7.7</v>
      </c>
      <c r="F116" s="213">
        <v>52000.0</v>
      </c>
      <c r="G116" s="106">
        <f>F116+N116</f>
        <v>0</v>
      </c>
      <c r="H116" s="212">
        <v>71.59</v>
      </c>
      <c r="I116" s="676"/>
      <c r="J116" s="730"/>
      <c r="K116" s="230"/>
      <c r="L116" s="697">
        <f t="shared" si="52"/>
        <v>-71.59</v>
      </c>
      <c r="M116" s="698">
        <f>J116/H116-1</f>
        <v>-1</v>
      </c>
      <c r="N116" s="696">
        <f t="shared" si="54"/>
        <v>-52000</v>
      </c>
      <c r="O116" s="528"/>
      <c r="P116" s="528"/>
      <c r="Q116" s="210"/>
      <c r="R116" s="211"/>
      <c r="S116" s="230"/>
      <c r="T116" s="213"/>
      <c r="U116" s="210" t="s">
        <v>360</v>
      </c>
      <c r="V116" s="211">
        <v>44023.0</v>
      </c>
      <c r="W116" s="212">
        <v>71.59</v>
      </c>
      <c r="X116" s="213">
        <v>52000.0</v>
      </c>
    </row>
    <row r="117">
      <c r="A117" s="528"/>
      <c r="B117" s="528"/>
      <c r="C117" s="344" t="s">
        <v>692</v>
      </c>
      <c r="D117" s="563" t="s">
        <v>418</v>
      </c>
      <c r="E117" s="569">
        <v>7.9</v>
      </c>
      <c r="F117" s="213">
        <v>54000.0</v>
      </c>
      <c r="G117" s="106">
        <v>0.0</v>
      </c>
      <c r="H117" s="665">
        <v>51.26</v>
      </c>
      <c r="I117" s="676"/>
      <c r="J117" s="730"/>
      <c r="K117" s="230">
        <v>56.52</v>
      </c>
      <c r="L117" s="697">
        <f t="shared" si="52"/>
        <v>-51.26</v>
      </c>
      <c r="M117" s="698">
        <f>K117/H117-1</f>
        <v>0.1026141241</v>
      </c>
      <c r="N117" s="696">
        <f t="shared" si="54"/>
        <v>5541.1627</v>
      </c>
      <c r="O117" s="528"/>
      <c r="P117" s="528"/>
      <c r="Q117" s="210" t="s">
        <v>418</v>
      </c>
      <c r="R117" s="211">
        <v>44021.0</v>
      </c>
      <c r="S117" s="230">
        <v>56.52</v>
      </c>
      <c r="T117" s="213">
        <v>59541.0</v>
      </c>
      <c r="U117" s="257"/>
      <c r="V117" s="257"/>
      <c r="W117" s="258"/>
      <c r="X117" s="658"/>
    </row>
    <row r="118">
      <c r="A118" s="528"/>
      <c r="B118" s="528"/>
      <c r="C118" s="344" t="s">
        <v>692</v>
      </c>
      <c r="D118" s="563" t="s">
        <v>418</v>
      </c>
      <c r="E118" s="569">
        <v>7.9</v>
      </c>
      <c r="F118" s="213">
        <v>55000.0</v>
      </c>
      <c r="G118" s="106">
        <f>F118+N118</f>
        <v>0</v>
      </c>
      <c r="H118" s="212">
        <v>55.57</v>
      </c>
      <c r="I118" s="676"/>
      <c r="J118" s="730"/>
      <c r="K118" s="732"/>
      <c r="L118" s="697">
        <f t="shared" si="52"/>
        <v>-55.57</v>
      </c>
      <c r="M118" s="698">
        <f>J118/H118-1</f>
        <v>-1</v>
      </c>
      <c r="N118" s="696">
        <f t="shared" si="54"/>
        <v>-55000</v>
      </c>
      <c r="O118" s="528"/>
      <c r="P118" s="528"/>
      <c r="Q118" s="210"/>
      <c r="R118" s="211"/>
      <c r="S118" s="732"/>
      <c r="T118" s="213"/>
      <c r="U118" s="210" t="s">
        <v>418</v>
      </c>
      <c r="V118" s="211">
        <v>44023.0</v>
      </c>
      <c r="W118" s="212">
        <v>55.57</v>
      </c>
      <c r="X118" s="213">
        <v>55000.0</v>
      </c>
    </row>
    <row r="119">
      <c r="A119" s="528"/>
      <c r="B119" s="528"/>
      <c r="C119" s="104" t="s">
        <v>835</v>
      </c>
      <c r="D119" s="104" t="s">
        <v>836</v>
      </c>
      <c r="E119" s="569">
        <v>7.1</v>
      </c>
      <c r="F119" s="213">
        <v>43000.0</v>
      </c>
      <c r="G119" s="106">
        <v>0.0</v>
      </c>
      <c r="H119" s="665">
        <v>0.01621</v>
      </c>
      <c r="I119" s="676"/>
      <c r="J119" s="730"/>
      <c r="K119" s="732">
        <v>0.017989</v>
      </c>
      <c r="L119" s="697">
        <f t="shared" si="52"/>
        <v>-0.01621</v>
      </c>
      <c r="M119" s="698">
        <f>K119/H119-1</f>
        <v>0.1097470697</v>
      </c>
      <c r="N119" s="696">
        <f t="shared" si="54"/>
        <v>4719.123998</v>
      </c>
      <c r="O119" s="528"/>
      <c r="P119" s="528"/>
      <c r="Q119" s="210" t="s">
        <v>836</v>
      </c>
      <c r="R119" s="211">
        <v>44020.0</v>
      </c>
      <c r="S119" s="732">
        <v>0.017989</v>
      </c>
      <c r="T119" s="213">
        <v>47719.0</v>
      </c>
      <c r="U119" s="257"/>
      <c r="V119" s="257"/>
      <c r="W119" s="258"/>
      <c r="X119" s="658"/>
    </row>
    <row r="120">
      <c r="A120" s="528"/>
      <c r="B120" s="528"/>
      <c r="C120" s="104" t="s">
        <v>884</v>
      </c>
      <c r="D120" s="104" t="s">
        <v>918</v>
      </c>
      <c r="E120" s="569">
        <v>7.9</v>
      </c>
      <c r="F120" s="213">
        <v>78000.0</v>
      </c>
      <c r="G120" s="106">
        <f>F120+N120</f>
        <v>0</v>
      </c>
      <c r="H120" s="665">
        <v>0.222</v>
      </c>
      <c r="I120" s="676"/>
      <c r="J120" s="730"/>
      <c r="K120" s="697"/>
      <c r="L120" s="697">
        <f t="shared" si="52"/>
        <v>-0.222</v>
      </c>
      <c r="M120" s="698">
        <f>J120/H120-1</f>
        <v>-1</v>
      </c>
      <c r="N120" s="696">
        <f t="shared" si="54"/>
        <v>-78000</v>
      </c>
      <c r="O120" s="528"/>
      <c r="P120" s="528"/>
      <c r="Q120" s="657"/>
      <c r="R120" s="257"/>
      <c r="S120" s="731"/>
      <c r="T120" s="658"/>
      <c r="U120" s="257"/>
      <c r="V120" s="257"/>
      <c r="W120" s="258"/>
      <c r="X120" s="658"/>
    </row>
    <row r="121">
      <c r="A121" s="528"/>
      <c r="B121" s="528"/>
      <c r="C121" s="104" t="s">
        <v>187</v>
      </c>
      <c r="D121" s="104" t="s">
        <v>188</v>
      </c>
      <c r="E121" s="569">
        <v>8.1</v>
      </c>
      <c r="F121" s="213">
        <v>120000.0</v>
      </c>
      <c r="G121" s="106">
        <v>0.0</v>
      </c>
      <c r="H121" s="665">
        <v>224.03</v>
      </c>
      <c r="I121" s="676"/>
      <c r="J121" s="730"/>
      <c r="K121" s="230">
        <v>245.14</v>
      </c>
      <c r="L121" s="697">
        <f t="shared" si="52"/>
        <v>-224.03</v>
      </c>
      <c r="M121" s="698">
        <f>K121/H121-1</f>
        <v>0.09422845155</v>
      </c>
      <c r="N121" s="696">
        <f t="shared" si="54"/>
        <v>11307.41419</v>
      </c>
      <c r="O121" s="528"/>
      <c r="P121" s="528"/>
      <c r="Q121" s="210" t="s">
        <v>188</v>
      </c>
      <c r="R121" s="211">
        <v>44021.0</v>
      </c>
      <c r="S121" s="230">
        <v>245.14</v>
      </c>
      <c r="T121" s="213">
        <v>131307.0</v>
      </c>
      <c r="U121" s="257"/>
      <c r="V121" s="257"/>
      <c r="W121" s="258"/>
      <c r="X121" s="658"/>
    </row>
    <row r="122">
      <c r="A122" s="528"/>
      <c r="B122" s="528"/>
      <c r="C122" s="104" t="s">
        <v>187</v>
      </c>
      <c r="D122" s="104" t="s">
        <v>188</v>
      </c>
      <c r="E122" s="569">
        <v>8.1</v>
      </c>
      <c r="F122" s="213">
        <v>110000.0</v>
      </c>
      <c r="G122" s="106">
        <f t="shared" ref="G122:G123" si="55">F122+N122</f>
        <v>0</v>
      </c>
      <c r="H122" s="212">
        <v>239.46</v>
      </c>
      <c r="I122" s="676"/>
      <c r="J122" s="730"/>
      <c r="K122" s="697"/>
      <c r="L122" s="697">
        <f t="shared" si="52"/>
        <v>-239.46</v>
      </c>
      <c r="M122" s="698">
        <f t="shared" ref="M122:M123" si="56">J122/H122-1</f>
        <v>-1</v>
      </c>
      <c r="N122" s="696">
        <f t="shared" si="54"/>
        <v>-110000</v>
      </c>
      <c r="O122" s="528"/>
      <c r="P122" s="528"/>
      <c r="Q122" s="657"/>
      <c r="R122" s="257"/>
      <c r="S122" s="732"/>
      <c r="T122" s="658"/>
      <c r="U122" s="210" t="s">
        <v>188</v>
      </c>
      <c r="V122" s="211">
        <v>44023.0</v>
      </c>
      <c r="W122" s="212">
        <v>239.46</v>
      </c>
      <c r="X122" s="213">
        <v>110000.0</v>
      </c>
    </row>
    <row r="123">
      <c r="A123" s="528"/>
      <c r="B123" s="528"/>
      <c r="C123" s="104" t="s">
        <v>831</v>
      </c>
      <c r="D123" s="104" t="s">
        <v>219</v>
      </c>
      <c r="E123" s="569">
        <v>7.2</v>
      </c>
      <c r="F123" s="213">
        <v>35000.0</v>
      </c>
      <c r="G123" s="106">
        <f t="shared" si="55"/>
        <v>0</v>
      </c>
      <c r="H123" s="665">
        <v>5.687</v>
      </c>
      <c r="I123" s="676"/>
      <c r="J123" s="730"/>
      <c r="K123" s="697"/>
      <c r="L123" s="697">
        <f t="shared" si="52"/>
        <v>-5.687</v>
      </c>
      <c r="M123" s="698">
        <f t="shared" si="56"/>
        <v>-1</v>
      </c>
      <c r="N123" s="696">
        <f t="shared" si="54"/>
        <v>-35000</v>
      </c>
      <c r="O123" s="528"/>
      <c r="P123" s="528"/>
      <c r="Q123" s="657"/>
      <c r="R123" s="257"/>
      <c r="S123" s="732"/>
      <c r="T123" s="658"/>
      <c r="U123" s="257"/>
      <c r="V123" s="257"/>
      <c r="W123" s="258"/>
      <c r="X123" s="658"/>
    </row>
    <row r="124">
      <c r="A124" s="528"/>
      <c r="B124" s="528"/>
      <c r="C124" s="104" t="s">
        <v>834</v>
      </c>
      <c r="D124" s="104" t="s">
        <v>213</v>
      </c>
      <c r="E124" s="569">
        <v>7.6</v>
      </c>
      <c r="F124" s="213">
        <v>65000.0</v>
      </c>
      <c r="G124" s="106">
        <v>0.0</v>
      </c>
      <c r="H124" s="665">
        <v>0.08246</v>
      </c>
      <c r="I124" s="676"/>
      <c r="J124" s="730"/>
      <c r="K124" s="732">
        <v>0.124865</v>
      </c>
      <c r="L124" s="697">
        <f t="shared" si="52"/>
        <v>-0.08246</v>
      </c>
      <c r="M124" s="698">
        <f>K124/H124-1</f>
        <v>0.514249333</v>
      </c>
      <c r="N124" s="696">
        <f t="shared" si="54"/>
        <v>33426.20665</v>
      </c>
      <c r="O124" s="528"/>
      <c r="P124" s="528"/>
      <c r="Q124" s="210" t="s">
        <v>213</v>
      </c>
      <c r="R124" s="211">
        <v>44020.0</v>
      </c>
      <c r="S124" s="732">
        <v>0.124865</v>
      </c>
      <c r="T124" s="213">
        <v>98426.0</v>
      </c>
      <c r="U124" s="257"/>
      <c r="V124" s="257"/>
      <c r="W124" s="258"/>
      <c r="X124" s="658"/>
    </row>
    <row r="125">
      <c r="A125" s="528"/>
      <c r="B125" s="528"/>
      <c r="C125" s="104" t="s">
        <v>834</v>
      </c>
      <c r="D125" s="104" t="s">
        <v>213</v>
      </c>
      <c r="E125" s="569">
        <v>7.6</v>
      </c>
      <c r="F125" s="213">
        <v>40000.0</v>
      </c>
      <c r="G125" s="106">
        <f t="shared" ref="G125:G126" si="57">F125+N125</f>
        <v>0</v>
      </c>
      <c r="H125" s="732">
        <v>0.118863</v>
      </c>
      <c r="I125" s="676"/>
      <c r="J125" s="730"/>
      <c r="K125" s="697"/>
      <c r="L125" s="711">
        <f t="shared" si="52"/>
        <v>-0.118863</v>
      </c>
      <c r="M125" s="698">
        <f t="shared" ref="M125:M126" si="58">J125/H125-1</f>
        <v>-1</v>
      </c>
      <c r="N125" s="696">
        <f t="shared" si="54"/>
        <v>-40000</v>
      </c>
      <c r="O125" s="528"/>
      <c r="P125" s="528"/>
      <c r="Q125" s="657"/>
      <c r="R125" s="257"/>
      <c r="S125" s="731"/>
      <c r="T125" s="658"/>
      <c r="U125" s="210" t="s">
        <v>213</v>
      </c>
      <c r="V125" s="211">
        <v>44023.0</v>
      </c>
      <c r="W125" s="732">
        <v>0.118863</v>
      </c>
      <c r="X125" s="213">
        <v>40000.0</v>
      </c>
    </row>
    <row r="126">
      <c r="A126" s="528"/>
      <c r="B126" s="528"/>
      <c r="C126" s="104" t="s">
        <v>879</v>
      </c>
      <c r="D126" s="104" t="s">
        <v>880</v>
      </c>
      <c r="E126" s="569">
        <v>8.1</v>
      </c>
      <c r="F126" s="213">
        <v>55000.0</v>
      </c>
      <c r="G126" s="106">
        <f t="shared" si="57"/>
        <v>0</v>
      </c>
      <c r="H126" s="665">
        <v>0.5593</v>
      </c>
      <c r="I126" s="676"/>
      <c r="J126" s="730"/>
      <c r="K126" s="697"/>
      <c r="L126" s="697">
        <f t="shared" si="52"/>
        <v>-0.5593</v>
      </c>
      <c r="M126" s="698">
        <f t="shared" si="58"/>
        <v>-1</v>
      </c>
      <c r="N126" s="696">
        <f t="shared" si="54"/>
        <v>-55000</v>
      </c>
      <c r="O126" s="528"/>
      <c r="P126" s="528"/>
      <c r="Q126" s="657"/>
      <c r="R126" s="257"/>
      <c r="S126" s="731"/>
      <c r="T126" s="658"/>
      <c r="U126" s="257"/>
      <c r="V126" s="257"/>
      <c r="W126" s="258"/>
      <c r="X126" s="658"/>
    </row>
    <row r="127">
      <c r="A127" s="528"/>
      <c r="B127" s="528"/>
      <c r="C127" s="104" t="s">
        <v>883</v>
      </c>
      <c r="D127" s="104" t="s">
        <v>713</v>
      </c>
      <c r="E127" s="569">
        <v>7.8</v>
      </c>
      <c r="F127" s="213">
        <v>55000.0</v>
      </c>
      <c r="G127" s="106">
        <v>0.0</v>
      </c>
      <c r="H127" s="665">
        <v>0.0087</v>
      </c>
      <c r="I127" s="676"/>
      <c r="J127" s="730"/>
      <c r="K127" s="732">
        <v>0.017897</v>
      </c>
      <c r="L127" s="697">
        <f t="shared" si="52"/>
        <v>-0.0087</v>
      </c>
      <c r="M127" s="698">
        <f>K127/H127-1</f>
        <v>1.057126437</v>
      </c>
      <c r="N127" s="696">
        <f t="shared" si="54"/>
        <v>58141.95402</v>
      </c>
      <c r="O127" s="528"/>
      <c r="P127" s="528"/>
      <c r="Q127" s="210" t="s">
        <v>713</v>
      </c>
      <c r="R127" s="211">
        <v>44020.0</v>
      </c>
      <c r="S127" s="732">
        <v>0.017897</v>
      </c>
      <c r="T127" s="106">
        <v>113142.0</v>
      </c>
      <c r="U127" s="257"/>
      <c r="V127" s="257"/>
      <c r="W127" s="258"/>
      <c r="X127" s="658"/>
    </row>
    <row r="128">
      <c r="A128" s="528"/>
      <c r="B128" s="528"/>
      <c r="C128" s="104" t="s">
        <v>789</v>
      </c>
      <c r="D128" s="104" t="s">
        <v>790</v>
      </c>
      <c r="E128" s="569">
        <v>8.0</v>
      </c>
      <c r="F128" s="213">
        <v>32000.0</v>
      </c>
      <c r="G128" s="106">
        <f>F128+N128</f>
        <v>0</v>
      </c>
      <c r="H128" s="665">
        <v>9.944</v>
      </c>
      <c r="I128" s="676"/>
      <c r="J128" s="730"/>
      <c r="K128" s="697"/>
      <c r="L128" s="697">
        <f t="shared" si="52"/>
        <v>-9.944</v>
      </c>
      <c r="M128" s="698">
        <f>J128/H128-1</f>
        <v>-1</v>
      </c>
      <c r="N128" s="696">
        <f t="shared" si="54"/>
        <v>-32000</v>
      </c>
      <c r="O128" s="528"/>
      <c r="P128" s="528"/>
      <c r="Q128" s="657"/>
      <c r="R128" s="257"/>
      <c r="S128" s="731"/>
      <c r="T128" s="658"/>
      <c r="U128" s="257"/>
      <c r="V128" s="257"/>
      <c r="W128" s="258"/>
      <c r="X128" s="658"/>
    </row>
    <row r="129">
      <c r="A129" s="528"/>
      <c r="B129" s="528"/>
      <c r="C129" s="104" t="s">
        <v>881</v>
      </c>
      <c r="D129" s="104" t="s">
        <v>882</v>
      </c>
      <c r="E129" s="569">
        <v>8.1</v>
      </c>
      <c r="F129" s="213">
        <v>77000.0</v>
      </c>
      <c r="G129" s="106">
        <v>0.0</v>
      </c>
      <c r="H129" s="665">
        <v>0.066</v>
      </c>
      <c r="I129" s="676"/>
      <c r="J129" s="730"/>
      <c r="K129" s="732">
        <v>0.091065</v>
      </c>
      <c r="L129" s="697">
        <f t="shared" si="52"/>
        <v>-0.066</v>
      </c>
      <c r="M129" s="698">
        <f>K129/H129-1</f>
        <v>0.3797727273</v>
      </c>
      <c r="N129" s="696">
        <f t="shared" si="54"/>
        <v>29242.5</v>
      </c>
      <c r="O129" s="528"/>
      <c r="P129" s="528"/>
      <c r="Q129" s="210" t="s">
        <v>882</v>
      </c>
      <c r="R129" s="211">
        <v>44021.0</v>
      </c>
      <c r="S129" s="732">
        <v>0.091065</v>
      </c>
      <c r="T129" s="213">
        <v>106243.0</v>
      </c>
      <c r="U129" s="257"/>
      <c r="V129" s="257"/>
      <c r="W129" s="258"/>
      <c r="X129" s="658"/>
    </row>
    <row r="130">
      <c r="A130" s="528"/>
      <c r="B130" s="528"/>
      <c r="C130" s="104" t="s">
        <v>881</v>
      </c>
      <c r="D130" s="104" t="s">
        <v>882</v>
      </c>
      <c r="E130" s="569">
        <v>8.1</v>
      </c>
      <c r="F130" s="213">
        <v>54000.0</v>
      </c>
      <c r="G130" s="106">
        <f t="shared" ref="G130:G131" si="59">F130+N130</f>
        <v>0</v>
      </c>
      <c r="H130" s="733">
        <v>0.09115</v>
      </c>
      <c r="I130" s="676"/>
      <c r="J130" s="730"/>
      <c r="K130" s="697"/>
      <c r="L130" s="697">
        <f t="shared" si="52"/>
        <v>-0.09115</v>
      </c>
      <c r="M130" s="698">
        <f t="shared" ref="M130:M131" si="60">J130/H130-1</f>
        <v>-1</v>
      </c>
      <c r="N130" s="696">
        <f t="shared" si="54"/>
        <v>-54000</v>
      </c>
      <c r="O130" s="528"/>
      <c r="P130" s="528"/>
      <c r="Q130" s="657"/>
      <c r="R130" s="257"/>
      <c r="S130" s="731"/>
      <c r="T130" s="658"/>
      <c r="U130" s="210" t="s">
        <v>882</v>
      </c>
      <c r="V130" s="211">
        <v>44023.0</v>
      </c>
      <c r="W130" s="733">
        <v>0.09115</v>
      </c>
      <c r="X130" s="213">
        <v>54000.0</v>
      </c>
    </row>
    <row r="131">
      <c r="A131" s="528"/>
      <c r="B131" s="528"/>
      <c r="C131" s="104" t="s">
        <v>875</v>
      </c>
      <c r="D131" s="104" t="s">
        <v>876</v>
      </c>
      <c r="E131" s="569">
        <v>7.5</v>
      </c>
      <c r="F131" s="213">
        <v>25000.0</v>
      </c>
      <c r="G131" s="106">
        <f t="shared" si="59"/>
        <v>0</v>
      </c>
      <c r="H131" s="665">
        <v>2.355</v>
      </c>
      <c r="I131" s="676"/>
      <c r="J131" s="730"/>
      <c r="K131" s="697"/>
      <c r="L131" s="697">
        <f t="shared" si="52"/>
        <v>-2.355</v>
      </c>
      <c r="M131" s="698">
        <f t="shared" si="60"/>
        <v>-1</v>
      </c>
      <c r="N131" s="696">
        <f t="shared" si="54"/>
        <v>-25000</v>
      </c>
      <c r="O131" s="528"/>
      <c r="P131" s="528"/>
      <c r="Q131" s="657"/>
      <c r="R131" s="257"/>
      <c r="S131" s="731"/>
      <c r="T131" s="658"/>
      <c r="U131" s="257"/>
      <c r="V131" s="257"/>
      <c r="W131" s="258"/>
      <c r="X131" s="658"/>
    </row>
    <row r="132">
      <c r="A132" s="528"/>
      <c r="B132" s="528"/>
      <c r="C132" s="104" t="s">
        <v>209</v>
      </c>
      <c r="D132" s="104" t="s">
        <v>210</v>
      </c>
      <c r="E132" s="569">
        <v>7.8</v>
      </c>
      <c r="F132" s="213">
        <v>55000.0</v>
      </c>
      <c r="G132" s="106">
        <v>0.0</v>
      </c>
      <c r="H132" s="665">
        <v>4.5241</v>
      </c>
      <c r="I132" s="676"/>
      <c r="J132" s="730"/>
      <c r="K132" s="230">
        <v>6.28</v>
      </c>
      <c r="L132" s="697">
        <f t="shared" si="52"/>
        <v>-4.5241</v>
      </c>
      <c r="M132" s="698">
        <f>K132/H132-1</f>
        <v>0.3881213943</v>
      </c>
      <c r="N132" s="696">
        <f t="shared" si="54"/>
        <v>21346.67669</v>
      </c>
      <c r="O132" s="528"/>
      <c r="P132" s="528"/>
      <c r="Q132" s="210" t="s">
        <v>210</v>
      </c>
      <c r="R132" s="211">
        <v>44020.0</v>
      </c>
      <c r="S132" s="230">
        <v>6.28</v>
      </c>
      <c r="T132" s="213">
        <v>76347.0</v>
      </c>
      <c r="U132" s="257"/>
      <c r="V132" s="257"/>
      <c r="W132" s="258"/>
      <c r="X132" s="658"/>
    </row>
    <row r="133">
      <c r="A133" s="528"/>
      <c r="B133" s="528"/>
      <c r="C133" s="104" t="s">
        <v>209</v>
      </c>
      <c r="D133" s="104" t="s">
        <v>210</v>
      </c>
      <c r="E133" s="569">
        <v>7.8</v>
      </c>
      <c r="F133" s="213">
        <v>45000.0</v>
      </c>
      <c r="G133" s="106">
        <f t="shared" ref="G133:G134" si="61">F133+N133</f>
        <v>0</v>
      </c>
      <c r="H133" s="212">
        <v>6.05</v>
      </c>
      <c r="I133" s="676"/>
      <c r="J133" s="730"/>
      <c r="K133" s="697"/>
      <c r="L133" s="697">
        <f t="shared" si="52"/>
        <v>-6.05</v>
      </c>
      <c r="M133" s="698">
        <f t="shared" ref="M133:M134" si="62">J133/H133-1</f>
        <v>-1</v>
      </c>
      <c r="N133" s="696">
        <f t="shared" si="54"/>
        <v>-45000</v>
      </c>
      <c r="O133" s="528"/>
      <c r="P133" s="528"/>
      <c r="Q133" s="657"/>
      <c r="R133" s="257"/>
      <c r="S133" s="731"/>
      <c r="T133" s="658"/>
      <c r="U133" s="104" t="s">
        <v>210</v>
      </c>
      <c r="V133" s="211">
        <v>44023.0</v>
      </c>
      <c r="W133" s="212">
        <v>6.05</v>
      </c>
      <c r="X133" s="213">
        <v>45000.0</v>
      </c>
    </row>
    <row r="134">
      <c r="A134" s="528"/>
      <c r="B134" s="528"/>
      <c r="C134" s="104" t="s">
        <v>877</v>
      </c>
      <c r="D134" s="104" t="s">
        <v>878</v>
      </c>
      <c r="E134" s="569">
        <v>8.1</v>
      </c>
      <c r="F134" s="213">
        <v>32000.0</v>
      </c>
      <c r="G134" s="106">
        <f t="shared" si="61"/>
        <v>0</v>
      </c>
      <c r="H134" s="665">
        <v>2.33</v>
      </c>
      <c r="I134" s="676"/>
      <c r="J134" s="730"/>
      <c r="K134" s="697"/>
      <c r="L134" s="697">
        <f t="shared" si="52"/>
        <v>-2.33</v>
      </c>
      <c r="M134" s="698">
        <f t="shared" si="62"/>
        <v>-1</v>
      </c>
      <c r="N134" s="696">
        <f t="shared" si="54"/>
        <v>-32000</v>
      </c>
      <c r="O134" s="528"/>
      <c r="P134" s="528"/>
      <c r="Q134" s="657"/>
      <c r="R134" s="257"/>
      <c r="S134" s="731"/>
      <c r="T134" s="658"/>
      <c r="U134" s="257"/>
      <c r="V134" s="257"/>
      <c r="W134" s="258"/>
      <c r="X134" s="658"/>
    </row>
    <row r="135">
      <c r="A135" s="528"/>
      <c r="B135" s="528"/>
      <c r="C135" s="104" t="s">
        <v>886</v>
      </c>
      <c r="D135" s="104" t="s">
        <v>887</v>
      </c>
      <c r="E135" s="569">
        <v>7.4</v>
      </c>
      <c r="F135" s="213">
        <v>38000.0</v>
      </c>
      <c r="G135" s="106">
        <v>0.0</v>
      </c>
      <c r="H135" s="665">
        <v>2.574</v>
      </c>
      <c r="I135" s="676"/>
      <c r="J135" s="730"/>
      <c r="K135" s="230">
        <v>3.65</v>
      </c>
      <c r="L135" s="697">
        <f t="shared" si="52"/>
        <v>-2.574</v>
      </c>
      <c r="M135" s="698">
        <f>K135/H135-1</f>
        <v>0.418026418</v>
      </c>
      <c r="N135" s="696">
        <f t="shared" si="54"/>
        <v>15885.00389</v>
      </c>
      <c r="O135" s="528"/>
      <c r="P135" s="528"/>
      <c r="Q135" s="210" t="s">
        <v>887</v>
      </c>
      <c r="R135" s="211">
        <v>44021.0</v>
      </c>
      <c r="S135" s="230">
        <v>3.65</v>
      </c>
      <c r="T135" s="213">
        <v>53885.0</v>
      </c>
      <c r="U135" s="257"/>
      <c r="V135" s="257"/>
      <c r="W135" s="258"/>
      <c r="X135" s="658"/>
    </row>
    <row r="136">
      <c r="A136" s="528"/>
      <c r="B136" s="528"/>
      <c r="C136" s="344" t="s">
        <v>513</v>
      </c>
      <c r="D136" s="344" t="s">
        <v>514</v>
      </c>
      <c r="E136" s="569">
        <v>8.5</v>
      </c>
      <c r="F136" s="106">
        <v>82000.0</v>
      </c>
      <c r="G136" s="106">
        <f>F136+N136</f>
        <v>0</v>
      </c>
      <c r="H136" s="110">
        <v>63.28</v>
      </c>
      <c r="I136" s="676"/>
      <c r="J136" s="730"/>
      <c r="K136" s="212"/>
      <c r="L136" s="697">
        <f t="shared" si="52"/>
        <v>-63.28</v>
      </c>
      <c r="M136" s="698">
        <f>J136/H136-1</f>
        <v>-1</v>
      </c>
      <c r="N136" s="696">
        <f t="shared" si="54"/>
        <v>-82000</v>
      </c>
      <c r="O136" s="528"/>
      <c r="P136" s="528"/>
      <c r="Q136" s="657"/>
      <c r="R136" s="257"/>
      <c r="S136" s="731"/>
      <c r="T136" s="658"/>
      <c r="U136" s="257"/>
      <c r="V136" s="257"/>
      <c r="W136" s="258"/>
      <c r="X136" s="658"/>
    </row>
    <row r="137">
      <c r="A137" s="173"/>
      <c r="B137" s="13" t="s">
        <v>89</v>
      </c>
      <c r="C137" s="173"/>
      <c r="D137" s="173"/>
      <c r="E137" s="173"/>
      <c r="F137" s="693">
        <f t="shared" ref="F137:G137" si="63">SUM(F113:F136)</f>
        <v>1667000</v>
      </c>
      <c r="G137" s="693">
        <f t="shared" si="63"/>
        <v>0</v>
      </c>
      <c r="H137" s="173"/>
      <c r="I137" s="173"/>
      <c r="J137" s="173"/>
      <c r="K137" s="173"/>
      <c r="L137" s="173"/>
      <c r="M137" s="695">
        <f>E142</f>
        <v>0.3621777269</v>
      </c>
      <c r="N137" s="616">
        <v>474815.0</v>
      </c>
      <c r="O137" s="173"/>
      <c r="P137" s="173"/>
      <c r="Q137" s="238" t="s">
        <v>89</v>
      </c>
      <c r="R137" s="260"/>
      <c r="S137" s="260"/>
      <c r="T137" s="240">
        <f>SUM(T113:T136)</f>
        <v>734424</v>
      </c>
      <c r="U137" s="238" t="s">
        <v>89</v>
      </c>
      <c r="V137" s="260"/>
      <c r="W137" s="667"/>
      <c r="X137" s="734">
        <f>SUM(X113:X136)</f>
        <v>356000</v>
      </c>
    </row>
    <row r="138">
      <c r="A138" s="13" t="s">
        <v>227</v>
      </c>
      <c r="B138" s="13" t="s">
        <v>228</v>
      </c>
      <c r="C138" s="504" t="s">
        <v>919</v>
      </c>
      <c r="D138" s="504" t="s">
        <v>516</v>
      </c>
      <c r="E138" s="504" t="s">
        <v>792</v>
      </c>
      <c r="F138" s="504" t="s">
        <v>920</v>
      </c>
      <c r="G138" s="735" t="s">
        <v>233</v>
      </c>
      <c r="H138" s="504" t="s">
        <v>234</v>
      </c>
      <c r="I138" s="504" t="s">
        <v>794</v>
      </c>
      <c r="J138" s="13"/>
      <c r="K138" s="173"/>
      <c r="L138" s="173"/>
      <c r="M138" s="173"/>
      <c r="N138" s="173"/>
      <c r="O138" s="173"/>
      <c r="P138" s="173"/>
    </row>
    <row r="139">
      <c r="A139" s="344" t="s">
        <v>424</v>
      </c>
      <c r="B139" s="713">
        <f>D139/D144</f>
        <v>0.153536959</v>
      </c>
      <c r="C139" s="106">
        <f>F27+F41+F52+F62+F79-X27-X79</f>
        <v>880911.5</v>
      </c>
      <c r="D139" s="106">
        <v>832328.0</v>
      </c>
      <c r="E139" s="698" t="str">
        <f t="shared" ref="E139:E142" si="64">F139/C139</f>
        <v>#N/A</v>
      </c>
      <c r="F139" s="715" t="str">
        <f>N27+N41+N52+N62+N79</f>
        <v>#N/A</v>
      </c>
      <c r="G139" s="736" t="s">
        <v>890</v>
      </c>
      <c r="H139" s="736" t="s">
        <v>890</v>
      </c>
      <c r="I139" s="736" t="s">
        <v>890</v>
      </c>
      <c r="J139" s="563"/>
      <c r="K139" s="528"/>
      <c r="L139" s="528"/>
      <c r="M139" s="528"/>
      <c r="N139" s="528"/>
      <c r="O139" s="528"/>
      <c r="P139" s="528"/>
    </row>
    <row r="140">
      <c r="A140" s="344" t="s">
        <v>409</v>
      </c>
      <c r="B140" s="713">
        <f>D140/D144</f>
        <v>0.2887312681</v>
      </c>
      <c r="C140" s="696">
        <f>F107-X107</f>
        <v>978655</v>
      </c>
      <c r="D140" s="106">
        <v>1565220.0</v>
      </c>
      <c r="E140" s="698" t="str">
        <f t="shared" si="64"/>
        <v>#N/A</v>
      </c>
      <c r="F140" s="715" t="str">
        <f>N107</f>
        <v>#N/A</v>
      </c>
      <c r="G140" s="714">
        <f>G142/D144</f>
        <v>0.00855926377</v>
      </c>
      <c r="H140" s="714">
        <f>H142/D144</f>
        <v>0.001639172799</v>
      </c>
      <c r="I140" s="698" t="str">
        <f>E139+G140+H140</f>
        <v>#N/A</v>
      </c>
      <c r="J140" s="716"/>
      <c r="K140" s="528"/>
      <c r="L140" s="528"/>
      <c r="M140" s="528"/>
      <c r="N140" s="528"/>
      <c r="O140" s="528"/>
      <c r="P140" s="528"/>
    </row>
    <row r="141">
      <c r="A141" s="344" t="s">
        <v>542</v>
      </c>
      <c r="B141" s="713">
        <f>D141/D144</f>
        <v>0.05258782146</v>
      </c>
      <c r="C141" s="696">
        <f>F111</f>
        <v>285680</v>
      </c>
      <c r="D141" s="106">
        <v>285080.0</v>
      </c>
      <c r="E141" s="698">
        <f t="shared" si="64"/>
        <v>-0.00210025203</v>
      </c>
      <c r="F141" s="715">
        <f>D141-C141</f>
        <v>-600</v>
      </c>
      <c r="G141" s="736" t="s">
        <v>891</v>
      </c>
      <c r="H141" s="736" t="s">
        <v>891</v>
      </c>
      <c r="I141" s="736"/>
      <c r="J141" s="563"/>
      <c r="K141" s="528"/>
      <c r="L141" s="528"/>
      <c r="M141" s="528"/>
      <c r="N141" s="528"/>
      <c r="O141" s="528"/>
      <c r="P141" s="528"/>
    </row>
    <row r="142">
      <c r="A142" s="344" t="s">
        <v>240</v>
      </c>
      <c r="B142" s="682">
        <f>D142/D144</f>
        <v>0.259617043</v>
      </c>
      <c r="C142" s="106">
        <f>F137-X137</f>
        <v>1311000</v>
      </c>
      <c r="D142" s="106">
        <v>1407391.0</v>
      </c>
      <c r="E142" s="698">
        <f t="shared" si="64"/>
        <v>0.3621777269</v>
      </c>
      <c r="F142" s="715">
        <f>N137</f>
        <v>474815</v>
      </c>
      <c r="G142" s="715">
        <v>46400.0</v>
      </c>
      <c r="H142" s="717">
        <f>P111+P107+P79+P52+P41+P27</f>
        <v>8886</v>
      </c>
      <c r="I142" s="717"/>
      <c r="J142" s="690"/>
      <c r="K142" s="528"/>
      <c r="L142" s="528"/>
      <c r="M142" s="528"/>
      <c r="N142" s="528"/>
      <c r="O142" s="528"/>
      <c r="P142" s="528"/>
    </row>
    <row r="143">
      <c r="A143" s="344" t="s">
        <v>461</v>
      </c>
      <c r="B143" s="713">
        <f>D143/D144</f>
        <v>0.2455269085</v>
      </c>
      <c r="C143" s="106">
        <v>1236645.0</v>
      </c>
      <c r="D143" s="106">
        <v>1331008.0</v>
      </c>
      <c r="E143" s="588" t="s">
        <v>128</v>
      </c>
      <c r="F143" s="715">
        <f>G142+H142</f>
        <v>55286</v>
      </c>
      <c r="G143" s="224"/>
      <c r="H143" s="224"/>
      <c r="I143" s="224"/>
      <c r="J143" s="528"/>
      <c r="K143" s="528"/>
      <c r="L143" s="528"/>
      <c r="M143" s="528"/>
      <c r="N143" s="528"/>
      <c r="O143" s="528"/>
      <c r="P143" s="528"/>
    </row>
    <row r="144">
      <c r="A144" s="13" t="s">
        <v>246</v>
      </c>
      <c r="B144" s="695">
        <f t="shared" ref="B144:D144" si="65">SUM(B139:B143)</f>
        <v>1</v>
      </c>
      <c r="C144" s="616">
        <f t="shared" si="65"/>
        <v>4692891.5</v>
      </c>
      <c r="D144" s="693">
        <f t="shared" si="65"/>
        <v>5421027</v>
      </c>
      <c r="E144" s="622">
        <f>F144/C144</f>
        <v>0.1551571137</v>
      </c>
      <c r="F144" s="616">
        <f>D144-C144</f>
        <v>728135.5</v>
      </c>
      <c r="G144" s="718"/>
      <c r="H144" s="173"/>
      <c r="I144" s="173"/>
      <c r="J144" s="173"/>
      <c r="K144" s="173"/>
      <c r="L144" s="173"/>
      <c r="M144" s="173"/>
      <c r="N144" s="173"/>
      <c r="O144" s="173"/>
      <c r="P144" s="173"/>
    </row>
    <row r="145">
      <c r="A145" s="719" t="s">
        <v>892</v>
      </c>
      <c r="B145" s="176"/>
      <c r="C145" s="669"/>
      <c r="D145" s="669"/>
      <c r="E145" s="737"/>
      <c r="F145" s="738"/>
      <c r="G145" s="738"/>
      <c r="H145" s="739"/>
      <c r="I145" s="740"/>
      <c r="J145" s="741"/>
      <c r="K145" s="742"/>
      <c r="L145" s="743"/>
      <c r="M145" s="744"/>
      <c r="N145" s="745"/>
      <c r="O145" s="176"/>
      <c r="P145" s="176"/>
    </row>
    <row r="146">
      <c r="A146" s="746" t="s">
        <v>248</v>
      </c>
      <c r="B146" s="747"/>
      <c r="C146" s="748" t="s">
        <v>921</v>
      </c>
      <c r="D146" s="747"/>
      <c r="E146" s="749" t="s">
        <v>922</v>
      </c>
      <c r="F146" s="750" t="s">
        <v>15</v>
      </c>
      <c r="G146" s="750" t="s">
        <v>578</v>
      </c>
      <c r="H146" s="751"/>
      <c r="I146" s="740"/>
      <c r="J146" s="741"/>
      <c r="K146" s="742"/>
      <c r="L146" s="743"/>
      <c r="M146" s="744"/>
      <c r="N146" s="745"/>
      <c r="O146" s="176"/>
      <c r="P146" s="176"/>
    </row>
    <row r="147">
      <c r="A147" s="442" t="s">
        <v>265</v>
      </c>
      <c r="B147" s="304" t="s">
        <v>266</v>
      </c>
      <c r="C147" s="752">
        <v>25812.0</v>
      </c>
      <c r="D147" s="753"/>
      <c r="E147" s="754">
        <v>27782.0</v>
      </c>
      <c r="F147" s="486">
        <f t="shared" ref="F147:F151" si="66">E147-C147</f>
        <v>1970</v>
      </c>
      <c r="G147" s="487">
        <f t="shared" ref="G147:G151" si="67">E147/C147-1</f>
        <v>0.07632109097</v>
      </c>
      <c r="H147" s="739"/>
      <c r="I147" s="740"/>
      <c r="J147" s="741"/>
      <c r="K147" s="742"/>
      <c r="L147" s="743"/>
      <c r="M147" s="744"/>
      <c r="N147" s="745"/>
      <c r="O147" s="176"/>
      <c r="P147" s="176"/>
    </row>
    <row r="148">
      <c r="A148" s="442" t="s">
        <v>267</v>
      </c>
      <c r="B148" s="304" t="s">
        <v>268</v>
      </c>
      <c r="C148" s="752">
        <v>3100.0</v>
      </c>
      <c r="D148" s="753"/>
      <c r="E148" s="754">
        <v>3363.0</v>
      </c>
      <c r="F148" s="486">
        <f t="shared" si="66"/>
        <v>263</v>
      </c>
      <c r="G148" s="487">
        <f t="shared" si="67"/>
        <v>0.08483870968</v>
      </c>
      <c r="H148" s="751"/>
      <c r="I148" s="740"/>
      <c r="J148" s="741"/>
      <c r="K148" s="743"/>
      <c r="L148" s="743"/>
      <c r="M148" s="744"/>
      <c r="N148" s="745"/>
      <c r="O148" s="176"/>
      <c r="P148" s="176"/>
    </row>
    <row r="149">
      <c r="A149" s="442" t="s">
        <v>269</v>
      </c>
      <c r="B149" s="304" t="s">
        <v>270</v>
      </c>
      <c r="C149" s="752">
        <v>10058.0</v>
      </c>
      <c r="D149" s="753"/>
      <c r="E149" s="754">
        <v>11168.0</v>
      </c>
      <c r="F149" s="486">
        <f t="shared" si="66"/>
        <v>1110</v>
      </c>
      <c r="G149" s="487">
        <f t="shared" si="67"/>
        <v>0.1103599125</v>
      </c>
      <c r="H149" s="751"/>
      <c r="I149" s="740"/>
      <c r="J149" s="741"/>
      <c r="K149" s="743"/>
      <c r="L149" s="743"/>
      <c r="M149" s="744"/>
      <c r="N149" s="745"/>
      <c r="O149" s="176"/>
      <c r="P149" s="176"/>
    </row>
    <row r="150">
      <c r="A150" s="442" t="s">
        <v>271</v>
      </c>
      <c r="B150" s="304" t="s">
        <v>272</v>
      </c>
      <c r="C150" s="752">
        <v>1441.0</v>
      </c>
      <c r="D150" s="753"/>
      <c r="E150" s="754">
        <v>1508.0</v>
      </c>
      <c r="F150" s="486">
        <f t="shared" si="66"/>
        <v>67</v>
      </c>
      <c r="G150" s="487">
        <f t="shared" si="67"/>
        <v>0.04649548924</v>
      </c>
      <c r="H150" s="751"/>
      <c r="I150" s="740"/>
      <c r="J150" s="741"/>
      <c r="K150" s="743"/>
      <c r="L150" s="743"/>
      <c r="M150" s="744"/>
      <c r="N150" s="745"/>
      <c r="O150" s="176"/>
      <c r="P150" s="176"/>
    </row>
    <row r="151">
      <c r="A151" s="442" t="s">
        <v>273</v>
      </c>
      <c r="B151" s="304" t="s">
        <v>274</v>
      </c>
      <c r="C151" s="752">
        <v>11894.0</v>
      </c>
      <c r="D151" s="753"/>
      <c r="E151" s="754">
        <v>12702.0</v>
      </c>
      <c r="F151" s="486">
        <f t="shared" si="66"/>
        <v>808</v>
      </c>
      <c r="G151" s="487">
        <f t="shared" si="67"/>
        <v>0.0679334118</v>
      </c>
      <c r="H151" s="751"/>
      <c r="I151" s="740"/>
      <c r="J151" s="741"/>
      <c r="K151" s="743"/>
      <c r="L151" s="743"/>
      <c r="M151" s="744"/>
      <c r="N151" s="745"/>
      <c r="O151" s="176"/>
      <c r="P151" s="176"/>
    </row>
    <row r="152">
      <c r="A152" s="176"/>
      <c r="B152" s="176"/>
      <c r="C152" s="202"/>
      <c r="D152" s="202"/>
      <c r="E152" s="737"/>
      <c r="F152" s="755"/>
      <c r="G152" s="745"/>
      <c r="H152" s="751"/>
      <c r="I152" s="740"/>
      <c r="J152" s="741"/>
      <c r="K152" s="743"/>
      <c r="L152" s="743"/>
      <c r="M152" s="744"/>
      <c r="N152" s="745"/>
      <c r="O152" s="176"/>
      <c r="P152" s="176"/>
    </row>
    <row r="153">
      <c r="A153" s="176"/>
      <c r="B153" s="176"/>
      <c r="C153" s="202"/>
      <c r="D153" s="202"/>
      <c r="E153" s="737"/>
      <c r="F153" s="755"/>
      <c r="G153" s="745"/>
      <c r="H153" s="751"/>
      <c r="I153" s="740"/>
      <c r="J153" s="741"/>
      <c r="K153" s="743"/>
      <c r="L153" s="743"/>
      <c r="M153" s="744"/>
      <c r="N153" s="745"/>
      <c r="O153" s="176"/>
      <c r="P153" s="176"/>
    </row>
    <row r="154">
      <c r="A154" s="176"/>
      <c r="B154" s="176"/>
      <c r="C154" s="202"/>
      <c r="D154" s="202"/>
      <c r="E154" s="737"/>
      <c r="F154" s="755"/>
      <c r="G154" s="745"/>
      <c r="H154" s="751"/>
      <c r="I154" s="740"/>
      <c r="J154" s="741"/>
      <c r="K154" s="743"/>
      <c r="L154" s="743"/>
      <c r="M154" s="744"/>
      <c r="N154" s="745"/>
      <c r="O154" s="176"/>
      <c r="P154" s="176"/>
    </row>
    <row r="155">
      <c r="A155" s="176"/>
      <c r="B155" s="176"/>
      <c r="C155" s="202"/>
      <c r="D155" s="202"/>
      <c r="E155" s="737"/>
      <c r="F155" s="755"/>
      <c r="G155" s="745"/>
      <c r="H155" s="751"/>
      <c r="I155" s="740"/>
      <c r="J155" s="741"/>
      <c r="K155" s="743"/>
      <c r="L155" s="743"/>
      <c r="M155" s="744"/>
      <c r="N155" s="745"/>
      <c r="O155" s="176"/>
      <c r="P155" s="176"/>
    </row>
    <row r="156">
      <c r="A156" s="176"/>
      <c r="B156" s="176"/>
      <c r="C156" s="202"/>
      <c r="D156" s="202"/>
      <c r="E156" s="737"/>
      <c r="F156" s="755"/>
      <c r="G156" s="745"/>
      <c r="H156" s="751"/>
      <c r="I156" s="740"/>
      <c r="J156" s="741"/>
      <c r="K156" s="743"/>
      <c r="L156" s="743"/>
      <c r="M156" s="744"/>
      <c r="N156" s="745"/>
      <c r="O156" s="176"/>
      <c r="P156" s="176"/>
    </row>
    <row r="157">
      <c r="A157" s="176"/>
      <c r="B157" s="176"/>
      <c r="C157" s="202"/>
      <c r="D157" s="202"/>
      <c r="E157" s="737"/>
      <c r="F157" s="755"/>
      <c r="G157" s="745"/>
      <c r="H157" s="751"/>
      <c r="I157" s="740"/>
      <c r="J157" s="741"/>
      <c r="K157" s="743"/>
      <c r="L157" s="743"/>
      <c r="M157" s="744"/>
      <c r="N157" s="745"/>
      <c r="O157" s="176"/>
      <c r="P157" s="176"/>
    </row>
    <row r="158">
      <c r="A158" s="176"/>
      <c r="B158" s="176"/>
      <c r="C158" s="202"/>
      <c r="D158" s="202"/>
      <c r="E158" s="737"/>
      <c r="F158" s="755"/>
      <c r="G158" s="745"/>
      <c r="H158" s="751"/>
      <c r="I158" s="740"/>
      <c r="J158" s="741"/>
      <c r="K158" s="743"/>
      <c r="L158" s="743"/>
      <c r="M158" s="744"/>
      <c r="N158" s="745"/>
      <c r="O158" s="176"/>
      <c r="P158" s="176"/>
    </row>
    <row r="159">
      <c r="A159" s="176"/>
      <c r="B159" s="176"/>
      <c r="C159" s="202"/>
      <c r="D159" s="202"/>
      <c r="E159" s="737"/>
      <c r="F159" s="738"/>
      <c r="G159" s="745"/>
      <c r="H159" s="751"/>
      <c r="I159" s="740"/>
      <c r="J159" s="741"/>
      <c r="K159" s="743"/>
      <c r="L159" s="743"/>
      <c r="M159" s="744"/>
      <c r="N159" s="745"/>
      <c r="O159" s="176"/>
      <c r="P159" s="176"/>
    </row>
    <row r="160">
      <c r="A160" s="176"/>
      <c r="B160" s="176"/>
      <c r="C160" s="669"/>
      <c r="D160" s="669"/>
      <c r="E160" s="737"/>
      <c r="F160" s="738"/>
      <c r="G160" s="745"/>
      <c r="H160" s="751"/>
      <c r="I160" s="740"/>
      <c r="J160" s="741"/>
      <c r="K160" s="742"/>
      <c r="L160" s="743"/>
      <c r="M160" s="744"/>
      <c r="N160" s="745"/>
      <c r="O160" s="176"/>
      <c r="P160" s="176"/>
    </row>
    <row r="161">
      <c r="A161" s="176"/>
      <c r="B161" s="176"/>
      <c r="C161" s="669"/>
      <c r="D161" s="669"/>
      <c r="E161" s="737"/>
      <c r="F161" s="738"/>
      <c r="G161" s="738"/>
      <c r="H161" s="739"/>
      <c r="I161" s="740"/>
      <c r="J161" s="741"/>
      <c r="K161" s="742"/>
      <c r="L161" s="743"/>
      <c r="M161" s="744"/>
      <c r="N161" s="745"/>
      <c r="O161" s="176"/>
      <c r="P161" s="176"/>
    </row>
    <row r="162">
      <c r="A162" s="176"/>
      <c r="B162" s="669"/>
      <c r="C162" s="176"/>
      <c r="D162" s="176"/>
      <c r="E162" s="176"/>
      <c r="F162" s="756"/>
      <c r="G162" s="756"/>
      <c r="H162" s="176"/>
      <c r="I162" s="176"/>
      <c r="J162" s="176"/>
      <c r="K162" s="176"/>
      <c r="L162" s="176"/>
      <c r="M162" s="757"/>
      <c r="N162" s="756"/>
      <c r="O162" s="176"/>
      <c r="P162" s="176"/>
    </row>
    <row r="163">
      <c r="A163" s="669"/>
      <c r="B163" s="669"/>
      <c r="C163" s="202"/>
      <c r="D163" s="202"/>
      <c r="E163" s="202"/>
      <c r="F163" s="202"/>
      <c r="G163" s="758"/>
      <c r="H163" s="202"/>
      <c r="I163" s="202"/>
      <c r="J163" s="669"/>
      <c r="K163" s="176"/>
      <c r="L163" s="176"/>
      <c r="M163" s="176"/>
      <c r="N163" s="176"/>
      <c r="O163" s="176"/>
      <c r="P163" s="176"/>
    </row>
    <row r="164">
      <c r="A164" s="669"/>
      <c r="B164" s="759"/>
      <c r="C164" s="738"/>
      <c r="D164" s="738"/>
      <c r="E164" s="744"/>
      <c r="F164" s="760"/>
      <c r="G164" s="758"/>
      <c r="H164" s="758"/>
      <c r="I164" s="758"/>
      <c r="J164" s="669"/>
      <c r="K164" s="176"/>
      <c r="L164" s="176"/>
      <c r="M164" s="176"/>
      <c r="N164" s="176"/>
      <c r="O164" s="176"/>
      <c r="P164" s="176"/>
    </row>
    <row r="165">
      <c r="A165" s="669"/>
      <c r="B165" s="759"/>
      <c r="C165" s="745"/>
      <c r="D165" s="738"/>
      <c r="E165" s="744"/>
      <c r="F165" s="760"/>
      <c r="G165" s="761"/>
      <c r="H165" s="761"/>
      <c r="I165" s="744"/>
      <c r="J165" s="762"/>
      <c r="K165" s="176"/>
      <c r="L165" s="176"/>
      <c r="M165" s="176"/>
      <c r="N165" s="176"/>
      <c r="O165" s="176"/>
      <c r="P165" s="176"/>
    </row>
    <row r="166">
      <c r="A166" s="669"/>
      <c r="B166" s="759"/>
      <c r="C166" s="745"/>
      <c r="D166" s="738"/>
      <c r="E166" s="744"/>
      <c r="F166" s="760"/>
      <c r="G166" s="758"/>
      <c r="H166" s="758"/>
      <c r="I166" s="758"/>
      <c r="J166" s="669"/>
      <c r="K166" s="176"/>
      <c r="L166" s="176"/>
      <c r="M166" s="176"/>
      <c r="N166" s="176"/>
      <c r="O166" s="176"/>
      <c r="P166" s="176"/>
    </row>
    <row r="167">
      <c r="A167" s="669"/>
      <c r="B167" s="763"/>
      <c r="C167" s="738"/>
      <c r="D167" s="738"/>
      <c r="E167" s="744"/>
      <c r="F167" s="760"/>
      <c r="G167" s="760"/>
      <c r="H167" s="756"/>
      <c r="I167" s="756"/>
      <c r="J167" s="756"/>
      <c r="K167" s="176"/>
      <c r="L167" s="176"/>
      <c r="M167" s="176"/>
      <c r="N167" s="176"/>
      <c r="O167" s="176"/>
      <c r="P167" s="176"/>
    </row>
    <row r="168">
      <c r="A168" s="669"/>
      <c r="B168" s="759"/>
      <c r="C168" s="738"/>
      <c r="D168" s="738"/>
      <c r="E168" s="764"/>
      <c r="F168" s="760"/>
      <c r="G168" s="176"/>
      <c r="H168" s="176"/>
      <c r="I168" s="176"/>
      <c r="J168" s="176"/>
      <c r="K168" s="176"/>
      <c r="L168" s="176"/>
      <c r="M168" s="176"/>
      <c r="N168" s="176"/>
      <c r="O168" s="176"/>
      <c r="P168" s="176"/>
    </row>
    <row r="169">
      <c r="A169" s="669"/>
      <c r="B169" s="757"/>
      <c r="C169" s="760"/>
      <c r="D169" s="756"/>
      <c r="E169" s="670"/>
      <c r="F169" s="756"/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22.63"/>
    <col customWidth="1" min="3" max="3" width="20.63"/>
    <col customWidth="1" min="4" max="4" width="14.13"/>
    <col customWidth="1" min="5" max="5" width="20.38"/>
    <col customWidth="1" min="6" max="6" width="24.13"/>
    <col customWidth="1" min="7" max="7" width="22.63"/>
    <col customWidth="1" min="8" max="8" width="18.75"/>
    <col customWidth="1" min="9" max="9" width="16.5"/>
    <col customWidth="1" min="10" max="10" width="11.25"/>
    <col customWidth="1" min="11" max="11" width="8.63"/>
    <col customWidth="1" min="12" max="12" width="11.13"/>
    <col customWidth="1" min="13" max="13" width="12.5"/>
    <col customWidth="1" min="14" max="14" width="11.13"/>
    <col customWidth="1" min="15" max="15" width="7.75"/>
    <col customWidth="1" min="16" max="16" width="9.63"/>
    <col customWidth="1" min="17" max="17" width="13.25"/>
    <col customWidth="1" min="21" max="21" width="13.0"/>
    <col customWidth="1" min="22" max="22" width="9.75"/>
    <col customWidth="1" min="23" max="23" width="10.25"/>
  </cols>
  <sheetData>
    <row r="1">
      <c r="A1" s="13" t="s">
        <v>424</v>
      </c>
      <c r="B1" s="13" t="s">
        <v>797</v>
      </c>
      <c r="C1" s="13" t="s">
        <v>3</v>
      </c>
      <c r="D1" s="13" t="s">
        <v>4</v>
      </c>
      <c r="E1" s="13" t="s">
        <v>5</v>
      </c>
      <c r="F1" s="504" t="s">
        <v>895</v>
      </c>
      <c r="G1" s="505" t="s">
        <v>730</v>
      </c>
      <c r="H1" s="505" t="s">
        <v>923</v>
      </c>
      <c r="I1" s="506" t="s">
        <v>10</v>
      </c>
      <c r="J1" s="673" t="s">
        <v>11</v>
      </c>
      <c r="K1" s="508" t="s">
        <v>476</v>
      </c>
      <c r="L1" s="507" t="s">
        <v>13</v>
      </c>
      <c r="M1" s="504" t="s">
        <v>924</v>
      </c>
      <c r="N1" s="508" t="s">
        <v>368</v>
      </c>
      <c r="O1" s="13" t="s">
        <v>16</v>
      </c>
      <c r="P1" s="509" t="s">
        <v>17</v>
      </c>
      <c r="Q1" s="238" t="s">
        <v>21</v>
      </c>
      <c r="R1" s="238" t="s">
        <v>22</v>
      </c>
      <c r="S1" s="238" t="s">
        <v>23</v>
      </c>
      <c r="T1" s="238" t="s">
        <v>24</v>
      </c>
      <c r="U1" s="238" t="s">
        <v>25</v>
      </c>
      <c r="V1" s="238" t="s">
        <v>26</v>
      </c>
      <c r="W1" s="238" t="s">
        <v>27</v>
      </c>
      <c r="X1" s="238" t="s">
        <v>28</v>
      </c>
    </row>
    <row r="2">
      <c r="A2" s="565" t="s">
        <v>733</v>
      </c>
      <c r="B2" s="565" t="s">
        <v>733</v>
      </c>
      <c r="C2" s="344" t="s">
        <v>648</v>
      </c>
      <c r="D2" s="344" t="s">
        <v>36</v>
      </c>
      <c r="E2" s="569">
        <v>5.7</v>
      </c>
      <c r="F2" s="106">
        <v>25134.0</v>
      </c>
      <c r="G2" s="674">
        <v>0.0</v>
      </c>
      <c r="H2" s="675">
        <v>502.68</v>
      </c>
      <c r="I2" s="676">
        <f>IFERROR(__xludf.DUMMYFUNCTION("GOOGLEFINANCE(D2,""changepct"")"),-3.3)</f>
        <v>-3.3</v>
      </c>
      <c r="J2" s="677">
        <f>IFERROR(__xludf.DUMMYFUNCTION("googlefinance(D2,""price"")"),417.41)</f>
        <v>417.41</v>
      </c>
      <c r="K2" s="678">
        <v>855.87</v>
      </c>
      <c r="L2" s="677">
        <f t="shared" ref="L2:L4" si="1">J2-H2</f>
        <v>-85.27</v>
      </c>
      <c r="M2" s="679">
        <f>K2/H2-1</f>
        <v>0.702613989</v>
      </c>
      <c r="N2" s="680">
        <f t="shared" ref="N2:N4" si="2">F2*M2</f>
        <v>17659.5</v>
      </c>
      <c r="O2" s="569" t="s">
        <v>128</v>
      </c>
      <c r="P2" s="514"/>
      <c r="Q2" s="210" t="s">
        <v>36</v>
      </c>
      <c r="R2" s="211">
        <v>43950.0</v>
      </c>
      <c r="S2" s="212">
        <v>855.57</v>
      </c>
      <c r="T2" s="213">
        <v>42794.0</v>
      </c>
      <c r="U2" s="657"/>
      <c r="V2" s="257"/>
      <c r="W2" s="258"/>
      <c r="X2" s="658"/>
    </row>
    <row r="3">
      <c r="A3" s="681">
        <f>B134</f>
        <v>0.1049642736</v>
      </c>
      <c r="B3" s="681">
        <f>G21/D139</f>
        <v>0.02910316283</v>
      </c>
      <c r="C3" s="344" t="s">
        <v>346</v>
      </c>
      <c r="D3" s="344" t="s">
        <v>347</v>
      </c>
      <c r="E3" s="569">
        <v>7.4</v>
      </c>
      <c r="F3" s="106">
        <v>19043.0</v>
      </c>
      <c r="G3" s="680">
        <f t="shared" ref="G3:G4" si="3">F3+N3</f>
        <v>8413</v>
      </c>
      <c r="H3" s="675">
        <v>190.43</v>
      </c>
      <c r="I3" s="676">
        <f>IFERROR(__xludf.DUMMYFUNCTION("GOOGLEFINANCE(D3,""changepct"")"),-1.09)</f>
        <v>-1.09</v>
      </c>
      <c r="J3" s="677">
        <f>IFERROR(__xludf.DUMMYFUNCTION("googlefinance(D3,""price"")"),84.13)</f>
        <v>84.13</v>
      </c>
      <c r="K3" s="677"/>
      <c r="L3" s="677">
        <f t="shared" si="1"/>
        <v>-106.3</v>
      </c>
      <c r="M3" s="679">
        <f t="shared" ref="M3:M4" si="4">J3/H3-1</f>
        <v>-0.558210366</v>
      </c>
      <c r="N3" s="680">
        <f t="shared" si="2"/>
        <v>-10630</v>
      </c>
      <c r="O3" s="569" t="s">
        <v>128</v>
      </c>
      <c r="P3" s="514"/>
      <c r="Q3" s="257"/>
      <c r="R3" s="258"/>
      <c r="S3" s="258"/>
      <c r="T3" s="658"/>
      <c r="U3" s="657"/>
      <c r="V3" s="257"/>
      <c r="W3" s="258"/>
      <c r="X3" s="658"/>
    </row>
    <row r="4">
      <c r="A4" s="528"/>
      <c r="B4" s="528"/>
      <c r="C4" s="344" t="s">
        <v>530</v>
      </c>
      <c r="D4" s="344" t="s">
        <v>34</v>
      </c>
      <c r="E4" s="569">
        <v>7.4</v>
      </c>
      <c r="F4" s="106">
        <v>39460.0</v>
      </c>
      <c r="G4" s="680">
        <f t="shared" si="3"/>
        <v>33620</v>
      </c>
      <c r="H4" s="675">
        <v>98.65</v>
      </c>
      <c r="I4" s="676">
        <f>IFERROR(__xludf.DUMMYFUNCTION("GOOGLEFINANCE(D4,""changepct"")"),-2.94)</f>
        <v>-2.94</v>
      </c>
      <c r="J4" s="677">
        <f>IFERROR(__xludf.DUMMYFUNCTION("googlefinance(D4,""price"")"),84.05)</f>
        <v>84.05</v>
      </c>
      <c r="K4" s="677"/>
      <c r="L4" s="677">
        <f t="shared" si="1"/>
        <v>-14.6</v>
      </c>
      <c r="M4" s="679">
        <f t="shared" si="4"/>
        <v>-0.1479979726</v>
      </c>
      <c r="N4" s="680">
        <f t="shared" si="2"/>
        <v>-5840</v>
      </c>
      <c r="O4" s="569" t="s">
        <v>128</v>
      </c>
      <c r="P4" s="514"/>
      <c r="Q4" s="257"/>
      <c r="R4" s="258"/>
      <c r="S4" s="258"/>
      <c r="T4" s="658"/>
      <c r="U4" s="657"/>
      <c r="V4" s="257"/>
      <c r="W4" s="258"/>
      <c r="X4" s="658"/>
    </row>
    <row r="5">
      <c r="A5" s="528"/>
      <c r="B5" s="528"/>
      <c r="C5" s="344" t="s">
        <v>734</v>
      </c>
      <c r="D5" s="344" t="s">
        <v>74</v>
      </c>
      <c r="E5" s="569">
        <v>6.1</v>
      </c>
      <c r="F5" s="696"/>
      <c r="G5" s="680"/>
      <c r="H5" s="697"/>
      <c r="I5" s="676">
        <f>IFERROR(__xludf.DUMMYFUNCTION("GOOGLEFINANCE(D5,""changepct"")"),-1.32)</f>
        <v>-1.32</v>
      </c>
      <c r="J5" s="677">
        <f>IFERROR(__xludf.DUMMYFUNCTION("googlefinance(D5,""price"")"),424.83)</f>
        <v>424.83</v>
      </c>
      <c r="K5" s="677"/>
      <c r="L5" s="677"/>
      <c r="M5" s="679"/>
      <c r="N5" s="680"/>
      <c r="O5" s="682">
        <v>0.0114</v>
      </c>
      <c r="P5" s="696"/>
      <c r="Q5" s="657"/>
      <c r="R5" s="258"/>
      <c r="S5" s="258"/>
      <c r="T5" s="658"/>
      <c r="U5" s="657"/>
      <c r="V5" s="257"/>
      <c r="W5" s="258"/>
      <c r="X5" s="658"/>
    </row>
    <row r="6">
      <c r="A6" s="528"/>
      <c r="B6" s="528"/>
      <c r="C6" s="344" t="s">
        <v>30</v>
      </c>
      <c r="D6" s="344" t="s">
        <v>31</v>
      </c>
      <c r="E6" s="569">
        <v>6.8</v>
      </c>
      <c r="F6" s="696"/>
      <c r="G6" s="680"/>
      <c r="H6" s="697"/>
      <c r="I6" s="676">
        <f>IFERROR(__xludf.DUMMYFUNCTION("GOOGLEFINANCE(D6,""changepct"")"),-0.7)</f>
        <v>-0.7</v>
      </c>
      <c r="J6" s="677">
        <f>IFERROR(__xludf.DUMMYFUNCTION("googlefinance(D6,""price"")"),192.69)</f>
        <v>192.69</v>
      </c>
      <c r="K6" s="677"/>
      <c r="L6" s="677"/>
      <c r="M6" s="679"/>
      <c r="N6" s="680"/>
      <c r="O6" s="569" t="s">
        <v>128</v>
      </c>
      <c r="P6" s="514"/>
      <c r="Q6" s="657"/>
      <c r="R6" s="258"/>
      <c r="S6" s="258"/>
      <c r="T6" s="658"/>
      <c r="U6" s="657"/>
      <c r="V6" s="257"/>
      <c r="W6" s="258"/>
      <c r="X6" s="658"/>
    </row>
    <row r="7">
      <c r="A7" s="528"/>
      <c r="B7" s="528"/>
      <c r="C7" s="344" t="s">
        <v>632</v>
      </c>
      <c r="D7" s="344" t="s">
        <v>674</v>
      </c>
      <c r="E7" s="569">
        <v>6.2</v>
      </c>
      <c r="F7" s="696"/>
      <c r="G7" s="680"/>
      <c r="H7" s="697"/>
      <c r="I7" s="676">
        <f>IFERROR(__xludf.DUMMYFUNCTION("GOOGLEFINANCE(D7,""changepct"")"),0.0)</f>
        <v>0</v>
      </c>
      <c r="J7" s="677">
        <f>IFERROR(__xludf.DUMMYFUNCTION("googlefinance(D7,""price"")"),185.26)</f>
        <v>185.26</v>
      </c>
      <c r="K7" s="677"/>
      <c r="L7" s="677"/>
      <c r="M7" s="679"/>
      <c r="N7" s="680"/>
      <c r="O7" s="569" t="s">
        <v>128</v>
      </c>
      <c r="P7" s="514"/>
      <c r="Q7" s="657"/>
      <c r="R7" s="258"/>
      <c r="S7" s="258"/>
      <c r="T7" s="658"/>
      <c r="U7" s="657"/>
      <c r="V7" s="257"/>
      <c r="W7" s="258"/>
      <c r="X7" s="658"/>
    </row>
    <row r="8">
      <c r="A8" s="528"/>
      <c r="B8" s="528"/>
      <c r="C8" s="344" t="s">
        <v>846</v>
      </c>
      <c r="D8" s="344" t="s">
        <v>652</v>
      </c>
      <c r="E8" s="569">
        <v>5.7</v>
      </c>
      <c r="F8" s="696"/>
      <c r="G8" s="680"/>
      <c r="H8" s="697"/>
      <c r="I8" s="676">
        <f>IFERROR(__xludf.DUMMYFUNCTION("GOOGLEFINANCE(D8,""changepct"")"),13.39)</f>
        <v>13.39</v>
      </c>
      <c r="J8" s="677">
        <f>IFERROR(__xludf.DUMMYFUNCTION("googlefinance(D8,""price"")"),9.74)</f>
        <v>9.74</v>
      </c>
      <c r="K8" s="677"/>
      <c r="L8" s="677"/>
      <c r="M8" s="679"/>
      <c r="N8" s="680"/>
      <c r="O8" s="569" t="s">
        <v>128</v>
      </c>
      <c r="P8" s="514"/>
      <c r="Q8" s="657"/>
      <c r="R8" s="258"/>
      <c r="S8" s="258"/>
      <c r="T8" s="658"/>
      <c r="U8" s="657"/>
      <c r="V8" s="257"/>
      <c r="W8" s="258"/>
      <c r="X8" s="658"/>
    </row>
    <row r="9">
      <c r="A9" s="528"/>
      <c r="B9" s="528"/>
      <c r="C9" s="344" t="s">
        <v>749</v>
      </c>
      <c r="D9" s="344" t="s">
        <v>582</v>
      </c>
      <c r="E9" s="569">
        <v>6.4</v>
      </c>
      <c r="F9" s="696"/>
      <c r="G9" s="680"/>
      <c r="H9" s="697"/>
      <c r="I9" s="676">
        <f>IFERROR(__xludf.DUMMYFUNCTION("GOOGLEFINANCE(D9,""changepct"")"),-0.78)</f>
        <v>-0.78</v>
      </c>
      <c r="J9" s="677">
        <f>IFERROR(__xludf.DUMMYFUNCTION("googlefinance(D9,""price"")"),900.43)</f>
        <v>900.43</v>
      </c>
      <c r="K9" s="677"/>
      <c r="L9" s="677"/>
      <c r="M9" s="679"/>
      <c r="N9" s="680"/>
      <c r="O9" s="569" t="s">
        <v>128</v>
      </c>
      <c r="P9" s="514"/>
      <c r="Q9" s="657"/>
      <c r="R9" s="258"/>
      <c r="S9" s="258"/>
      <c r="T9" s="658"/>
      <c r="U9" s="657"/>
      <c r="V9" s="257"/>
      <c r="W9" s="258"/>
      <c r="X9" s="658"/>
    </row>
    <row r="10">
      <c r="A10" s="528"/>
      <c r="B10" s="528"/>
      <c r="C10" s="344" t="s">
        <v>898</v>
      </c>
      <c r="D10" s="344" t="s">
        <v>899</v>
      </c>
      <c r="E10" s="569">
        <v>5.1</v>
      </c>
      <c r="F10" s="514"/>
      <c r="G10" s="680"/>
      <c r="H10" s="517"/>
      <c r="I10" s="676" t="str">
        <f>IFERROR(__xludf.DUMMYFUNCTION("GOOGLEFINANCE(D10,""changepct"")"),"#N/A")</f>
        <v>#N/A</v>
      </c>
      <c r="J10" s="677" t="str">
        <f>IFERROR(__xludf.DUMMYFUNCTION("googlefinance(D10,""price"")"),"#N/A")</f>
        <v>#N/A</v>
      </c>
      <c r="K10" s="517"/>
      <c r="L10" s="677"/>
      <c r="M10" s="679"/>
      <c r="N10" s="680"/>
      <c r="O10" s="569" t="s">
        <v>128</v>
      </c>
      <c r="P10" s="514"/>
      <c r="Q10" s="657"/>
      <c r="R10" s="258"/>
      <c r="S10" s="258"/>
      <c r="T10" s="658"/>
      <c r="U10" s="657"/>
      <c r="V10" s="257"/>
      <c r="W10" s="258"/>
      <c r="X10" s="658"/>
    </row>
    <row r="11">
      <c r="A11" s="528"/>
      <c r="B11" s="528"/>
      <c r="C11" s="344" t="s">
        <v>900</v>
      </c>
      <c r="D11" s="344" t="s">
        <v>345</v>
      </c>
      <c r="E11" s="569">
        <v>6.1</v>
      </c>
      <c r="F11" s="514"/>
      <c r="G11" s="680"/>
      <c r="H11" s="517"/>
      <c r="I11" s="676">
        <f>IFERROR(__xludf.DUMMYFUNCTION("GOOGLEFINANCE(D11,""changepct"")"),-0.69)</f>
        <v>-0.69</v>
      </c>
      <c r="J11" s="677">
        <f>IFERROR(__xludf.DUMMYFUNCTION("googlefinance(D11,""price"")"),53.23)</f>
        <v>53.23</v>
      </c>
      <c r="K11" s="517"/>
      <c r="L11" s="677"/>
      <c r="M11" s="679"/>
      <c r="N11" s="680"/>
      <c r="O11" s="538">
        <v>0.0029</v>
      </c>
      <c r="P11" s="514"/>
      <c r="Q11" s="657"/>
      <c r="R11" s="258"/>
      <c r="S11" s="258"/>
      <c r="T11" s="658"/>
      <c r="U11" s="657"/>
      <c r="V11" s="257"/>
      <c r="W11" s="258"/>
      <c r="X11" s="658"/>
    </row>
    <row r="12">
      <c r="A12" s="528"/>
      <c r="B12" s="528"/>
      <c r="C12" s="104" t="s">
        <v>847</v>
      </c>
      <c r="D12" s="104" t="s">
        <v>379</v>
      </c>
      <c r="E12" s="569">
        <v>7.1</v>
      </c>
      <c r="F12" s="217">
        <v>30790.0</v>
      </c>
      <c r="G12" s="674">
        <v>0.0</v>
      </c>
      <c r="H12" s="216">
        <v>61.58</v>
      </c>
      <c r="I12" s="676">
        <f>IFERROR(__xludf.DUMMYFUNCTION("GOOGLEFINANCE(D12,""changepct"")"),-2.8)</f>
        <v>-2.8</v>
      </c>
      <c r="J12" s="677">
        <f>IFERROR(__xludf.DUMMYFUNCTION("googlefinance(D12,""price"")"),57.61)</f>
        <v>57.61</v>
      </c>
      <c r="K12" s="216">
        <v>63.33</v>
      </c>
      <c r="L12" s="677">
        <f t="shared" ref="L12:L17" si="5">J12-H12</f>
        <v>-3.97</v>
      </c>
      <c r="M12" s="679">
        <f>K12/H12-1</f>
        <v>0.02841831764</v>
      </c>
      <c r="N12" s="680">
        <f t="shared" ref="N12:N17" si="6">F12*M12</f>
        <v>875</v>
      </c>
      <c r="O12" s="538"/>
      <c r="P12" s="514"/>
      <c r="Q12" s="210" t="s">
        <v>379</v>
      </c>
      <c r="R12" s="211">
        <v>43994.0</v>
      </c>
      <c r="S12" s="212">
        <v>63.33</v>
      </c>
      <c r="T12" s="674">
        <v>31665.0</v>
      </c>
      <c r="U12" s="210" t="s">
        <v>379</v>
      </c>
      <c r="V12" s="211">
        <v>43971.0</v>
      </c>
      <c r="W12" s="212">
        <v>61.58</v>
      </c>
      <c r="X12" s="213">
        <v>30790.0</v>
      </c>
    </row>
    <row r="13">
      <c r="A13" s="528"/>
      <c r="B13" s="528"/>
      <c r="C13" s="104" t="s">
        <v>741</v>
      </c>
      <c r="D13" s="104" t="s">
        <v>742</v>
      </c>
      <c r="E13" s="569">
        <v>7.2</v>
      </c>
      <c r="F13" s="217">
        <v>33895.0</v>
      </c>
      <c r="G13" s="680">
        <f>F13+N13</f>
        <v>60045</v>
      </c>
      <c r="H13" s="216">
        <v>67.79</v>
      </c>
      <c r="I13" s="676">
        <f>IFERROR(__xludf.DUMMYFUNCTION("GOOGLEFINANCE(D13,""changepct"")"),-1.31)</f>
        <v>-1.31</v>
      </c>
      <c r="J13" s="677">
        <f>IFERROR(__xludf.DUMMYFUNCTION("googlefinance(D13,""price"")"),120.09)</f>
        <v>120.09</v>
      </c>
      <c r="K13" s="517"/>
      <c r="L13" s="677">
        <f t="shared" si="5"/>
        <v>52.3</v>
      </c>
      <c r="M13" s="679">
        <f>J13/H13-1</f>
        <v>0.7715002213</v>
      </c>
      <c r="N13" s="680">
        <f t="shared" si="6"/>
        <v>26150</v>
      </c>
      <c r="O13" s="538"/>
      <c r="P13" s="514"/>
      <c r="Q13" s="657"/>
      <c r="R13" s="258"/>
      <c r="S13" s="258"/>
      <c r="T13" s="658"/>
      <c r="U13" s="210" t="s">
        <v>742</v>
      </c>
      <c r="V13" s="211">
        <v>43971.0</v>
      </c>
      <c r="W13" s="216">
        <v>67.79</v>
      </c>
      <c r="X13" s="213">
        <v>33895.0</v>
      </c>
    </row>
    <row r="14">
      <c r="A14" s="528"/>
      <c r="B14" s="528"/>
      <c r="C14" s="104" t="s">
        <v>747</v>
      </c>
      <c r="D14" s="104" t="s">
        <v>748</v>
      </c>
      <c r="E14" s="569">
        <v>6.7</v>
      </c>
      <c r="F14" s="217">
        <v>31820.0</v>
      </c>
      <c r="G14" s="674">
        <v>0.0</v>
      </c>
      <c r="H14" s="216">
        <v>159.1</v>
      </c>
      <c r="I14" s="676">
        <f>IFERROR(__xludf.DUMMYFUNCTION("GOOGLEFINANCE(D14,""changepct"")"),-1.1)</f>
        <v>-1.1</v>
      </c>
      <c r="J14" s="677">
        <f>IFERROR(__xludf.DUMMYFUNCTION("googlefinance(D14,""price"")"),245.43)</f>
        <v>245.43</v>
      </c>
      <c r="K14" s="216">
        <v>165.51</v>
      </c>
      <c r="L14" s="677">
        <f t="shared" si="5"/>
        <v>86.33</v>
      </c>
      <c r="M14" s="679">
        <f t="shared" ref="M14:M16" si="7">K14/H14-1</f>
        <v>0.04028912634</v>
      </c>
      <c r="N14" s="680">
        <f t="shared" si="6"/>
        <v>1282</v>
      </c>
      <c r="O14" s="538"/>
      <c r="P14" s="514"/>
      <c r="Q14" s="210" t="s">
        <v>748</v>
      </c>
      <c r="R14" s="211">
        <v>43994.0</v>
      </c>
      <c r="S14" s="216">
        <v>165.51</v>
      </c>
      <c r="T14" s="213">
        <v>33102.0</v>
      </c>
      <c r="U14" s="210" t="s">
        <v>748</v>
      </c>
      <c r="V14" s="211">
        <v>43971.0</v>
      </c>
      <c r="W14" s="212">
        <v>159.1</v>
      </c>
      <c r="X14" s="213">
        <v>31820.0</v>
      </c>
    </row>
    <row r="15">
      <c r="A15" s="528"/>
      <c r="B15" s="528"/>
      <c r="C15" s="104" t="s">
        <v>848</v>
      </c>
      <c r="D15" s="104" t="s">
        <v>849</v>
      </c>
      <c r="E15" s="569">
        <v>6.8</v>
      </c>
      <c r="F15" s="217">
        <v>31085.0</v>
      </c>
      <c r="G15" s="674">
        <v>0.0</v>
      </c>
      <c r="H15" s="216">
        <v>62.17</v>
      </c>
      <c r="I15" s="676">
        <f>IFERROR(__xludf.DUMMYFUNCTION("GOOGLEFINANCE(D15,""changepct"")"),-0.26)</f>
        <v>-0.26</v>
      </c>
      <c r="J15" s="677">
        <f>IFERROR(__xludf.DUMMYFUNCTION("googlefinance(D15,""price"")"),65.16)</f>
        <v>65.16</v>
      </c>
      <c r="K15" s="216">
        <v>66.77</v>
      </c>
      <c r="L15" s="677">
        <f t="shared" si="5"/>
        <v>2.99</v>
      </c>
      <c r="M15" s="679">
        <f t="shared" si="7"/>
        <v>0.07399067074</v>
      </c>
      <c r="N15" s="680">
        <f t="shared" si="6"/>
        <v>2300</v>
      </c>
      <c r="O15" s="538"/>
      <c r="P15" s="514"/>
      <c r="Q15" s="210" t="s">
        <v>849</v>
      </c>
      <c r="R15" s="211">
        <v>43994.0</v>
      </c>
      <c r="S15" s="216">
        <v>66.77</v>
      </c>
      <c r="T15" s="213">
        <v>33385.0</v>
      </c>
      <c r="U15" s="210" t="s">
        <v>849</v>
      </c>
      <c r="V15" s="211">
        <v>43971.0</v>
      </c>
      <c r="W15" s="212">
        <v>62.17</v>
      </c>
      <c r="X15" s="217">
        <v>31085.0</v>
      </c>
    </row>
    <row r="16">
      <c r="A16" s="528"/>
      <c r="B16" s="528"/>
      <c r="C16" s="685" t="s">
        <v>743</v>
      </c>
      <c r="D16" s="104" t="s">
        <v>744</v>
      </c>
      <c r="E16" s="569">
        <v>7.1</v>
      </c>
      <c r="F16" s="217">
        <v>41525.0</v>
      </c>
      <c r="G16" s="674">
        <v>0.0</v>
      </c>
      <c r="H16" s="216">
        <v>33.22</v>
      </c>
      <c r="I16" s="676">
        <f>IFERROR(__xludf.DUMMYFUNCTION("GOOGLEFINANCE(D16,""changepct"")"),-1.13)</f>
        <v>-1.13</v>
      </c>
      <c r="J16" s="677">
        <f>IFERROR(__xludf.DUMMYFUNCTION("googlefinance(D16,""price"")"),63.81)</f>
        <v>63.81</v>
      </c>
      <c r="K16" s="216">
        <v>32.66</v>
      </c>
      <c r="L16" s="677">
        <f t="shared" si="5"/>
        <v>30.59</v>
      </c>
      <c r="M16" s="679">
        <f t="shared" si="7"/>
        <v>-0.01685731487</v>
      </c>
      <c r="N16" s="680">
        <f t="shared" si="6"/>
        <v>-700</v>
      </c>
      <c r="O16" s="538"/>
      <c r="P16" s="514"/>
      <c r="Q16" s="210" t="s">
        <v>744</v>
      </c>
      <c r="R16" s="211">
        <v>43994.0</v>
      </c>
      <c r="S16" s="216">
        <v>32.66</v>
      </c>
      <c r="T16" s="213">
        <v>40825.0</v>
      </c>
      <c r="U16" s="210" t="s">
        <v>744</v>
      </c>
      <c r="V16" s="211">
        <v>43984.0</v>
      </c>
      <c r="W16" s="216">
        <v>33.22</v>
      </c>
      <c r="X16" s="217">
        <v>41525.0</v>
      </c>
    </row>
    <row r="17">
      <c r="A17" s="528"/>
      <c r="B17" s="528"/>
      <c r="C17" s="685" t="s">
        <v>803</v>
      </c>
      <c r="D17" s="104" t="s">
        <v>804</v>
      </c>
      <c r="E17" s="569">
        <v>7.2</v>
      </c>
      <c r="F17" s="213">
        <v>51577.5</v>
      </c>
      <c r="G17" s="680">
        <f>F17+N17</f>
        <v>34500</v>
      </c>
      <c r="H17" s="212">
        <v>68.77</v>
      </c>
      <c r="I17" s="676">
        <f>IFERROR(__xludf.DUMMYFUNCTION("GOOGLEFINANCE(D17,""changepct"")"),0.78)</f>
        <v>0.78</v>
      </c>
      <c r="J17" s="677">
        <f>IFERROR(__xludf.DUMMYFUNCTION("googlefinance(D17,""price"")"),46.0)</f>
        <v>46</v>
      </c>
      <c r="K17" s="517"/>
      <c r="L17" s="677">
        <f t="shared" si="5"/>
        <v>-22.77</v>
      </c>
      <c r="M17" s="679">
        <f>J17/H17-1</f>
        <v>-0.3311036789</v>
      </c>
      <c r="N17" s="680">
        <f t="shared" si="6"/>
        <v>-17077.5</v>
      </c>
      <c r="O17" s="538"/>
      <c r="P17" s="514"/>
      <c r="Q17" s="657"/>
      <c r="R17" s="258"/>
      <c r="S17" s="258"/>
      <c r="T17" s="658"/>
      <c r="U17" s="210" t="s">
        <v>804</v>
      </c>
      <c r="V17" s="211">
        <v>43984.0</v>
      </c>
      <c r="W17" s="212">
        <v>68.77</v>
      </c>
      <c r="X17" s="213">
        <v>51577.5</v>
      </c>
    </row>
    <row r="18">
      <c r="A18" s="528"/>
      <c r="B18" s="528"/>
      <c r="C18" s="344" t="s">
        <v>380</v>
      </c>
      <c r="D18" s="344" t="s">
        <v>53</v>
      </c>
      <c r="E18" s="569">
        <v>6.1</v>
      </c>
      <c r="F18" s="514"/>
      <c r="G18" s="528"/>
      <c r="H18" s="517"/>
      <c r="I18" s="676">
        <f>IFERROR(__xludf.DUMMYFUNCTION("GOOGLEFINANCE(D18,""changepct"")"),0.35)</f>
        <v>0.35</v>
      </c>
      <c r="J18" s="677">
        <f>IFERROR(__xludf.DUMMYFUNCTION("googlefinance(D18,""price"")"),137.49)</f>
        <v>137.49</v>
      </c>
      <c r="K18" s="517"/>
      <c r="L18" s="677"/>
      <c r="M18" s="679"/>
      <c r="N18" s="680"/>
      <c r="O18" s="538">
        <v>0.0022</v>
      </c>
      <c r="P18" s="514"/>
      <c r="Q18" s="657"/>
      <c r="R18" s="258"/>
      <c r="S18" s="258"/>
      <c r="T18" s="658"/>
      <c r="U18" s="657"/>
      <c r="V18" s="257"/>
      <c r="W18" s="258"/>
      <c r="X18" s="658"/>
    </row>
    <row r="19">
      <c r="A19" s="528"/>
      <c r="B19" s="528"/>
      <c r="C19" s="344" t="s">
        <v>721</v>
      </c>
      <c r="D19" s="344" t="s">
        <v>722</v>
      </c>
      <c r="E19" s="651">
        <v>6.4</v>
      </c>
      <c r="F19" s="514"/>
      <c r="G19" s="528"/>
      <c r="H19" s="517"/>
      <c r="I19" s="676" t="str">
        <f>IFERROR(__xludf.DUMMYFUNCTION("GOOGLEFINANCE(D19,""changepct"")"),"#N/A")</f>
        <v>#N/A</v>
      </c>
      <c r="J19" s="677" t="str">
        <f>IFERROR(__xludf.DUMMYFUNCTION("googlefinance(D19,""price"")"),"#N/A")</f>
        <v>#N/A</v>
      </c>
      <c r="K19" s="517"/>
      <c r="L19" s="528"/>
      <c r="M19" s="518"/>
      <c r="N19" s="528"/>
      <c r="O19" s="682">
        <v>0.0064</v>
      </c>
      <c r="P19" s="514"/>
      <c r="Q19" s="657"/>
      <c r="R19" s="258"/>
      <c r="S19" s="258"/>
      <c r="T19" s="658"/>
      <c r="U19" s="657"/>
      <c r="V19" s="257"/>
      <c r="W19" s="258"/>
      <c r="X19" s="658"/>
    </row>
    <row r="20">
      <c r="A20" s="528"/>
      <c r="B20" s="528"/>
      <c r="C20" s="344" t="s">
        <v>901</v>
      </c>
      <c r="D20" s="344" t="s">
        <v>902</v>
      </c>
      <c r="E20" s="569">
        <v>5.7</v>
      </c>
      <c r="F20" s="696"/>
      <c r="G20" s="680"/>
      <c r="H20" s="517"/>
      <c r="I20" s="676">
        <f>IFERROR(__xludf.DUMMYFUNCTION("GOOGLEFINANCE(D20,""changepct"")"),-1.33)</f>
        <v>-1.33</v>
      </c>
      <c r="J20" s="677">
        <f>IFERROR(__xludf.DUMMYFUNCTION("googlefinance(D20,""price"")"),252.2)</f>
        <v>252.2</v>
      </c>
      <c r="K20" s="517"/>
      <c r="L20" s="528"/>
      <c r="M20" s="679"/>
      <c r="N20" s="680"/>
      <c r="O20" s="682">
        <v>0.0105</v>
      </c>
      <c r="P20" s="696"/>
      <c r="Q20" s="657"/>
      <c r="R20" s="258"/>
      <c r="S20" s="258"/>
      <c r="T20" s="658"/>
      <c r="U20" s="657"/>
      <c r="V20" s="257"/>
      <c r="W20" s="258"/>
      <c r="X20" s="658"/>
    </row>
    <row r="21">
      <c r="A21" s="173"/>
      <c r="B21" s="13" t="s">
        <v>89</v>
      </c>
      <c r="C21" s="173"/>
      <c r="D21" s="173"/>
      <c r="E21" s="173"/>
      <c r="F21" s="693">
        <f t="shared" ref="F21:G21" si="8">SUM(F2:F20)</f>
        <v>304329.5</v>
      </c>
      <c r="G21" s="694">
        <f t="shared" si="8"/>
        <v>136578</v>
      </c>
      <c r="H21" s="607"/>
      <c r="I21" s="173"/>
      <c r="J21" s="173"/>
      <c r="K21" s="173"/>
      <c r="L21" s="173"/>
      <c r="M21" s="695">
        <f>N21/F21</f>
        <v>0.04606520235</v>
      </c>
      <c r="N21" s="693">
        <f>SUM(N2:N20)</f>
        <v>14019</v>
      </c>
      <c r="O21" s="173"/>
      <c r="P21" s="693"/>
      <c r="Q21" s="238" t="s">
        <v>89</v>
      </c>
      <c r="R21" s="241"/>
      <c r="S21" s="241"/>
      <c r="T21" s="240">
        <f>SUM(T2:T20)</f>
        <v>181771</v>
      </c>
      <c r="U21" s="238" t="s">
        <v>89</v>
      </c>
      <c r="V21" s="239"/>
      <c r="W21" s="241"/>
      <c r="X21" s="240">
        <f>SUM(X2:X20)</f>
        <v>220692.5</v>
      </c>
    </row>
    <row r="22">
      <c r="A22" s="173"/>
      <c r="B22" s="13" t="s">
        <v>807</v>
      </c>
      <c r="C22" s="13" t="s">
        <v>3</v>
      </c>
      <c r="D22" s="13" t="s">
        <v>4</v>
      </c>
      <c r="E22" s="13" t="s">
        <v>5</v>
      </c>
      <c r="F22" s="504" t="s">
        <v>895</v>
      </c>
      <c r="G22" s="505" t="s">
        <v>730</v>
      </c>
      <c r="H22" s="505" t="s">
        <v>923</v>
      </c>
      <c r="I22" s="506" t="s">
        <v>10</v>
      </c>
      <c r="J22" s="673" t="s">
        <v>11</v>
      </c>
      <c r="K22" s="508" t="s">
        <v>476</v>
      </c>
      <c r="L22" s="507" t="s">
        <v>13</v>
      </c>
      <c r="M22" s="504" t="s">
        <v>924</v>
      </c>
      <c r="N22" s="508" t="s">
        <v>368</v>
      </c>
      <c r="O22" s="13" t="s">
        <v>16</v>
      </c>
      <c r="P22" s="13" t="s">
        <v>17</v>
      </c>
      <c r="Q22" s="238" t="s">
        <v>21</v>
      </c>
      <c r="R22" s="238" t="s">
        <v>22</v>
      </c>
      <c r="S22" s="238" t="s">
        <v>23</v>
      </c>
      <c r="T22" s="238" t="s">
        <v>24</v>
      </c>
      <c r="U22" s="238" t="s">
        <v>25</v>
      </c>
      <c r="V22" s="238" t="s">
        <v>26</v>
      </c>
      <c r="W22" s="238" t="s">
        <v>27</v>
      </c>
      <c r="X22" s="238" t="s">
        <v>28</v>
      </c>
    </row>
    <row r="23">
      <c r="A23" s="565" t="s">
        <v>733</v>
      </c>
      <c r="B23" s="681">
        <f>G35/D139</f>
        <v>0.0373880328</v>
      </c>
      <c r="C23" s="344" t="s">
        <v>677</v>
      </c>
      <c r="D23" s="344" t="s">
        <v>315</v>
      </c>
      <c r="E23" s="651">
        <v>7.9</v>
      </c>
      <c r="F23" s="106">
        <v>58968.0</v>
      </c>
      <c r="G23" s="696">
        <f>F23+N23</f>
        <v>73608</v>
      </c>
      <c r="H23" s="675">
        <v>73.71</v>
      </c>
      <c r="I23" s="676">
        <f>IFERROR(__xludf.DUMMYFUNCTION("GOOGLEFINANCE(D23,""changepct"")"),-2.23)</f>
        <v>-2.23</v>
      </c>
      <c r="J23" s="677">
        <f>IFERROR(__xludf.DUMMYFUNCTION("googlefinance(D23,""price"")"),92.01)</f>
        <v>92.01</v>
      </c>
      <c r="K23" s="697"/>
      <c r="L23" s="697">
        <f>J23-H23</f>
        <v>18.3</v>
      </c>
      <c r="M23" s="698">
        <f>J23/H23-1</f>
        <v>0.2482702483</v>
      </c>
      <c r="N23" s="697">
        <f>F23*M23</f>
        <v>14640</v>
      </c>
      <c r="O23" s="682">
        <v>0.0327</v>
      </c>
      <c r="P23" s="106">
        <v>500.0</v>
      </c>
      <c r="Q23" s="657"/>
      <c r="R23" s="257"/>
      <c r="S23" s="258"/>
      <c r="T23" s="658"/>
      <c r="U23" s="657"/>
      <c r="V23" s="257"/>
      <c r="W23" s="257"/>
      <c r="X23" s="257"/>
    </row>
    <row r="24">
      <c r="A24" s="528"/>
      <c r="B24" s="528"/>
      <c r="C24" s="344" t="s">
        <v>854</v>
      </c>
      <c r="D24" s="344" t="s">
        <v>855</v>
      </c>
      <c r="E24" s="569">
        <v>7.1</v>
      </c>
      <c r="F24" s="696"/>
      <c r="G24" s="696"/>
      <c r="H24" s="697"/>
      <c r="I24" s="676">
        <f>IFERROR(__xludf.DUMMYFUNCTION("GOOGLEFINANCE(D24,""changepct"")"),-0.74)</f>
        <v>-0.74</v>
      </c>
      <c r="J24" s="677">
        <f>IFERROR(__xludf.DUMMYFUNCTION("googlefinance(D24,""price"")"),150.19)</f>
        <v>150.19</v>
      </c>
      <c r="K24" s="697"/>
      <c r="L24" s="697"/>
      <c r="M24" s="698"/>
      <c r="N24" s="697"/>
      <c r="O24" s="569" t="s">
        <v>128</v>
      </c>
      <c r="P24" s="514"/>
      <c r="Q24" s="657"/>
      <c r="R24" s="257"/>
      <c r="S24" s="258"/>
      <c r="T24" s="658"/>
      <c r="U24" s="657"/>
      <c r="V24" s="257"/>
      <c r="W24" s="257"/>
      <c r="X24" s="257"/>
    </row>
    <row r="25">
      <c r="A25" s="528"/>
      <c r="B25" s="528"/>
      <c r="C25" s="344" t="s">
        <v>810</v>
      </c>
      <c r="D25" s="344" t="s">
        <v>811</v>
      </c>
      <c r="E25" s="651">
        <v>7.8</v>
      </c>
      <c r="F25" s="106">
        <v>34640.0</v>
      </c>
      <c r="G25" s="696">
        <f>F25+N25</f>
        <v>73820</v>
      </c>
      <c r="H25" s="675">
        <v>17.32</v>
      </c>
      <c r="I25" s="676">
        <f>IFERROR(__xludf.DUMMYFUNCTION("GOOGLEFINANCE(D25,""changepct"")"),-0.73)</f>
        <v>-0.73</v>
      </c>
      <c r="J25" s="677">
        <f>IFERROR(__xludf.DUMMYFUNCTION("googlefinance(D25,""price"")"),36.91)</f>
        <v>36.91</v>
      </c>
      <c r="K25" s="697"/>
      <c r="L25" s="697">
        <f t="shared" ref="L25:L26" si="9">J25-H25</f>
        <v>19.59</v>
      </c>
      <c r="M25" s="698">
        <f>J25/H25-1</f>
        <v>1.131062356</v>
      </c>
      <c r="N25" s="697">
        <f t="shared" ref="N25:N26" si="10">F25*M25</f>
        <v>39180</v>
      </c>
      <c r="O25" s="569" t="s">
        <v>128</v>
      </c>
      <c r="P25" s="514"/>
      <c r="Q25" s="657"/>
      <c r="R25" s="257"/>
      <c r="S25" s="258"/>
      <c r="T25" s="658"/>
      <c r="U25" s="657"/>
      <c r="V25" s="257"/>
      <c r="W25" s="257"/>
      <c r="X25" s="257"/>
    </row>
    <row r="26">
      <c r="A26" s="528"/>
      <c r="B26" s="528"/>
      <c r="C26" s="344" t="s">
        <v>857</v>
      </c>
      <c r="D26" s="344" t="s">
        <v>858</v>
      </c>
      <c r="E26" s="569">
        <v>6.9</v>
      </c>
      <c r="F26" s="106">
        <v>44465.0</v>
      </c>
      <c r="G26" s="106">
        <v>0.0</v>
      </c>
      <c r="H26" s="675">
        <v>88.93</v>
      </c>
      <c r="I26" s="676" t="str">
        <f>IFERROR(__xludf.DUMMYFUNCTION("GOOGLEFINANCE(D26,""changepct"")"),"#N/A")</f>
        <v>#N/A</v>
      </c>
      <c r="J26" s="677" t="str">
        <f>IFERROR(__xludf.DUMMYFUNCTION("googlefinance(D26,""price"")"),"#N/A")</f>
        <v>#N/A</v>
      </c>
      <c r="K26" s="675">
        <v>103.06</v>
      </c>
      <c r="L26" s="697" t="str">
        <f t="shared" si="9"/>
        <v>#N/A</v>
      </c>
      <c r="M26" s="698">
        <f>K26/H26-1</f>
        <v>0.1588890138</v>
      </c>
      <c r="N26" s="697">
        <f t="shared" si="10"/>
        <v>7065</v>
      </c>
      <c r="O26" s="569" t="s">
        <v>128</v>
      </c>
      <c r="P26" s="514"/>
      <c r="Q26" s="210" t="s">
        <v>858</v>
      </c>
      <c r="R26" s="211">
        <v>43969.0</v>
      </c>
      <c r="S26" s="212">
        <v>103.06</v>
      </c>
      <c r="T26" s="213">
        <v>51530.0</v>
      </c>
      <c r="U26" s="657"/>
      <c r="V26" s="257"/>
      <c r="W26" s="257"/>
      <c r="X26" s="257"/>
    </row>
    <row r="27">
      <c r="A27" s="528"/>
      <c r="B27" s="528"/>
      <c r="C27" s="344" t="s">
        <v>903</v>
      </c>
      <c r="D27" s="344" t="s">
        <v>904</v>
      </c>
      <c r="E27" s="569">
        <v>6.1</v>
      </c>
      <c r="F27" s="696"/>
      <c r="G27" s="696"/>
      <c r="H27" s="697"/>
      <c r="I27" s="676" t="str">
        <f>IFERROR(__xludf.DUMMYFUNCTION("GOOGLEFINANCE(D27,""changepct"")"),"#N/A")</f>
        <v>#N/A</v>
      </c>
      <c r="J27" s="677" t="str">
        <f>IFERROR(__xludf.DUMMYFUNCTION("googlefinance(D27,""price"")"),"#N/A")</f>
        <v>#N/A</v>
      </c>
      <c r="K27" s="697"/>
      <c r="L27" s="697"/>
      <c r="M27" s="698"/>
      <c r="N27" s="697"/>
      <c r="O27" s="569" t="s">
        <v>128</v>
      </c>
      <c r="P27" s="514"/>
      <c r="Q27" s="657"/>
      <c r="R27" s="257"/>
      <c r="S27" s="258"/>
      <c r="T27" s="658"/>
      <c r="U27" s="657"/>
      <c r="V27" s="257"/>
      <c r="W27" s="257"/>
      <c r="X27" s="257"/>
    </row>
    <row r="28">
      <c r="A28" s="528"/>
      <c r="B28" s="528"/>
      <c r="C28" s="344" t="s">
        <v>750</v>
      </c>
      <c r="D28" s="344" t="s">
        <v>317</v>
      </c>
      <c r="E28" s="569">
        <v>7.1</v>
      </c>
      <c r="F28" s="217">
        <v>31570.0</v>
      </c>
      <c r="G28" s="696">
        <f>F28+N28</f>
        <v>28030</v>
      </c>
      <c r="H28" s="216">
        <v>63.14</v>
      </c>
      <c r="I28" s="676">
        <f>IFERROR(__xludf.DUMMYFUNCTION("GOOGLEFINANCE(D28,""changepct"")"),-2.81)</f>
        <v>-2.81</v>
      </c>
      <c r="J28" s="677">
        <f>IFERROR(__xludf.DUMMYFUNCTION("googlefinance(D28,""price"")"),56.06)</f>
        <v>56.06</v>
      </c>
      <c r="K28" s="697"/>
      <c r="L28" s="697">
        <f t="shared" ref="L28:L31" si="11">J28-H28</f>
        <v>-7.08</v>
      </c>
      <c r="M28" s="698">
        <f>J28/H28-1</f>
        <v>-0.1121317707</v>
      </c>
      <c r="N28" s="697">
        <f t="shared" ref="N28:N31" si="12">F28*M28</f>
        <v>-3540</v>
      </c>
      <c r="O28" s="682">
        <v>0.0296</v>
      </c>
      <c r="P28" s="514"/>
      <c r="Q28" s="657"/>
      <c r="R28" s="257"/>
      <c r="S28" s="258"/>
      <c r="T28" s="658"/>
      <c r="U28" s="210" t="s">
        <v>317</v>
      </c>
      <c r="V28" s="211">
        <v>43965.0</v>
      </c>
      <c r="W28" s="236">
        <v>63.14</v>
      </c>
      <c r="X28" s="217">
        <v>31570.0</v>
      </c>
    </row>
    <row r="29">
      <c r="A29" s="528"/>
      <c r="B29" s="528"/>
      <c r="C29" s="567" t="s">
        <v>859</v>
      </c>
      <c r="D29" s="104" t="s">
        <v>860</v>
      </c>
      <c r="E29" s="569">
        <v>7.3</v>
      </c>
      <c r="F29" s="217">
        <v>31075.0</v>
      </c>
      <c r="G29" s="106">
        <v>0.0</v>
      </c>
      <c r="H29" s="216">
        <v>62.15</v>
      </c>
      <c r="I29" s="676">
        <f>IFERROR(__xludf.DUMMYFUNCTION("GOOGLEFINANCE(D29,""changepct"")"),-1.17)</f>
        <v>-1.17</v>
      </c>
      <c r="J29" s="677">
        <f>IFERROR(__xludf.DUMMYFUNCTION("googlefinance(D29,""price"")"),82.12)</f>
        <v>82.12</v>
      </c>
      <c r="K29" s="675">
        <v>64.62</v>
      </c>
      <c r="L29" s="697">
        <f t="shared" si="11"/>
        <v>19.97</v>
      </c>
      <c r="M29" s="698">
        <f t="shared" ref="M29:M31" si="13">K29/H29-1</f>
        <v>0.03974255833</v>
      </c>
      <c r="N29" s="697">
        <f t="shared" si="12"/>
        <v>1235</v>
      </c>
      <c r="O29" s="569"/>
      <c r="P29" s="514"/>
      <c r="Q29" s="210" t="s">
        <v>860</v>
      </c>
      <c r="R29" s="211">
        <v>43969.0</v>
      </c>
      <c r="S29" s="212">
        <v>64.62</v>
      </c>
      <c r="T29" s="213">
        <v>32310.0</v>
      </c>
      <c r="U29" s="210" t="s">
        <v>860</v>
      </c>
      <c r="V29" s="211">
        <v>43965.0</v>
      </c>
      <c r="W29" s="236">
        <v>62.15</v>
      </c>
      <c r="X29" s="217">
        <v>31075.0</v>
      </c>
    </row>
    <row r="30">
      <c r="A30" s="528"/>
      <c r="B30" s="528"/>
      <c r="C30" s="567" t="s">
        <v>861</v>
      </c>
      <c r="D30" s="104" t="s">
        <v>862</v>
      </c>
      <c r="E30" s="569">
        <v>7.4</v>
      </c>
      <c r="F30" s="217">
        <v>30374.0</v>
      </c>
      <c r="G30" s="106">
        <v>0.0</v>
      </c>
      <c r="H30" s="216">
        <v>253.12</v>
      </c>
      <c r="I30" s="676">
        <f>IFERROR(__xludf.DUMMYFUNCTION("GOOGLEFINANCE(D30,""changepct"")"),-1.4)</f>
        <v>-1.4</v>
      </c>
      <c r="J30" s="677">
        <f>IFERROR(__xludf.DUMMYFUNCTION("googlefinance(D30,""price"")"),58.46)</f>
        <v>58.46</v>
      </c>
      <c r="K30" s="675">
        <v>265.45</v>
      </c>
      <c r="L30" s="697">
        <f t="shared" si="11"/>
        <v>-194.66</v>
      </c>
      <c r="M30" s="698">
        <f t="shared" si="13"/>
        <v>0.04871207332</v>
      </c>
      <c r="N30" s="697">
        <f t="shared" si="12"/>
        <v>1479.580515</v>
      </c>
      <c r="O30" s="569"/>
      <c r="P30" s="514"/>
      <c r="Q30" s="210" t="s">
        <v>862</v>
      </c>
      <c r="R30" s="211">
        <v>43969.0</v>
      </c>
      <c r="S30" s="212">
        <v>265.45</v>
      </c>
      <c r="T30" s="213">
        <v>31856.0</v>
      </c>
      <c r="U30" s="210" t="s">
        <v>862</v>
      </c>
      <c r="V30" s="211">
        <v>43965.0</v>
      </c>
      <c r="W30" s="236">
        <v>253.12</v>
      </c>
      <c r="X30" s="217">
        <v>30374.0</v>
      </c>
    </row>
    <row r="31">
      <c r="A31" s="528"/>
      <c r="B31" s="528"/>
      <c r="C31" s="567" t="s">
        <v>751</v>
      </c>
      <c r="D31" s="104" t="s">
        <v>752</v>
      </c>
      <c r="E31" s="569">
        <v>7.5</v>
      </c>
      <c r="F31" s="217">
        <v>32067.5</v>
      </c>
      <c r="G31" s="106">
        <v>0.0</v>
      </c>
      <c r="H31" s="216">
        <v>128.27</v>
      </c>
      <c r="I31" s="676">
        <f>IFERROR(__xludf.DUMMYFUNCTION("GOOGLEFINANCE(D31,""changepct"")"),-1.39)</f>
        <v>-1.39</v>
      </c>
      <c r="J31" s="677">
        <f>IFERROR(__xludf.DUMMYFUNCTION("googlefinance(D31,""price"")"),131.67)</f>
        <v>131.67</v>
      </c>
      <c r="K31" s="675">
        <v>134.43</v>
      </c>
      <c r="L31" s="697">
        <f t="shared" si="11"/>
        <v>3.4</v>
      </c>
      <c r="M31" s="698">
        <f t="shared" si="13"/>
        <v>0.04802370001</v>
      </c>
      <c r="N31" s="697">
        <f t="shared" si="12"/>
        <v>1540</v>
      </c>
      <c r="O31" s="569" t="s">
        <v>128</v>
      </c>
      <c r="P31" s="514"/>
      <c r="Q31" s="210" t="s">
        <v>752</v>
      </c>
      <c r="R31" s="211">
        <v>43969.0</v>
      </c>
      <c r="S31" s="212">
        <v>134.43</v>
      </c>
      <c r="T31" s="213">
        <v>33608.0</v>
      </c>
      <c r="U31" s="210" t="s">
        <v>752</v>
      </c>
      <c r="V31" s="211">
        <v>43965.0</v>
      </c>
      <c r="W31" s="236">
        <v>128.27</v>
      </c>
      <c r="X31" s="217">
        <v>32067.5</v>
      </c>
    </row>
    <row r="32">
      <c r="A32" s="528"/>
      <c r="B32" s="528"/>
      <c r="C32" s="631" t="s">
        <v>111</v>
      </c>
      <c r="D32" s="344" t="s">
        <v>112</v>
      </c>
      <c r="E32" s="569">
        <v>6.7</v>
      </c>
      <c r="F32" s="514"/>
      <c r="G32" s="696"/>
      <c r="H32" s="517"/>
      <c r="I32" s="676">
        <f>IFERROR(__xludf.DUMMYFUNCTION("GOOGLEFINANCE(D32,""changepct"")"),-1.02)</f>
        <v>-1.02</v>
      </c>
      <c r="J32" s="677">
        <f>IFERROR(__xludf.DUMMYFUNCTION("googlefinance(D32,""price"")"),176.2)</f>
        <v>176.2</v>
      </c>
      <c r="K32" s="697"/>
      <c r="L32" s="697"/>
      <c r="M32" s="698"/>
      <c r="N32" s="697"/>
      <c r="O32" s="682">
        <v>0.0574</v>
      </c>
      <c r="P32" s="514"/>
      <c r="Q32" s="657"/>
      <c r="R32" s="257"/>
      <c r="S32" s="258"/>
      <c r="T32" s="658"/>
      <c r="U32" s="657"/>
      <c r="V32" s="257"/>
      <c r="W32" s="257"/>
      <c r="X32" s="257"/>
    </row>
    <row r="33">
      <c r="A33" s="528"/>
      <c r="B33" s="528"/>
      <c r="C33" s="344" t="s">
        <v>590</v>
      </c>
      <c r="D33" s="344" t="s">
        <v>104</v>
      </c>
      <c r="E33" s="651">
        <v>6.5</v>
      </c>
      <c r="F33" s="514"/>
      <c r="G33" s="696"/>
      <c r="H33" s="517"/>
      <c r="I33" s="676">
        <f>IFERROR(__xludf.DUMMYFUNCTION("GOOGLEFINANCE(D33,""changepct"")"),-1.28)</f>
        <v>-1.28</v>
      </c>
      <c r="J33" s="677">
        <f>IFERROR(__xludf.DUMMYFUNCTION("googlefinance(D33,""price"")"),259.3)</f>
        <v>259.3</v>
      </c>
      <c r="K33" s="697"/>
      <c r="L33" s="697"/>
      <c r="M33" s="698"/>
      <c r="N33" s="697"/>
      <c r="O33" s="682">
        <v>0.0268</v>
      </c>
      <c r="P33" s="514"/>
      <c r="Q33" s="657"/>
      <c r="R33" s="257"/>
      <c r="S33" s="258"/>
      <c r="T33" s="658"/>
      <c r="U33" s="657"/>
      <c r="V33" s="257"/>
      <c r="W33" s="257"/>
      <c r="X33" s="257"/>
    </row>
    <row r="34">
      <c r="A34" s="528"/>
      <c r="B34" s="528"/>
      <c r="C34" s="344" t="s">
        <v>863</v>
      </c>
      <c r="D34" s="344" t="s">
        <v>864</v>
      </c>
      <c r="E34" s="569">
        <v>7.2</v>
      </c>
      <c r="F34" s="514"/>
      <c r="G34" s="696"/>
      <c r="H34" s="517"/>
      <c r="I34" s="676">
        <f>IFERROR(__xludf.DUMMYFUNCTION("GOOGLEFINANCE(D34,""changepct"")"),-0.75)</f>
        <v>-0.75</v>
      </c>
      <c r="J34" s="677">
        <f>IFERROR(__xludf.DUMMYFUNCTION("googlefinance(D34,""price"")"),13.17)</f>
        <v>13.17</v>
      </c>
      <c r="K34" s="697"/>
      <c r="L34" s="697"/>
      <c r="M34" s="698"/>
      <c r="N34" s="697"/>
      <c r="O34" s="682">
        <v>0.0462</v>
      </c>
      <c r="P34" s="514"/>
      <c r="Q34" s="657"/>
      <c r="R34" s="257"/>
      <c r="S34" s="258"/>
      <c r="T34" s="658"/>
      <c r="U34" s="657"/>
      <c r="V34" s="257"/>
      <c r="W34" s="257"/>
      <c r="X34" s="257"/>
    </row>
    <row r="35">
      <c r="A35" s="173"/>
      <c r="B35" s="13" t="s">
        <v>89</v>
      </c>
      <c r="C35" s="173"/>
      <c r="D35" s="173"/>
      <c r="E35" s="173"/>
      <c r="F35" s="693">
        <f t="shared" ref="F35:G35" si="14">SUM(F23:F34)</f>
        <v>263159.5</v>
      </c>
      <c r="G35" s="693">
        <f t="shared" si="14"/>
        <v>175458</v>
      </c>
      <c r="H35" s="173"/>
      <c r="I35" s="173"/>
      <c r="J35" s="173"/>
      <c r="K35" s="173"/>
      <c r="L35" s="173"/>
      <c r="M35" s="695">
        <f>N35/F35</f>
        <v>0.2340769781</v>
      </c>
      <c r="N35" s="693">
        <f>SUM(N23:N34)</f>
        <v>61599.58052</v>
      </c>
      <c r="O35" s="173"/>
      <c r="P35" s="693">
        <f>SUM(P23:P34)</f>
        <v>500</v>
      </c>
      <c r="Q35" s="238" t="s">
        <v>89</v>
      </c>
      <c r="R35" s="239"/>
      <c r="S35" s="241"/>
      <c r="T35" s="240">
        <f>SUM(T23:T34)</f>
        <v>149304</v>
      </c>
      <c r="U35" s="238" t="s">
        <v>89</v>
      </c>
      <c r="V35" s="239"/>
      <c r="W35" s="239"/>
      <c r="X35" s="240">
        <f>SUM(X23:X34)</f>
        <v>125086.5</v>
      </c>
    </row>
    <row r="36">
      <c r="A36" s="173"/>
      <c r="B36" s="13" t="s">
        <v>812</v>
      </c>
      <c r="C36" s="13" t="s">
        <v>3</v>
      </c>
      <c r="D36" s="13" t="s">
        <v>4</v>
      </c>
      <c r="E36" s="13" t="s">
        <v>5</v>
      </c>
      <c r="F36" s="504" t="s">
        <v>895</v>
      </c>
      <c r="G36" s="505" t="s">
        <v>730</v>
      </c>
      <c r="H36" s="505" t="s">
        <v>923</v>
      </c>
      <c r="I36" s="506" t="s">
        <v>10</v>
      </c>
      <c r="J36" s="673" t="s">
        <v>11</v>
      </c>
      <c r="K36" s="508" t="s">
        <v>476</v>
      </c>
      <c r="L36" s="507" t="s">
        <v>13</v>
      </c>
      <c r="M36" s="504" t="s">
        <v>924</v>
      </c>
      <c r="N36" s="508" t="s">
        <v>368</v>
      </c>
      <c r="O36" s="13" t="s">
        <v>16</v>
      </c>
      <c r="P36" s="13" t="s">
        <v>17</v>
      </c>
      <c r="Q36" s="238" t="s">
        <v>21</v>
      </c>
      <c r="R36" s="238" t="s">
        <v>22</v>
      </c>
      <c r="S36" s="238" t="s">
        <v>23</v>
      </c>
      <c r="T36" s="238" t="s">
        <v>24</v>
      </c>
      <c r="U36" s="238" t="s">
        <v>25</v>
      </c>
      <c r="V36" s="238" t="s">
        <v>26</v>
      </c>
      <c r="W36" s="238" t="s">
        <v>27</v>
      </c>
      <c r="X36" s="238" t="s">
        <v>28</v>
      </c>
    </row>
    <row r="37">
      <c r="A37" s="565" t="s">
        <v>733</v>
      </c>
      <c r="B37" s="681" t="str">
        <f>G48/D139</f>
        <v>#N/A</v>
      </c>
      <c r="C37" s="631" t="s">
        <v>94</v>
      </c>
      <c r="D37" s="631" t="s">
        <v>95</v>
      </c>
      <c r="E37" s="569">
        <v>5.8</v>
      </c>
      <c r="F37" s="106">
        <v>25540.0</v>
      </c>
      <c r="G37" s="106">
        <v>0.0</v>
      </c>
      <c r="H37" s="675">
        <v>12.77</v>
      </c>
      <c r="I37" s="700">
        <f>IFERROR(__xludf.DUMMYFUNCTION("GOOGLEFINANCE(D37,""changepct"")"),0.03)</f>
        <v>0.03</v>
      </c>
      <c r="J37" s="677">
        <f>IFERROR(__xludf.DUMMYFUNCTION("googlefinance(D37,""price"")"),37.81)</f>
        <v>37.81</v>
      </c>
      <c r="K37" s="678">
        <v>17.47</v>
      </c>
      <c r="L37" s="697">
        <f>J37-H37</f>
        <v>25.04</v>
      </c>
      <c r="M37" s="698">
        <f>K37/H37-1</f>
        <v>0.3680501175</v>
      </c>
      <c r="N37" s="696">
        <f>F37*M37</f>
        <v>9400</v>
      </c>
      <c r="O37" s="682">
        <v>0.03</v>
      </c>
      <c r="P37" s="696"/>
      <c r="Q37" s="210" t="s">
        <v>95</v>
      </c>
      <c r="R37" s="211">
        <v>43950.0</v>
      </c>
      <c r="S37" s="212">
        <v>17.47</v>
      </c>
      <c r="T37" s="213">
        <v>34940.0</v>
      </c>
      <c r="U37" s="657"/>
      <c r="V37" s="257"/>
      <c r="W37" s="258"/>
      <c r="X37" s="658"/>
    </row>
    <row r="38">
      <c r="A38" s="528"/>
      <c r="B38" s="528"/>
      <c r="C38" s="600" t="s">
        <v>762</v>
      </c>
      <c r="D38" s="631" t="s">
        <v>763</v>
      </c>
      <c r="E38" s="569">
        <v>5.4</v>
      </c>
      <c r="F38" s="696"/>
      <c r="G38" s="696"/>
      <c r="H38" s="697"/>
      <c r="I38" s="700">
        <f>IFERROR(__xludf.DUMMYFUNCTION("GOOGLEFINANCE(D38,""changepct"")"),0.63)</f>
        <v>0.63</v>
      </c>
      <c r="J38" s="677">
        <f>IFERROR(__xludf.DUMMYFUNCTION("googlefinance(D38,""price"")"),26.96)</f>
        <v>26.96</v>
      </c>
      <c r="K38" s="697"/>
      <c r="L38" s="697"/>
      <c r="M38" s="698"/>
      <c r="N38" s="696"/>
      <c r="O38" s="682">
        <v>0.069</v>
      </c>
      <c r="P38" s="696"/>
      <c r="Q38" s="657"/>
      <c r="R38" s="258"/>
      <c r="S38" s="258"/>
      <c r="T38" s="658"/>
      <c r="U38" s="657"/>
      <c r="V38" s="257"/>
      <c r="W38" s="258"/>
      <c r="X38" s="658"/>
    </row>
    <row r="39">
      <c r="A39" s="528"/>
      <c r="B39" s="528"/>
      <c r="C39" s="631" t="s">
        <v>815</v>
      </c>
      <c r="D39" s="631" t="s">
        <v>816</v>
      </c>
      <c r="E39" s="569">
        <v>7.7</v>
      </c>
      <c r="F39" s="106">
        <v>45100.0</v>
      </c>
      <c r="G39" s="696" t="str">
        <f>F39+N39</f>
        <v>#N/A</v>
      </c>
      <c r="H39" s="675">
        <v>4.51</v>
      </c>
      <c r="I39" s="700" t="str">
        <f>IFERROR(__xludf.DUMMYFUNCTION("GOOGLEFINANCE(D39,""changepct"")"),"#N/A")</f>
        <v>#N/A</v>
      </c>
      <c r="J39" s="677" t="str">
        <f>IFERROR(__xludf.DUMMYFUNCTION("googlefinance(D39,""price"")"),"#N/A")</f>
        <v>#N/A</v>
      </c>
      <c r="K39" s="697"/>
      <c r="L39" s="697" t="str">
        <f t="shared" ref="L39:L41" si="15">J39-H39</f>
        <v>#N/A</v>
      </c>
      <c r="M39" s="698" t="str">
        <f t="shared" ref="M39:M40" si="16">J39/H39-1</f>
        <v>#N/A</v>
      </c>
      <c r="N39" s="696" t="str">
        <f t="shared" ref="N39:N41" si="17">F39*M39</f>
        <v>#N/A</v>
      </c>
      <c r="O39" s="703">
        <v>0.1</v>
      </c>
      <c r="P39" s="106">
        <v>1350.0</v>
      </c>
      <c r="Q39" s="657"/>
      <c r="R39" s="258"/>
      <c r="S39" s="258"/>
      <c r="T39" s="658"/>
      <c r="U39" s="657"/>
      <c r="V39" s="257"/>
      <c r="W39" s="258"/>
      <c r="X39" s="658"/>
    </row>
    <row r="40">
      <c r="A40" s="528"/>
      <c r="B40" s="528"/>
      <c r="C40" s="631" t="s">
        <v>905</v>
      </c>
      <c r="D40" s="631" t="s">
        <v>567</v>
      </c>
      <c r="E40" s="569">
        <v>6.9</v>
      </c>
      <c r="F40" s="106">
        <v>29615.0</v>
      </c>
      <c r="G40" s="106">
        <v>0.0</v>
      </c>
      <c r="H40" s="675">
        <v>59.23</v>
      </c>
      <c r="I40" s="700">
        <f>IFERROR(__xludf.DUMMYFUNCTION("GOOGLEFINANCE(D40,""changepct"")"),0.01)</f>
        <v>0.01</v>
      </c>
      <c r="J40" s="677">
        <f>IFERROR(__xludf.DUMMYFUNCTION("googlefinance(D40,""price"")"),119.59)</f>
        <v>119.59</v>
      </c>
      <c r="K40" s="675">
        <v>64.0</v>
      </c>
      <c r="L40" s="697">
        <f t="shared" si="15"/>
        <v>60.36</v>
      </c>
      <c r="M40" s="698">
        <f t="shared" si="16"/>
        <v>1.01907817</v>
      </c>
      <c r="N40" s="696">
        <f t="shared" si="17"/>
        <v>30180</v>
      </c>
      <c r="O40" s="682">
        <v>0.062</v>
      </c>
      <c r="P40" s="696"/>
      <c r="Q40" s="210" t="s">
        <v>567</v>
      </c>
      <c r="R40" s="211">
        <v>43970.0</v>
      </c>
      <c r="S40" s="212">
        <v>64.0</v>
      </c>
      <c r="T40" s="213">
        <v>31640.0</v>
      </c>
      <c r="U40" s="210" t="s">
        <v>567</v>
      </c>
      <c r="V40" s="211">
        <v>43965.0</v>
      </c>
      <c r="W40" s="212">
        <v>59.23</v>
      </c>
      <c r="X40" s="213">
        <v>29615.0</v>
      </c>
    </row>
    <row r="41">
      <c r="A41" s="528"/>
      <c r="B41" s="528"/>
      <c r="C41" s="104" t="s">
        <v>491</v>
      </c>
      <c r="D41" s="104" t="s">
        <v>492</v>
      </c>
      <c r="E41" s="569">
        <v>6.8</v>
      </c>
      <c r="F41" s="106">
        <v>36550.0</v>
      </c>
      <c r="G41" s="106">
        <v>0.0</v>
      </c>
      <c r="H41" s="675">
        <v>36.55</v>
      </c>
      <c r="I41" s="700">
        <f>IFERROR(__xludf.DUMMYFUNCTION("GOOGLEFINANCE(D41,""changepct"")"),-0.68)</f>
        <v>-0.68</v>
      </c>
      <c r="J41" s="677">
        <f>IFERROR(__xludf.DUMMYFUNCTION("googlefinance(D41,""price"")"),105.76)</f>
        <v>105.76</v>
      </c>
      <c r="K41" s="678">
        <v>47.16</v>
      </c>
      <c r="L41" s="697">
        <f t="shared" si="15"/>
        <v>69.21</v>
      </c>
      <c r="M41" s="698">
        <f>K41/H41-1</f>
        <v>0.2902872777</v>
      </c>
      <c r="N41" s="696">
        <f t="shared" si="17"/>
        <v>10610</v>
      </c>
      <c r="O41" s="682">
        <v>0.075</v>
      </c>
      <c r="P41" s="696"/>
      <c r="Q41" s="210" t="s">
        <v>492</v>
      </c>
      <c r="R41" s="211">
        <v>43950.0</v>
      </c>
      <c r="S41" s="212">
        <v>47.16</v>
      </c>
      <c r="T41" s="213">
        <v>47160.0</v>
      </c>
      <c r="U41" s="657"/>
      <c r="V41" s="257"/>
      <c r="W41" s="258"/>
      <c r="X41" s="658"/>
    </row>
    <row r="42">
      <c r="A42" s="528"/>
      <c r="B42" s="528"/>
      <c r="C42" s="104" t="s">
        <v>925</v>
      </c>
      <c r="D42" s="104" t="s">
        <v>926</v>
      </c>
      <c r="E42" s="569">
        <v>7.1</v>
      </c>
      <c r="F42" s="696"/>
      <c r="G42" s="696"/>
      <c r="H42" s="697"/>
      <c r="I42" s="700" t="str">
        <f>IFERROR(__xludf.DUMMYFUNCTION("GOOGLEFINANCE(D42,""changepct"")"),"#N/A")</f>
        <v>#N/A</v>
      </c>
      <c r="J42" s="677" t="str">
        <f>IFERROR(__xludf.DUMMYFUNCTION("googlefinance(D42,""price"")"),"#N/A")</f>
        <v>#N/A</v>
      </c>
      <c r="K42" s="697"/>
      <c r="L42" s="697"/>
      <c r="M42" s="698"/>
      <c r="N42" s="696"/>
      <c r="O42" s="682"/>
      <c r="P42" s="696"/>
      <c r="Q42" s="657"/>
      <c r="R42" s="258"/>
      <c r="S42" s="258"/>
      <c r="T42" s="658"/>
      <c r="U42" s="657"/>
      <c r="V42" s="257"/>
      <c r="W42" s="258"/>
      <c r="X42" s="658"/>
    </row>
    <row r="43">
      <c r="A43" s="528"/>
      <c r="B43" s="528"/>
      <c r="C43" s="344" t="s">
        <v>906</v>
      </c>
      <c r="D43" s="344" t="s">
        <v>496</v>
      </c>
      <c r="E43" s="569">
        <v>5.4</v>
      </c>
      <c r="F43" s="696"/>
      <c r="G43" s="696"/>
      <c r="H43" s="697"/>
      <c r="I43" s="700">
        <f>IFERROR(__xludf.DUMMYFUNCTION("GOOGLEFINANCE(D43,""changepct"")"),-0.21)</f>
        <v>-0.21</v>
      </c>
      <c r="J43" s="677">
        <f>IFERROR(__xludf.DUMMYFUNCTION("googlefinance(D43,""price"")"),48.46)</f>
        <v>48.46</v>
      </c>
      <c r="K43" s="697"/>
      <c r="L43" s="697"/>
      <c r="M43" s="698"/>
      <c r="N43" s="696"/>
      <c r="O43" s="682">
        <v>0.0265</v>
      </c>
      <c r="P43" s="696"/>
      <c r="Q43" s="657"/>
      <c r="R43" s="258"/>
      <c r="S43" s="258"/>
      <c r="T43" s="658"/>
      <c r="U43" s="657"/>
      <c r="V43" s="257"/>
      <c r="W43" s="258"/>
      <c r="X43" s="658"/>
    </row>
    <row r="44">
      <c r="A44" s="528"/>
      <c r="B44" s="528"/>
      <c r="C44" s="344" t="s">
        <v>865</v>
      </c>
      <c r="D44" s="344" t="s">
        <v>494</v>
      </c>
      <c r="E44" s="569">
        <v>6.7</v>
      </c>
      <c r="F44" s="106">
        <v>25100.0</v>
      </c>
      <c r="G44" s="106">
        <v>0.0</v>
      </c>
      <c r="H44" s="675">
        <v>25.1</v>
      </c>
      <c r="I44" s="700">
        <f>IFERROR(__xludf.DUMMYFUNCTION("GOOGLEFINANCE(D44,""changepct"")"),0.45)</f>
        <v>0.45</v>
      </c>
      <c r="J44" s="677">
        <f>IFERROR(__xludf.DUMMYFUNCTION("googlefinance(D44,""price"")"),29.09)</f>
        <v>29.09</v>
      </c>
      <c r="K44" s="678">
        <v>24.05</v>
      </c>
      <c r="L44" s="697">
        <f t="shared" ref="L44:L47" si="18">J44-H44</f>
        <v>3.99</v>
      </c>
      <c r="M44" s="698">
        <f>K44/H44-1</f>
        <v>-0.04183266932</v>
      </c>
      <c r="N44" s="696">
        <f t="shared" ref="N44:N47" si="19">F44*M44</f>
        <v>-1050</v>
      </c>
      <c r="O44" s="682">
        <v>0.0991</v>
      </c>
      <c r="P44" s="696"/>
      <c r="Q44" s="210" t="s">
        <v>494</v>
      </c>
      <c r="R44" s="211">
        <v>43950.0</v>
      </c>
      <c r="S44" s="212">
        <v>24.05</v>
      </c>
      <c r="T44" s="213">
        <v>24050.0</v>
      </c>
      <c r="U44" s="210" t="s">
        <v>494</v>
      </c>
      <c r="V44" s="211">
        <v>43965.0</v>
      </c>
      <c r="W44" s="212">
        <v>22.0</v>
      </c>
      <c r="X44" s="213">
        <v>33000.0</v>
      </c>
    </row>
    <row r="45">
      <c r="A45" s="528"/>
      <c r="B45" s="528"/>
      <c r="C45" s="344" t="s">
        <v>865</v>
      </c>
      <c r="D45" s="344" t="s">
        <v>494</v>
      </c>
      <c r="E45" s="569">
        <v>6.7</v>
      </c>
      <c r="F45" s="217">
        <v>33000.0</v>
      </c>
      <c r="G45" s="696">
        <f t="shared" ref="G45:G46" si="20">F45+N45</f>
        <v>43635</v>
      </c>
      <c r="H45" s="216">
        <v>22.0</v>
      </c>
      <c r="I45" s="700">
        <f>IFERROR(__xludf.DUMMYFUNCTION("GOOGLEFINANCE(D45,""changepct"")"),0.45)</f>
        <v>0.45</v>
      </c>
      <c r="J45" s="677">
        <f>IFERROR(__xludf.DUMMYFUNCTION("googlefinance(D45,""price"")"),29.09)</f>
        <v>29.09</v>
      </c>
      <c r="K45" s="697"/>
      <c r="L45" s="697">
        <f t="shared" si="18"/>
        <v>7.09</v>
      </c>
      <c r="M45" s="698">
        <f t="shared" ref="M45:M46" si="21">J45/H45-1</f>
        <v>0.3222727273</v>
      </c>
      <c r="N45" s="696">
        <f t="shared" si="19"/>
        <v>10635</v>
      </c>
      <c r="O45" s="682">
        <v>0.0991</v>
      </c>
      <c r="P45" s="217">
        <v>867.0</v>
      </c>
      <c r="Q45" s="210"/>
      <c r="R45" s="211"/>
      <c r="S45" s="258"/>
      <c r="T45" s="658"/>
      <c r="U45" s="210"/>
      <c r="V45" s="211"/>
      <c r="W45" s="258"/>
      <c r="X45" s="658"/>
    </row>
    <row r="46">
      <c r="A46" s="528"/>
      <c r="B46" s="528"/>
      <c r="C46" s="344" t="s">
        <v>680</v>
      </c>
      <c r="D46" s="344" t="s">
        <v>681</v>
      </c>
      <c r="E46" s="651">
        <v>7.9</v>
      </c>
      <c r="F46" s="217">
        <v>29760.0</v>
      </c>
      <c r="G46" s="696">
        <f t="shared" si="20"/>
        <v>3480</v>
      </c>
      <c r="H46" s="216">
        <v>59.52</v>
      </c>
      <c r="I46" s="700">
        <f>IFERROR(__xludf.DUMMYFUNCTION("GOOGLEFINANCE(D46,""changepct"")"),0.0)</f>
        <v>0</v>
      </c>
      <c r="J46" s="677">
        <f>IFERROR(__xludf.DUMMYFUNCTION("googlefinance(D46,""price"")"),6.96)</f>
        <v>6.96</v>
      </c>
      <c r="K46" s="697"/>
      <c r="L46" s="697">
        <f t="shared" si="18"/>
        <v>-52.56</v>
      </c>
      <c r="M46" s="698">
        <f t="shared" si="21"/>
        <v>-0.8830645161</v>
      </c>
      <c r="N46" s="696">
        <f t="shared" si="19"/>
        <v>-26280</v>
      </c>
      <c r="O46" s="682">
        <v>0.0964</v>
      </c>
      <c r="P46" s="217">
        <v>894.0</v>
      </c>
      <c r="Q46" s="657"/>
      <c r="R46" s="258"/>
      <c r="S46" s="258"/>
      <c r="T46" s="658"/>
      <c r="U46" s="657"/>
      <c r="V46" s="257"/>
      <c r="W46" s="258"/>
      <c r="X46" s="658"/>
    </row>
    <row r="47">
      <c r="A47" s="528"/>
      <c r="B47" s="528"/>
      <c r="C47" s="344" t="s">
        <v>907</v>
      </c>
      <c r="D47" s="344" t="s">
        <v>309</v>
      </c>
      <c r="E47" s="569">
        <v>5.8</v>
      </c>
      <c r="F47" s="106">
        <v>22950.0</v>
      </c>
      <c r="G47" s="106">
        <v>0.0</v>
      </c>
      <c r="H47" s="216">
        <v>9.18</v>
      </c>
      <c r="I47" s="700">
        <f>IFERROR(__xludf.DUMMYFUNCTION("GOOGLEFINANCE(D47,""changepct"")"),0.28)</f>
        <v>0.28</v>
      </c>
      <c r="J47" s="677">
        <f>IFERROR(__xludf.DUMMYFUNCTION("googlefinance(D47,""price"")"),14.51)</f>
        <v>14.51</v>
      </c>
      <c r="K47" s="678">
        <v>12.88</v>
      </c>
      <c r="L47" s="697">
        <f t="shared" si="18"/>
        <v>5.33</v>
      </c>
      <c r="M47" s="698">
        <f>K47/H47-1</f>
        <v>0.4030501089</v>
      </c>
      <c r="N47" s="696">
        <f t="shared" si="19"/>
        <v>9250</v>
      </c>
      <c r="O47" s="682">
        <v>0.0154</v>
      </c>
      <c r="P47" s="696"/>
      <c r="Q47" s="210" t="s">
        <v>309</v>
      </c>
      <c r="R47" s="211">
        <v>43950.0</v>
      </c>
      <c r="S47" s="212">
        <v>12.88</v>
      </c>
      <c r="T47" s="213">
        <v>32200.0</v>
      </c>
      <c r="U47" s="657"/>
      <c r="V47" s="257"/>
      <c r="W47" s="258"/>
      <c r="X47" s="658"/>
    </row>
    <row r="48">
      <c r="A48" s="173"/>
      <c r="B48" s="13" t="s">
        <v>89</v>
      </c>
      <c r="C48" s="173"/>
      <c r="D48" s="173"/>
      <c r="E48" s="173"/>
      <c r="F48" s="693">
        <f t="shared" ref="F48:G48" si="22">SUM(F37:F47)</f>
        <v>247615</v>
      </c>
      <c r="G48" s="693" t="str">
        <f t="shared" si="22"/>
        <v>#N/A</v>
      </c>
      <c r="H48" s="607"/>
      <c r="I48" s="173"/>
      <c r="J48" s="173"/>
      <c r="K48" s="173"/>
      <c r="L48" s="173"/>
      <c r="M48" s="695" t="str">
        <f>N48/F48</f>
        <v>#N/A</v>
      </c>
      <c r="N48" s="693" t="str">
        <f>SUM(N37:N47)</f>
        <v>#N/A</v>
      </c>
      <c r="O48" s="173"/>
      <c r="P48" s="693">
        <f>SUM(P37:P47)</f>
        <v>3111</v>
      </c>
      <c r="Q48" s="238" t="s">
        <v>89</v>
      </c>
      <c r="R48" s="241"/>
      <c r="S48" s="241"/>
      <c r="T48" s="240">
        <f>SUM(T37:T47)</f>
        <v>169990</v>
      </c>
      <c r="U48" s="238" t="s">
        <v>927</v>
      </c>
      <c r="V48" s="239"/>
      <c r="W48" s="241"/>
      <c r="X48" s="240">
        <f>SUM(X37:X47)</f>
        <v>62615</v>
      </c>
    </row>
    <row r="49">
      <c r="A49" s="173"/>
      <c r="B49" s="504" t="s">
        <v>908</v>
      </c>
      <c r="C49" s="13" t="s">
        <v>3</v>
      </c>
      <c r="D49" s="13" t="s">
        <v>4</v>
      </c>
      <c r="E49" s="13" t="s">
        <v>5</v>
      </c>
      <c r="F49" s="504" t="s">
        <v>895</v>
      </c>
      <c r="G49" s="505" t="s">
        <v>730</v>
      </c>
      <c r="H49" s="505" t="s">
        <v>923</v>
      </c>
      <c r="I49" s="506" t="s">
        <v>10</v>
      </c>
      <c r="J49" s="673" t="s">
        <v>11</v>
      </c>
      <c r="K49" s="508" t="s">
        <v>476</v>
      </c>
      <c r="L49" s="507" t="s">
        <v>13</v>
      </c>
      <c r="M49" s="504" t="s">
        <v>924</v>
      </c>
      <c r="N49" s="508" t="s">
        <v>368</v>
      </c>
      <c r="O49" s="13" t="s">
        <v>16</v>
      </c>
      <c r="P49" s="13" t="s">
        <v>17</v>
      </c>
      <c r="Q49" s="238" t="s">
        <v>21</v>
      </c>
      <c r="R49" s="238" t="s">
        <v>22</v>
      </c>
      <c r="S49" s="238" t="s">
        <v>23</v>
      </c>
      <c r="T49" s="238" t="s">
        <v>24</v>
      </c>
      <c r="U49" s="238" t="s">
        <v>25</v>
      </c>
      <c r="V49" s="238" t="s">
        <v>26</v>
      </c>
      <c r="W49" s="238" t="s">
        <v>27</v>
      </c>
      <c r="X49" s="238" t="s">
        <v>28</v>
      </c>
    </row>
    <row r="50">
      <c r="A50" s="565" t="s">
        <v>733</v>
      </c>
      <c r="B50" s="681">
        <f>G58/D139</f>
        <v>0</v>
      </c>
      <c r="C50" s="344" t="s">
        <v>764</v>
      </c>
      <c r="D50" s="344" t="s">
        <v>765</v>
      </c>
      <c r="E50" s="569">
        <v>6.8</v>
      </c>
      <c r="F50" s="106">
        <v>28200.0</v>
      </c>
      <c r="G50" s="106">
        <v>0.0</v>
      </c>
      <c r="H50" s="675">
        <v>5.64</v>
      </c>
      <c r="I50" s="676">
        <f>IFERROR(__xludf.DUMMYFUNCTION("GOOGLEFINANCE(D50,""changepct"")"),-1.16)</f>
        <v>-1.16</v>
      </c>
      <c r="J50" s="677">
        <f>IFERROR(__xludf.DUMMYFUNCTION("googlefinance(D50,""price"")"),168.1)</f>
        <v>168.1</v>
      </c>
      <c r="K50" s="675">
        <v>6.88</v>
      </c>
      <c r="L50" s="697">
        <f t="shared" ref="L50:L51" si="23">J50-H50</f>
        <v>162.46</v>
      </c>
      <c r="M50" s="698">
        <f t="shared" ref="M50:M51" si="24">K50/H50-1</f>
        <v>0.219858156</v>
      </c>
      <c r="N50" s="696">
        <f t="shared" ref="N50:N51" si="25">F50*M50</f>
        <v>6200</v>
      </c>
      <c r="O50" s="682">
        <v>0.0059</v>
      </c>
      <c r="P50" s="696"/>
      <c r="Q50" s="210" t="s">
        <v>765</v>
      </c>
      <c r="R50" s="211">
        <v>43977.0</v>
      </c>
      <c r="S50" s="212">
        <v>6.88</v>
      </c>
      <c r="T50" s="213">
        <v>34400.0</v>
      </c>
      <c r="U50" s="210" t="s">
        <v>765</v>
      </c>
      <c r="V50" s="211">
        <v>43965.0</v>
      </c>
      <c r="W50" s="212">
        <v>5.64</v>
      </c>
      <c r="X50" s="213">
        <v>28200.0</v>
      </c>
    </row>
    <row r="51">
      <c r="A51" s="528"/>
      <c r="B51" s="528"/>
      <c r="C51" s="104" t="s">
        <v>354</v>
      </c>
      <c r="D51" s="104" t="s">
        <v>355</v>
      </c>
      <c r="E51" s="569">
        <v>6.5</v>
      </c>
      <c r="F51" s="106">
        <v>30027.5</v>
      </c>
      <c r="G51" s="106">
        <v>0.0</v>
      </c>
      <c r="H51" s="675">
        <v>120.11</v>
      </c>
      <c r="I51" s="676">
        <f>IFERROR(__xludf.DUMMYFUNCTION("GOOGLEFINANCE(D51,""changepct"")"),-2.31)</f>
        <v>-2.31</v>
      </c>
      <c r="J51" s="677">
        <f>IFERROR(__xludf.DUMMYFUNCTION("googlefinance(D51,""price"")"),176.55)</f>
        <v>176.55</v>
      </c>
      <c r="K51" s="675">
        <v>144.11</v>
      </c>
      <c r="L51" s="697">
        <f t="shared" si="23"/>
        <v>56.44</v>
      </c>
      <c r="M51" s="698">
        <f t="shared" si="24"/>
        <v>0.1998168346</v>
      </c>
      <c r="N51" s="696">
        <f t="shared" si="25"/>
        <v>6000</v>
      </c>
      <c r="O51" s="682" t="s">
        <v>128</v>
      </c>
      <c r="P51" s="696"/>
      <c r="Q51" s="210" t="s">
        <v>355</v>
      </c>
      <c r="R51" s="211">
        <v>43977.0</v>
      </c>
      <c r="S51" s="212">
        <v>144.11</v>
      </c>
      <c r="T51" s="213">
        <v>36028.0</v>
      </c>
      <c r="U51" s="210" t="s">
        <v>355</v>
      </c>
      <c r="V51" s="211">
        <v>43965.0</v>
      </c>
      <c r="W51" s="212">
        <v>120.11</v>
      </c>
      <c r="X51" s="213">
        <v>30028.0</v>
      </c>
    </row>
    <row r="52">
      <c r="A52" s="528"/>
      <c r="B52" s="528"/>
      <c r="C52" s="344" t="s">
        <v>117</v>
      </c>
      <c r="D52" s="344" t="s">
        <v>118</v>
      </c>
      <c r="E52" s="569">
        <v>6.1</v>
      </c>
      <c r="F52" s="696"/>
      <c r="G52" s="696"/>
      <c r="H52" s="697"/>
      <c r="I52" s="676">
        <f>IFERROR(__xludf.DUMMYFUNCTION("GOOGLEFINANCE(D52,""changepct"")"),-1.15)</f>
        <v>-1.15</v>
      </c>
      <c r="J52" s="677">
        <f>IFERROR(__xludf.DUMMYFUNCTION("googlefinance(D52,""price"")"),483.37)</f>
        <v>483.37</v>
      </c>
      <c r="K52" s="697"/>
      <c r="L52" s="697"/>
      <c r="M52" s="698"/>
      <c r="N52" s="696"/>
      <c r="O52" s="682">
        <v>0.025</v>
      </c>
      <c r="P52" s="696"/>
      <c r="Q52" s="657"/>
      <c r="R52" s="257"/>
      <c r="S52" s="258"/>
      <c r="T52" s="658"/>
      <c r="U52" s="657"/>
      <c r="V52" s="257"/>
      <c r="W52" s="258"/>
      <c r="X52" s="658"/>
    </row>
    <row r="53">
      <c r="A53" s="528"/>
      <c r="B53" s="528"/>
      <c r="C53" s="344" t="s">
        <v>909</v>
      </c>
      <c r="D53" s="344" t="s">
        <v>116</v>
      </c>
      <c r="E53" s="569">
        <v>6.8</v>
      </c>
      <c r="F53" s="696"/>
      <c r="G53" s="696"/>
      <c r="H53" s="697"/>
      <c r="I53" s="676">
        <f>IFERROR(__xludf.DUMMYFUNCTION("GOOGLEFINANCE(D53,""changepct"")"),-1.04)</f>
        <v>-1.04</v>
      </c>
      <c r="J53" s="677">
        <f>IFERROR(__xludf.DUMMYFUNCTION("googlefinance(D53,""price"")"),263.38)</f>
        <v>263.38</v>
      </c>
      <c r="K53" s="697"/>
      <c r="L53" s="697"/>
      <c r="M53" s="698"/>
      <c r="N53" s="696"/>
      <c r="O53" s="682" t="s">
        <v>128</v>
      </c>
      <c r="P53" s="514"/>
      <c r="Q53" s="657"/>
      <c r="R53" s="257"/>
      <c r="S53" s="258"/>
      <c r="T53" s="658"/>
      <c r="U53" s="657"/>
      <c r="V53" s="257"/>
      <c r="W53" s="258"/>
      <c r="X53" s="658"/>
    </row>
    <row r="54">
      <c r="A54" s="528"/>
      <c r="B54" s="528"/>
      <c r="C54" s="344" t="s">
        <v>910</v>
      </c>
      <c r="D54" s="344" t="s">
        <v>538</v>
      </c>
      <c r="E54" s="569" t="s">
        <v>911</v>
      </c>
      <c r="F54" s="106">
        <v>25920.0</v>
      </c>
      <c r="G54" s="106">
        <v>0.0</v>
      </c>
      <c r="H54" s="675">
        <v>17.28</v>
      </c>
      <c r="I54" s="676">
        <f>IFERROR(__xludf.DUMMYFUNCTION("GOOGLEFINANCE(D54,""changepct"")"),-0.32)</f>
        <v>-0.32</v>
      </c>
      <c r="J54" s="677">
        <f>IFERROR(__xludf.DUMMYFUNCTION("googlefinance(D54,""price"")"),33.87)</f>
        <v>33.87</v>
      </c>
      <c r="K54" s="675">
        <v>20.82</v>
      </c>
      <c r="L54" s="697">
        <f t="shared" ref="L54:L55" si="26">J54-H54</f>
        <v>16.59</v>
      </c>
      <c r="M54" s="698">
        <f t="shared" ref="M54:M55" si="27">K54/H54-1</f>
        <v>0.2048611111</v>
      </c>
      <c r="N54" s="696">
        <f t="shared" ref="N54:N55" si="28">F54*M54</f>
        <v>5310</v>
      </c>
      <c r="O54" s="538">
        <v>0.0018</v>
      </c>
      <c r="P54" s="514"/>
      <c r="Q54" s="210" t="s">
        <v>538</v>
      </c>
      <c r="R54" s="211">
        <v>43970.0</v>
      </c>
      <c r="S54" s="212">
        <v>20.82</v>
      </c>
      <c r="T54" s="213">
        <v>31230.0</v>
      </c>
      <c r="U54" s="210" t="s">
        <v>538</v>
      </c>
      <c r="V54" s="211">
        <v>43965.0</v>
      </c>
      <c r="W54" s="212">
        <v>17.28</v>
      </c>
      <c r="X54" s="213">
        <v>25920.0</v>
      </c>
    </row>
    <row r="55">
      <c r="A55" s="528"/>
      <c r="B55" s="528"/>
      <c r="C55" s="104" t="s">
        <v>403</v>
      </c>
      <c r="D55" s="104" t="s">
        <v>404</v>
      </c>
      <c r="E55" s="569">
        <v>6.4</v>
      </c>
      <c r="F55" s="217">
        <v>27850.0</v>
      </c>
      <c r="G55" s="106">
        <v>0.0</v>
      </c>
      <c r="H55" s="216">
        <v>139.25</v>
      </c>
      <c r="I55" s="676">
        <f>IFERROR(__xludf.DUMMYFUNCTION("GOOGLEFINANCE(D55,""changepct"")"),-1.29)</f>
        <v>-1.29</v>
      </c>
      <c r="J55" s="677">
        <f>IFERROR(__xludf.DUMMYFUNCTION("googlefinance(D55,""price"")"),145.71)</f>
        <v>145.71</v>
      </c>
      <c r="K55" s="216">
        <v>173.21</v>
      </c>
      <c r="L55" s="697">
        <f t="shared" si="26"/>
        <v>6.46</v>
      </c>
      <c r="M55" s="698">
        <f t="shared" si="27"/>
        <v>0.2438779174</v>
      </c>
      <c r="N55" s="696">
        <f t="shared" si="28"/>
        <v>6792</v>
      </c>
      <c r="O55" s="682">
        <v>0.0232</v>
      </c>
      <c r="P55" s="514"/>
      <c r="Q55" s="210" t="s">
        <v>404</v>
      </c>
      <c r="R55" s="211">
        <v>43994.0</v>
      </c>
      <c r="S55" s="212">
        <v>173.21</v>
      </c>
      <c r="T55" s="213">
        <v>34642.0</v>
      </c>
      <c r="U55" s="210" t="s">
        <v>404</v>
      </c>
      <c r="V55" s="211">
        <v>43965.0</v>
      </c>
      <c r="W55" s="212">
        <v>139.25</v>
      </c>
      <c r="X55" s="213">
        <v>27850.0</v>
      </c>
    </row>
    <row r="56">
      <c r="A56" s="528"/>
      <c r="B56" s="528"/>
      <c r="C56" s="344" t="s">
        <v>818</v>
      </c>
      <c r="D56" s="344" t="s">
        <v>120</v>
      </c>
      <c r="E56" s="569">
        <v>6.1</v>
      </c>
      <c r="F56" s="514"/>
      <c r="G56" s="517"/>
      <c r="H56" s="517"/>
      <c r="I56" s="676">
        <f>IFERROR(__xludf.DUMMYFUNCTION("GOOGLEFINANCE(D56,""changepct"")"),-1.02)</f>
        <v>-1.02</v>
      </c>
      <c r="J56" s="677">
        <f>IFERROR(__xludf.DUMMYFUNCTION("googlefinance(D56,""price"")"),466.52)</f>
        <v>466.52</v>
      </c>
      <c r="K56" s="528"/>
      <c r="L56" s="528"/>
      <c r="M56" s="518"/>
      <c r="N56" s="528"/>
      <c r="O56" s="682">
        <v>0.016</v>
      </c>
      <c r="P56" s="514"/>
      <c r="Q56" s="657"/>
      <c r="R56" s="257"/>
      <c r="S56" s="258"/>
      <c r="T56" s="658"/>
      <c r="U56" s="657"/>
      <c r="V56" s="257"/>
      <c r="W56" s="258"/>
      <c r="X56" s="658"/>
    </row>
    <row r="57">
      <c r="A57" s="528"/>
      <c r="B57" s="528"/>
      <c r="C57" s="344" t="s">
        <v>912</v>
      </c>
      <c r="D57" s="344" t="s">
        <v>913</v>
      </c>
      <c r="E57" s="569">
        <v>5.4</v>
      </c>
      <c r="F57" s="514"/>
      <c r="G57" s="517"/>
      <c r="H57" s="517"/>
      <c r="I57" s="676">
        <f>IFERROR(__xludf.DUMMYFUNCTION("GOOGLEFINANCE(D57,""changepct"")"),-0.32)</f>
        <v>-0.32</v>
      </c>
      <c r="J57" s="677">
        <f>IFERROR(__xludf.DUMMYFUNCTION("googlefinance(D57,""price"")"),112.16)</f>
        <v>112.16</v>
      </c>
      <c r="K57" s="528"/>
      <c r="L57" s="528"/>
      <c r="M57" s="518"/>
      <c r="N57" s="528"/>
      <c r="O57" s="682">
        <v>0.0143</v>
      </c>
      <c r="P57" s="514"/>
      <c r="Q57" s="657"/>
      <c r="R57" s="257"/>
      <c r="S57" s="258"/>
      <c r="T57" s="658"/>
      <c r="U57" s="657"/>
      <c r="V57" s="257"/>
      <c r="W57" s="258"/>
      <c r="X57" s="658"/>
    </row>
    <row r="58">
      <c r="A58" s="173"/>
      <c r="B58" s="13" t="s">
        <v>89</v>
      </c>
      <c r="C58" s="173"/>
      <c r="D58" s="173"/>
      <c r="E58" s="173"/>
      <c r="F58" s="693">
        <f t="shared" ref="F58:G58" si="29">SUM(F50:F57)</f>
        <v>111997.5</v>
      </c>
      <c r="G58" s="693">
        <f t="shared" si="29"/>
        <v>0</v>
      </c>
      <c r="H58" s="607"/>
      <c r="I58" s="173"/>
      <c r="J58" s="173"/>
      <c r="K58" s="173"/>
      <c r="L58" s="173"/>
      <c r="M58" s="695">
        <f>N58/F58</f>
        <v>0.2169869863</v>
      </c>
      <c r="N58" s="693">
        <f>SUM(N50:N57)</f>
        <v>24302</v>
      </c>
      <c r="O58" s="173"/>
      <c r="P58" s="693"/>
      <c r="Q58" s="238" t="s">
        <v>89</v>
      </c>
      <c r="R58" s="239"/>
      <c r="S58" s="241"/>
      <c r="T58" s="240">
        <f>SUM(T50:T57)</f>
        <v>136300</v>
      </c>
      <c r="U58" s="238" t="s">
        <v>89</v>
      </c>
      <c r="V58" s="239"/>
      <c r="W58" s="241"/>
      <c r="X58" s="240">
        <f>SUM(X50:X57)</f>
        <v>111998</v>
      </c>
    </row>
    <row r="59">
      <c r="A59" s="173"/>
      <c r="B59" s="13" t="s">
        <v>821</v>
      </c>
      <c r="C59" s="13" t="s">
        <v>3</v>
      </c>
      <c r="D59" s="13" t="s">
        <v>4</v>
      </c>
      <c r="E59" s="13" t="s">
        <v>5</v>
      </c>
      <c r="F59" s="504" t="s">
        <v>895</v>
      </c>
      <c r="G59" s="505" t="s">
        <v>730</v>
      </c>
      <c r="H59" s="505" t="s">
        <v>923</v>
      </c>
      <c r="I59" s="506" t="s">
        <v>10</v>
      </c>
      <c r="J59" s="673" t="s">
        <v>11</v>
      </c>
      <c r="K59" s="508" t="s">
        <v>476</v>
      </c>
      <c r="L59" s="507" t="s">
        <v>13</v>
      </c>
      <c r="M59" s="504" t="s">
        <v>924</v>
      </c>
      <c r="N59" s="508" t="s">
        <v>368</v>
      </c>
      <c r="O59" s="13" t="s">
        <v>16</v>
      </c>
      <c r="P59" s="13" t="s">
        <v>17</v>
      </c>
      <c r="Q59" s="238" t="s">
        <v>21</v>
      </c>
      <c r="R59" s="238" t="s">
        <v>22</v>
      </c>
      <c r="S59" s="238" t="s">
        <v>23</v>
      </c>
      <c r="T59" s="238" t="s">
        <v>24</v>
      </c>
      <c r="U59" s="238" t="s">
        <v>25</v>
      </c>
      <c r="V59" s="238" t="s">
        <v>26</v>
      </c>
      <c r="W59" s="238" t="s">
        <v>27</v>
      </c>
      <c r="X59" s="238" t="s">
        <v>28</v>
      </c>
    </row>
    <row r="60">
      <c r="A60" s="565" t="s">
        <v>733</v>
      </c>
      <c r="B60" s="681" t="str">
        <f>G77/D139</f>
        <v>#N/A</v>
      </c>
      <c r="C60" s="344" t="s">
        <v>914</v>
      </c>
      <c r="D60" s="344" t="s">
        <v>686</v>
      </c>
      <c r="E60" s="569">
        <v>6.7</v>
      </c>
      <c r="F60" s="106"/>
      <c r="G60" s="696"/>
      <c r="H60" s="697"/>
      <c r="I60" s="700">
        <f>IFERROR(__xludf.DUMMYFUNCTION("GOOGLEFINANCE(D60,""changepct"")"),-0.86)</f>
        <v>-0.86</v>
      </c>
      <c r="J60" s="677">
        <f>IFERROR(__xludf.DUMMYFUNCTION("googlefinance(D60,""price"")"),70.39)</f>
        <v>70.39</v>
      </c>
      <c r="K60" s="697"/>
      <c r="L60" s="697"/>
      <c r="M60" s="679"/>
      <c r="N60" s="696"/>
      <c r="O60" s="682">
        <v>0.042</v>
      </c>
      <c r="P60" s="696"/>
      <c r="Q60" s="657"/>
      <c r="R60" s="258"/>
      <c r="S60" s="258"/>
      <c r="T60" s="658"/>
      <c r="U60" s="257"/>
      <c r="V60" s="257"/>
      <c r="W60" s="258"/>
      <c r="X60" s="658"/>
    </row>
    <row r="61">
      <c r="A61" s="528"/>
      <c r="B61" s="528"/>
      <c r="C61" s="344" t="s">
        <v>539</v>
      </c>
      <c r="D61" s="344" t="s">
        <v>540</v>
      </c>
      <c r="E61" s="569">
        <v>6.9</v>
      </c>
      <c r="F61" s="106">
        <v>29180.0</v>
      </c>
      <c r="G61" s="106">
        <v>0.0</v>
      </c>
      <c r="H61" s="675">
        <v>145.9</v>
      </c>
      <c r="I61" s="700">
        <f>IFERROR(__xludf.DUMMYFUNCTION("GOOGLEFINANCE(D61,""changepct"")"),-0.46)</f>
        <v>-0.46</v>
      </c>
      <c r="J61" s="677">
        <f>IFERROR(__xludf.DUMMYFUNCTION("googlefinance(D61,""price"")"),573.55)</f>
        <v>573.55</v>
      </c>
      <c r="K61" s="678">
        <v>186.91</v>
      </c>
      <c r="L61" s="697">
        <f t="shared" ref="L61:L63" si="30">J61-H61</f>
        <v>427.65</v>
      </c>
      <c r="M61" s="679">
        <f t="shared" ref="M61:M62" si="31">K61/H61-1</f>
        <v>0.2810829335</v>
      </c>
      <c r="N61" s="696">
        <f t="shared" ref="N61:N63" si="32">F61*M61</f>
        <v>8202</v>
      </c>
      <c r="O61" s="682">
        <v>0.0273</v>
      </c>
      <c r="P61" s="696"/>
      <c r="Q61" s="210" t="s">
        <v>540</v>
      </c>
      <c r="R61" s="211">
        <v>43950.0</v>
      </c>
      <c r="S61" s="212">
        <v>186.91</v>
      </c>
      <c r="T61" s="213">
        <v>37382.0</v>
      </c>
      <c r="U61" s="257"/>
      <c r="V61" s="257"/>
      <c r="W61" s="258"/>
      <c r="X61" s="658"/>
    </row>
    <row r="62">
      <c r="A62" s="528"/>
      <c r="B62" s="528"/>
      <c r="C62" s="344" t="s">
        <v>539</v>
      </c>
      <c r="D62" s="104" t="s">
        <v>540</v>
      </c>
      <c r="E62" s="569">
        <v>6.9</v>
      </c>
      <c r="F62" s="106">
        <v>25219.5</v>
      </c>
      <c r="G62" s="106">
        <v>0.0</v>
      </c>
      <c r="H62" s="675">
        <v>168.13</v>
      </c>
      <c r="I62" s="700">
        <f>IFERROR(__xludf.DUMMYFUNCTION("GOOGLEFINANCE(D62,""changepct"")"),-0.46)</f>
        <v>-0.46</v>
      </c>
      <c r="J62" s="677">
        <f>IFERROR(__xludf.DUMMYFUNCTION("googlefinance(D62,""price"")"),573.55)</f>
        <v>573.55</v>
      </c>
      <c r="K62" s="675">
        <v>205.55</v>
      </c>
      <c r="L62" s="697">
        <f t="shared" si="30"/>
        <v>405.42</v>
      </c>
      <c r="M62" s="679">
        <f t="shared" si="31"/>
        <v>0.2225658716</v>
      </c>
      <c r="N62" s="696">
        <f t="shared" si="32"/>
        <v>5613</v>
      </c>
      <c r="O62" s="682"/>
      <c r="P62" s="696"/>
      <c r="Q62" s="210" t="s">
        <v>540</v>
      </c>
      <c r="R62" s="211">
        <v>43979.0</v>
      </c>
      <c r="S62" s="212">
        <v>205.55</v>
      </c>
      <c r="T62" s="213">
        <v>30833.0</v>
      </c>
      <c r="U62" s="210" t="s">
        <v>540</v>
      </c>
      <c r="V62" s="211">
        <v>43965.0</v>
      </c>
      <c r="W62" s="212">
        <v>168.13</v>
      </c>
      <c r="X62" s="213">
        <v>25219.5</v>
      </c>
    </row>
    <row r="63">
      <c r="A63" s="528"/>
      <c r="B63" s="528"/>
      <c r="C63" s="344" t="s">
        <v>768</v>
      </c>
      <c r="D63" s="344" t="s">
        <v>769</v>
      </c>
      <c r="E63" s="569">
        <v>6.8</v>
      </c>
      <c r="F63" s="106">
        <v>32798.0</v>
      </c>
      <c r="G63" s="696">
        <f>F63+N63</f>
        <v>46306</v>
      </c>
      <c r="H63" s="675">
        <v>163.99</v>
      </c>
      <c r="I63" s="700">
        <f>IFERROR(__xludf.DUMMYFUNCTION("GOOGLEFINANCE(D63,""changepct"")"),-0.84)</f>
        <v>-0.84</v>
      </c>
      <c r="J63" s="677">
        <f>IFERROR(__xludf.DUMMYFUNCTION("googlefinance(D63,""price"")"),231.53)</f>
        <v>231.53</v>
      </c>
      <c r="K63" s="697"/>
      <c r="L63" s="697">
        <f t="shared" si="30"/>
        <v>67.54</v>
      </c>
      <c r="M63" s="679">
        <f>J63/H63-1</f>
        <v>0.4118543814</v>
      </c>
      <c r="N63" s="696">
        <f t="shared" si="32"/>
        <v>13508</v>
      </c>
      <c r="O63" s="682">
        <v>0.0191</v>
      </c>
      <c r="P63" s="106">
        <v>155.0</v>
      </c>
      <c r="Q63" s="657"/>
      <c r="R63" s="258"/>
      <c r="S63" s="258"/>
      <c r="T63" s="658"/>
      <c r="U63" s="257"/>
      <c r="V63" s="257"/>
      <c r="W63" s="258"/>
      <c r="X63" s="658"/>
    </row>
    <row r="64">
      <c r="A64" s="528"/>
      <c r="B64" s="528"/>
      <c r="C64" s="344" t="s">
        <v>541</v>
      </c>
      <c r="D64" s="344" t="s">
        <v>382</v>
      </c>
      <c r="E64" s="569">
        <v>5.1</v>
      </c>
      <c r="F64" s="696"/>
      <c r="G64" s="696"/>
      <c r="H64" s="697"/>
      <c r="I64" s="700">
        <f>IFERROR(__xludf.DUMMYFUNCTION("GOOGLEFINANCE(D64,""changepct"")"),-1.65)</f>
        <v>-1.65</v>
      </c>
      <c r="J64" s="677">
        <f>IFERROR(__xludf.DUMMYFUNCTION("googlefinance(D64,""price"")"),85.43)</f>
        <v>85.43</v>
      </c>
      <c r="K64" s="697"/>
      <c r="L64" s="697"/>
      <c r="M64" s="679"/>
      <c r="N64" s="696"/>
      <c r="O64" s="569" t="s">
        <v>128</v>
      </c>
      <c r="P64" s="514"/>
      <c r="Q64" s="657"/>
      <c r="R64" s="258"/>
      <c r="S64" s="258"/>
      <c r="T64" s="658"/>
      <c r="U64" s="257"/>
      <c r="V64" s="257"/>
      <c r="W64" s="258"/>
      <c r="X64" s="658"/>
    </row>
    <row r="65">
      <c r="A65" s="528"/>
      <c r="B65" s="528"/>
      <c r="C65" s="104" t="s">
        <v>869</v>
      </c>
      <c r="D65" s="104" t="s">
        <v>870</v>
      </c>
      <c r="E65" s="569">
        <v>6.9</v>
      </c>
      <c r="F65" s="106">
        <v>33495.0</v>
      </c>
      <c r="G65" s="106">
        <v>0.0</v>
      </c>
      <c r="H65" s="216">
        <v>22.33</v>
      </c>
      <c r="I65" s="700">
        <f>IFERROR(__xludf.DUMMYFUNCTION("GOOGLEFINANCE(D65,""changepct"")"),-0.98)</f>
        <v>-0.98</v>
      </c>
      <c r="J65" s="677">
        <f>IFERROR(__xludf.DUMMYFUNCTION("googlefinance(D65,""price"")"),70.41)</f>
        <v>70.41</v>
      </c>
      <c r="K65" s="678">
        <v>24.66</v>
      </c>
      <c r="L65" s="697">
        <f t="shared" ref="L65:L69" si="33">J65-H65</f>
        <v>48.08</v>
      </c>
      <c r="M65" s="679">
        <f t="shared" ref="M65:M69" si="34">K65/H65-1</f>
        <v>0.1043439319</v>
      </c>
      <c r="N65" s="696">
        <f t="shared" ref="N65:N69" si="35">F65*M65</f>
        <v>3495</v>
      </c>
      <c r="O65" s="682">
        <v>0.0823</v>
      </c>
      <c r="P65" s="696"/>
      <c r="Q65" s="210" t="s">
        <v>870</v>
      </c>
      <c r="R65" s="211">
        <v>43970.0</v>
      </c>
      <c r="S65" s="212">
        <v>24.66</v>
      </c>
      <c r="T65" s="213">
        <v>36990.0</v>
      </c>
      <c r="U65" s="210" t="s">
        <v>870</v>
      </c>
      <c r="V65" s="211">
        <v>43965.0</v>
      </c>
      <c r="W65" s="212">
        <v>22.33</v>
      </c>
      <c r="X65" s="213">
        <v>33495.0</v>
      </c>
    </row>
    <row r="66">
      <c r="A66" s="528"/>
      <c r="B66" s="528"/>
      <c r="C66" s="344" t="s">
        <v>615</v>
      </c>
      <c r="D66" s="104" t="s">
        <v>616</v>
      </c>
      <c r="E66" s="569">
        <v>7.2</v>
      </c>
      <c r="F66" s="106">
        <v>33212.0</v>
      </c>
      <c r="G66" s="106">
        <v>0.0</v>
      </c>
      <c r="H66" s="216">
        <v>83.03</v>
      </c>
      <c r="I66" s="700">
        <f>IFERROR(__xludf.DUMMYFUNCTION("GOOGLEFINANCE(D66,""changepct"")"),-0.77)</f>
        <v>-0.77</v>
      </c>
      <c r="J66" s="677">
        <f>IFERROR(__xludf.DUMMYFUNCTION("googlefinance(D66,""price"")"),239.32)</f>
        <v>239.32</v>
      </c>
      <c r="K66" s="678">
        <v>101.13</v>
      </c>
      <c r="L66" s="697">
        <f t="shared" si="33"/>
        <v>156.29</v>
      </c>
      <c r="M66" s="679">
        <f t="shared" si="34"/>
        <v>0.2179934963</v>
      </c>
      <c r="N66" s="696">
        <f t="shared" si="35"/>
        <v>7240</v>
      </c>
      <c r="O66" s="682"/>
      <c r="P66" s="696"/>
      <c r="Q66" s="210" t="s">
        <v>616</v>
      </c>
      <c r="R66" s="211">
        <v>43979.0</v>
      </c>
      <c r="S66" s="212">
        <v>101.13</v>
      </c>
      <c r="T66" s="106">
        <v>40452.0</v>
      </c>
      <c r="U66" s="210" t="s">
        <v>616</v>
      </c>
      <c r="V66" s="211">
        <v>43965.0</v>
      </c>
      <c r="W66" s="212">
        <v>83.03</v>
      </c>
      <c r="X66" s="213">
        <v>33212.0</v>
      </c>
    </row>
    <row r="67">
      <c r="A67" s="528"/>
      <c r="B67" s="528"/>
      <c r="C67" s="344" t="s">
        <v>615</v>
      </c>
      <c r="D67" s="344" t="s">
        <v>616</v>
      </c>
      <c r="E67" s="569">
        <v>7.2</v>
      </c>
      <c r="F67" s="106">
        <v>42465.0</v>
      </c>
      <c r="G67" s="106">
        <v>0.0</v>
      </c>
      <c r="H67" s="216">
        <v>84.93</v>
      </c>
      <c r="I67" s="700">
        <f>IFERROR(__xludf.DUMMYFUNCTION("GOOGLEFINANCE(D67,""changepct"")"),-0.77)</f>
        <v>-0.77</v>
      </c>
      <c r="J67" s="677">
        <f>IFERROR(__xludf.DUMMYFUNCTION("googlefinance(D67,""price"")"),239.32)</f>
        <v>239.32</v>
      </c>
      <c r="K67" s="678">
        <v>96.25</v>
      </c>
      <c r="L67" s="697">
        <f t="shared" si="33"/>
        <v>154.39</v>
      </c>
      <c r="M67" s="679">
        <f t="shared" si="34"/>
        <v>0.1332862357</v>
      </c>
      <c r="N67" s="696">
        <f t="shared" si="35"/>
        <v>5660</v>
      </c>
      <c r="O67" s="682">
        <v>0.0376</v>
      </c>
      <c r="P67" s="696"/>
      <c r="Q67" s="210" t="s">
        <v>616</v>
      </c>
      <c r="R67" s="211">
        <v>43950.0</v>
      </c>
      <c r="S67" s="212">
        <v>96.25</v>
      </c>
      <c r="T67" s="213">
        <v>48125.0</v>
      </c>
      <c r="U67" s="257"/>
      <c r="V67" s="257"/>
      <c r="W67" s="258"/>
      <c r="X67" s="658"/>
    </row>
    <row r="68">
      <c r="A68" s="528"/>
      <c r="B68" s="528"/>
      <c r="C68" s="726" t="s">
        <v>824</v>
      </c>
      <c r="D68" s="104" t="s">
        <v>569</v>
      </c>
      <c r="E68" s="569">
        <v>7.1</v>
      </c>
      <c r="F68" s="217">
        <v>30130.0</v>
      </c>
      <c r="G68" s="106">
        <v>0.0</v>
      </c>
      <c r="H68" s="216">
        <v>30.13</v>
      </c>
      <c r="I68" s="700">
        <f>IFERROR(__xludf.DUMMYFUNCTION("GOOGLEFINANCE(D68,""changepct"")"),-0.25)</f>
        <v>-0.25</v>
      </c>
      <c r="J68" s="677">
        <f>IFERROR(__xludf.DUMMYFUNCTION("googlefinance(D68,""price"")"),60.42)</f>
        <v>60.42</v>
      </c>
      <c r="K68" s="675">
        <v>34.52</v>
      </c>
      <c r="L68" s="697">
        <f t="shared" si="33"/>
        <v>30.29</v>
      </c>
      <c r="M68" s="679">
        <f t="shared" si="34"/>
        <v>0.1457019582</v>
      </c>
      <c r="N68" s="696">
        <f t="shared" si="35"/>
        <v>4390</v>
      </c>
      <c r="O68" s="569"/>
      <c r="P68" s="514"/>
      <c r="Q68" s="210" t="s">
        <v>569</v>
      </c>
      <c r="R68" s="211">
        <v>43970.0</v>
      </c>
      <c r="S68" s="212">
        <v>34.52</v>
      </c>
      <c r="T68" s="213">
        <v>34520.0</v>
      </c>
      <c r="U68" s="210" t="s">
        <v>569</v>
      </c>
      <c r="V68" s="211">
        <v>43965.0</v>
      </c>
      <c r="W68" s="212">
        <v>30.13</v>
      </c>
      <c r="X68" s="213">
        <v>30130.0</v>
      </c>
    </row>
    <row r="69">
      <c r="A69" s="528"/>
      <c r="B69" s="528"/>
      <c r="C69" s="726" t="s">
        <v>824</v>
      </c>
      <c r="D69" s="104" t="s">
        <v>569</v>
      </c>
      <c r="E69" s="569">
        <v>7.1</v>
      </c>
      <c r="F69" s="217">
        <v>35150.0</v>
      </c>
      <c r="G69" s="106">
        <v>0.0</v>
      </c>
      <c r="H69" s="216">
        <v>35.15</v>
      </c>
      <c r="I69" s="700">
        <f>IFERROR(__xludf.DUMMYFUNCTION("GOOGLEFINANCE(D69,""changepct"")"),-0.25)</f>
        <v>-0.25</v>
      </c>
      <c r="J69" s="677">
        <f>IFERROR(__xludf.DUMMYFUNCTION("googlefinance(D69,""price"")"),60.42)</f>
        <v>60.42</v>
      </c>
      <c r="K69" s="212">
        <v>39.79</v>
      </c>
      <c r="L69" s="697">
        <f t="shared" si="33"/>
        <v>25.27</v>
      </c>
      <c r="M69" s="679">
        <f t="shared" si="34"/>
        <v>0.1320056899</v>
      </c>
      <c r="N69" s="696">
        <f t="shared" si="35"/>
        <v>4640</v>
      </c>
      <c r="O69" s="569"/>
      <c r="P69" s="514"/>
      <c r="Q69" s="210" t="s">
        <v>569</v>
      </c>
      <c r="R69" s="211">
        <v>43979.0</v>
      </c>
      <c r="S69" s="212">
        <v>39.79</v>
      </c>
      <c r="T69" s="213">
        <v>39790.0</v>
      </c>
      <c r="U69" s="210" t="s">
        <v>569</v>
      </c>
      <c r="V69" s="211">
        <v>43971.0</v>
      </c>
      <c r="W69" s="212">
        <v>35.15</v>
      </c>
      <c r="X69" s="213">
        <v>35150.0</v>
      </c>
    </row>
    <row r="70">
      <c r="A70" s="528"/>
      <c r="B70" s="528"/>
      <c r="C70" s="104" t="s">
        <v>915</v>
      </c>
      <c r="D70" s="104" t="s">
        <v>916</v>
      </c>
      <c r="E70" s="569">
        <v>6.8</v>
      </c>
      <c r="F70" s="514"/>
      <c r="G70" s="696"/>
      <c r="H70" s="517"/>
      <c r="I70" s="700">
        <f>IFERROR(__xludf.DUMMYFUNCTION("GOOGLEFINANCE(D70,""changepct"")"),-0.88)</f>
        <v>-0.88</v>
      </c>
      <c r="J70" s="677">
        <f>IFERROR(__xludf.DUMMYFUNCTION("googlefinance(D70,""price"")"),110.57)</f>
        <v>110.57</v>
      </c>
      <c r="K70" s="697"/>
      <c r="L70" s="697"/>
      <c r="M70" s="679"/>
      <c r="N70" s="696"/>
      <c r="O70" s="569"/>
      <c r="P70" s="514"/>
      <c r="Q70" s="657"/>
      <c r="R70" s="258"/>
      <c r="S70" s="258"/>
      <c r="T70" s="658"/>
      <c r="U70" s="257"/>
      <c r="V70" s="257"/>
      <c r="W70" s="258"/>
      <c r="X70" s="658"/>
    </row>
    <row r="71">
      <c r="A71" s="528"/>
      <c r="B71" s="528"/>
      <c r="C71" s="104" t="s">
        <v>873</v>
      </c>
      <c r="D71" s="104" t="s">
        <v>874</v>
      </c>
      <c r="E71" s="569">
        <v>7.1</v>
      </c>
      <c r="F71" s="217">
        <v>58050.0</v>
      </c>
      <c r="G71" s="106">
        <v>0.0</v>
      </c>
      <c r="H71" s="216">
        <v>58.05</v>
      </c>
      <c r="I71" s="700">
        <f>IFERROR(__xludf.DUMMYFUNCTION("GOOGLEFINANCE(D71,""changepct"")"),-1.05)</f>
        <v>-1.05</v>
      </c>
      <c r="J71" s="677">
        <f>IFERROR(__xludf.DUMMYFUNCTION("googlefinance(D71,""price"")"),144.38)</f>
        <v>144.38</v>
      </c>
      <c r="K71" s="675">
        <v>62.75</v>
      </c>
      <c r="L71" s="697">
        <f>J71-H71</f>
        <v>86.33</v>
      </c>
      <c r="M71" s="679">
        <f>K71/H71-1</f>
        <v>0.08096468562</v>
      </c>
      <c r="N71" s="696">
        <f>F71*M71</f>
        <v>4700</v>
      </c>
      <c r="O71" s="569"/>
      <c r="P71" s="514"/>
      <c r="Q71" s="210" t="s">
        <v>874</v>
      </c>
      <c r="R71" s="211">
        <v>43994.0</v>
      </c>
      <c r="S71" s="216">
        <v>62.75</v>
      </c>
      <c r="T71" s="213">
        <v>62750.0</v>
      </c>
      <c r="U71" s="210" t="s">
        <v>874</v>
      </c>
      <c r="V71" s="211">
        <v>43971.0</v>
      </c>
      <c r="W71" s="212">
        <v>58.05</v>
      </c>
      <c r="X71" s="213">
        <v>58050.0</v>
      </c>
    </row>
    <row r="72">
      <c r="A72" s="528"/>
      <c r="B72" s="528"/>
      <c r="C72" s="344" t="s">
        <v>917</v>
      </c>
      <c r="D72" s="344" t="s">
        <v>771</v>
      </c>
      <c r="E72" s="569">
        <v>5.1</v>
      </c>
      <c r="F72" s="514"/>
      <c r="G72" s="696"/>
      <c r="H72" s="517"/>
      <c r="I72" s="700">
        <f>IFERROR(__xludf.DUMMYFUNCTION("GOOGLEFINANCE(D72,""changepct"")"),-1.25)</f>
        <v>-1.25</v>
      </c>
      <c r="J72" s="677">
        <f>IFERROR(__xludf.DUMMYFUNCTION("googlefinance(D72,""price"")"),525.55)</f>
        <v>525.55</v>
      </c>
      <c r="K72" s="697"/>
      <c r="L72" s="697"/>
      <c r="M72" s="679"/>
      <c r="N72" s="696"/>
      <c r="O72" s="569" t="s">
        <v>128</v>
      </c>
      <c r="P72" s="514"/>
      <c r="Q72" s="657"/>
      <c r="R72" s="258"/>
      <c r="S72" s="258"/>
      <c r="T72" s="658"/>
      <c r="U72" s="257"/>
      <c r="V72" s="257"/>
      <c r="W72" s="258"/>
      <c r="X72" s="658"/>
    </row>
    <row r="73">
      <c r="A73" s="528"/>
      <c r="B73" s="528"/>
      <c r="C73" s="344" t="s">
        <v>664</v>
      </c>
      <c r="D73" s="344" t="s">
        <v>665</v>
      </c>
      <c r="E73" s="569">
        <v>5.4</v>
      </c>
      <c r="F73" s="696"/>
      <c r="G73" s="696"/>
      <c r="H73" s="517"/>
      <c r="I73" s="700">
        <f>IFERROR(__xludf.DUMMYFUNCTION("GOOGLEFINANCE(D73,""changepct"")"),-1.05)</f>
        <v>-1.05</v>
      </c>
      <c r="J73" s="677">
        <f>IFERROR(__xludf.DUMMYFUNCTION("googlefinance(D73,""price"")"),315.31)</f>
        <v>315.31</v>
      </c>
      <c r="K73" s="697"/>
      <c r="L73" s="697"/>
      <c r="M73" s="679"/>
      <c r="N73" s="696"/>
      <c r="O73" s="682">
        <v>0.0067</v>
      </c>
      <c r="P73" s="696"/>
      <c r="Q73" s="657"/>
      <c r="R73" s="258"/>
      <c r="S73" s="258"/>
      <c r="T73" s="658"/>
      <c r="U73" s="257"/>
      <c r="V73" s="257"/>
      <c r="W73" s="258"/>
      <c r="X73" s="658"/>
    </row>
    <row r="74">
      <c r="A74" s="528"/>
      <c r="B74" s="528"/>
      <c r="C74" s="344" t="s">
        <v>871</v>
      </c>
      <c r="D74" s="344" t="s">
        <v>872</v>
      </c>
      <c r="E74" s="569">
        <v>6.7</v>
      </c>
      <c r="F74" s="514"/>
      <c r="G74" s="696"/>
      <c r="H74" s="517"/>
      <c r="I74" s="700">
        <f>IFERROR(__xludf.DUMMYFUNCTION("GOOGLEFINANCE(D74,""changepct"")"),-0.97)</f>
        <v>-0.97</v>
      </c>
      <c r="J74" s="677">
        <f>IFERROR(__xludf.DUMMYFUNCTION("googlefinance(D74,""price"")"),43.91)</f>
        <v>43.91</v>
      </c>
      <c r="K74" s="697"/>
      <c r="L74" s="697"/>
      <c r="M74" s="679"/>
      <c r="N74" s="696"/>
      <c r="O74" s="682">
        <v>0.03</v>
      </c>
      <c r="P74" s="514"/>
      <c r="Q74" s="657"/>
      <c r="R74" s="258"/>
      <c r="S74" s="258"/>
      <c r="T74" s="658"/>
      <c r="U74" s="257"/>
      <c r="V74" s="211"/>
      <c r="W74" s="258"/>
      <c r="X74" s="658"/>
    </row>
    <row r="75">
      <c r="A75" s="528"/>
      <c r="B75" s="528"/>
      <c r="C75" s="344" t="s">
        <v>822</v>
      </c>
      <c r="D75" s="344" t="s">
        <v>823</v>
      </c>
      <c r="E75" s="569">
        <v>7.3</v>
      </c>
      <c r="F75" s="106">
        <v>31950.0</v>
      </c>
      <c r="G75" s="696" t="str">
        <f>F75+N75</f>
        <v>#N/A</v>
      </c>
      <c r="H75" s="216">
        <v>10.65</v>
      </c>
      <c r="I75" s="700" t="str">
        <f>IFERROR(__xludf.DUMMYFUNCTION("GOOGLEFINANCE(D75,""changepct"")"),"#N/A")</f>
        <v>#N/A</v>
      </c>
      <c r="J75" s="677" t="str">
        <f>IFERROR(__xludf.DUMMYFUNCTION("googlefinance(D75,""price"")"),"#N/A")</f>
        <v>#N/A</v>
      </c>
      <c r="K75" s="678"/>
      <c r="L75" s="697" t="str">
        <f t="shared" ref="L75:L76" si="36">J75-H75</f>
        <v>#N/A</v>
      </c>
      <c r="M75" s="679" t="str">
        <f>J75/H75-1</f>
        <v>#N/A</v>
      </c>
      <c r="N75" s="696" t="str">
        <f t="shared" ref="N75:N76" si="37">F75*M75</f>
        <v>#N/A</v>
      </c>
      <c r="O75" s="682">
        <v>0.0958</v>
      </c>
      <c r="P75" s="106">
        <v>814.0</v>
      </c>
      <c r="Q75" s="210"/>
      <c r="R75" s="212"/>
      <c r="S75" s="212"/>
      <c r="T75" s="213"/>
      <c r="U75" s="210" t="s">
        <v>823</v>
      </c>
      <c r="V75" s="211">
        <v>43972.0</v>
      </c>
      <c r="W75" s="216">
        <v>10.65</v>
      </c>
      <c r="X75" s="106">
        <v>31950.0</v>
      </c>
    </row>
    <row r="76">
      <c r="A76" s="528"/>
      <c r="B76" s="528"/>
      <c r="C76" s="344" t="s">
        <v>822</v>
      </c>
      <c r="D76" s="344" t="s">
        <v>823</v>
      </c>
      <c r="E76" s="569">
        <v>7.3</v>
      </c>
      <c r="F76" s="106">
        <v>32375.0</v>
      </c>
      <c r="G76" s="106">
        <v>0.0</v>
      </c>
      <c r="H76" s="216">
        <v>9.25</v>
      </c>
      <c r="I76" s="700" t="str">
        <f>IFERROR(__xludf.DUMMYFUNCTION("GOOGLEFINANCE(D76,""changepct"")"),"#N/A")</f>
        <v>#N/A</v>
      </c>
      <c r="J76" s="677" t="str">
        <f>IFERROR(__xludf.DUMMYFUNCTION("googlefinance(D76,""price"")"),"#N/A")</f>
        <v>#N/A</v>
      </c>
      <c r="K76" s="678">
        <v>10.66</v>
      </c>
      <c r="L76" s="697" t="str">
        <f t="shared" si="36"/>
        <v>#N/A</v>
      </c>
      <c r="M76" s="679">
        <f>K76/H76-1</f>
        <v>0.1524324324</v>
      </c>
      <c r="N76" s="696">
        <f t="shared" si="37"/>
        <v>4935</v>
      </c>
      <c r="O76" s="682">
        <v>0.0958</v>
      </c>
      <c r="P76" s="696"/>
      <c r="Q76" s="210" t="s">
        <v>823</v>
      </c>
      <c r="R76" s="212"/>
      <c r="S76" s="212">
        <v>10.66</v>
      </c>
      <c r="T76" s="213">
        <v>37310.0</v>
      </c>
      <c r="U76" s="257"/>
      <c r="V76" s="257"/>
      <c r="W76" s="258"/>
      <c r="X76" s="658"/>
    </row>
    <row r="77">
      <c r="A77" s="173"/>
      <c r="B77" s="13" t="s">
        <v>89</v>
      </c>
      <c r="C77" s="173"/>
      <c r="D77" s="173"/>
      <c r="E77" s="173"/>
      <c r="F77" s="693">
        <f t="shared" ref="F77:G77" si="38">SUM(F60:F76)</f>
        <v>384024.5</v>
      </c>
      <c r="G77" s="693" t="str">
        <f t="shared" si="38"/>
        <v>#N/A</v>
      </c>
      <c r="H77" s="607"/>
      <c r="I77" s="173"/>
      <c r="J77" s="173"/>
      <c r="K77" s="173"/>
      <c r="L77" s="173"/>
      <c r="M77" s="695" t="str">
        <f>N77/F77</f>
        <v>#N/A</v>
      </c>
      <c r="N77" s="693" t="str">
        <f>SUM(N60:N76)</f>
        <v>#N/A</v>
      </c>
      <c r="O77" s="173"/>
      <c r="P77" s="693">
        <f>SUM(P60:P76)</f>
        <v>969</v>
      </c>
      <c r="Q77" s="238" t="s">
        <v>89</v>
      </c>
      <c r="R77" s="241"/>
      <c r="S77" s="241"/>
      <c r="T77" s="240">
        <f>SUM(T60:T76)</f>
        <v>368152</v>
      </c>
      <c r="U77" s="238" t="s">
        <v>89</v>
      </c>
      <c r="V77" s="239"/>
      <c r="W77" s="241"/>
      <c r="X77" s="240">
        <f>SUM(X60:X76)</f>
        <v>247206.5</v>
      </c>
    </row>
    <row r="78">
      <c r="A78" s="13" t="s">
        <v>772</v>
      </c>
      <c r="B78" s="13" t="s">
        <v>825</v>
      </c>
      <c r="C78" s="13" t="s">
        <v>150</v>
      </c>
      <c r="D78" s="13" t="s">
        <v>4</v>
      </c>
      <c r="E78" s="13" t="s">
        <v>5</v>
      </c>
      <c r="F78" s="504" t="s">
        <v>895</v>
      </c>
      <c r="G78" s="505" t="s">
        <v>730</v>
      </c>
      <c r="H78" s="505" t="s">
        <v>923</v>
      </c>
      <c r="I78" s="506" t="s">
        <v>10</v>
      </c>
      <c r="J78" s="673" t="s">
        <v>11</v>
      </c>
      <c r="K78" s="508" t="s">
        <v>476</v>
      </c>
      <c r="L78" s="507" t="s">
        <v>13</v>
      </c>
      <c r="M78" s="504" t="s">
        <v>924</v>
      </c>
      <c r="N78" s="508" t="s">
        <v>368</v>
      </c>
      <c r="O78" s="13" t="s">
        <v>16</v>
      </c>
      <c r="P78" s="13" t="s">
        <v>17</v>
      </c>
      <c r="Q78" s="238" t="s">
        <v>21</v>
      </c>
      <c r="R78" s="238" t="s">
        <v>22</v>
      </c>
      <c r="S78" s="238" t="s">
        <v>23</v>
      </c>
      <c r="T78" s="238" t="s">
        <v>24</v>
      </c>
      <c r="U78" s="238" t="s">
        <v>25</v>
      </c>
      <c r="V78" s="238" t="s">
        <v>26</v>
      </c>
      <c r="W78" s="238" t="s">
        <v>27</v>
      </c>
      <c r="X78" s="238" t="s">
        <v>28</v>
      </c>
    </row>
    <row r="79">
      <c r="A79" s="565" t="s">
        <v>733</v>
      </c>
      <c r="B79" s="681"/>
      <c r="C79" s="344" t="s">
        <v>151</v>
      </c>
      <c r="D79" s="344" t="s">
        <v>152</v>
      </c>
      <c r="E79" s="569">
        <v>9.1</v>
      </c>
      <c r="F79" s="106">
        <v>159840.0</v>
      </c>
      <c r="G79" s="696" t="str">
        <f t="shared" ref="G79:G80" si="39">F79+N79</f>
        <v>#N/A</v>
      </c>
      <c r="H79" s="675">
        <v>1598.4</v>
      </c>
      <c r="I79" s="515"/>
      <c r="J79" s="705" t="str">
        <f>IFERROR(__xludf.DUMMYFUNCTION("Index(ImportHTML(""https://www.apmex.com/spotprices/gold-price"",""table"",8),2,2)
"),"#N/A")</f>
        <v>#N/A</v>
      </c>
      <c r="K79" s="697"/>
      <c r="L79" s="697" t="str">
        <f t="shared" ref="L79:L102" si="40">J79-H79</f>
        <v>#N/A</v>
      </c>
      <c r="M79" s="698" t="str">
        <f t="shared" ref="M79:M80" si="41">J79/H79-1</f>
        <v>#N/A</v>
      </c>
      <c r="N79" s="696" t="str">
        <f t="shared" ref="N79:N102" si="42">F79*M79</f>
        <v>#N/A</v>
      </c>
      <c r="O79" s="569" t="s">
        <v>128</v>
      </c>
      <c r="P79" s="514"/>
      <c r="Q79" s="657"/>
      <c r="R79" s="257"/>
      <c r="S79" s="258"/>
      <c r="T79" s="658"/>
      <c r="U79" s="657"/>
      <c r="V79" s="257"/>
      <c r="W79" s="765"/>
      <c r="X79" s="658"/>
    </row>
    <row r="80">
      <c r="A80" s="344" t="s">
        <v>153</v>
      </c>
      <c r="B80" s="596" t="str">
        <f>G79+G80</f>
        <v>#N/A</v>
      </c>
      <c r="C80" s="344" t="s">
        <v>154</v>
      </c>
      <c r="D80" s="344" t="s">
        <v>155</v>
      </c>
      <c r="E80" s="569">
        <v>9.2</v>
      </c>
      <c r="F80" s="106">
        <v>71000.0</v>
      </c>
      <c r="G80" s="696" t="str">
        <f t="shared" si="39"/>
        <v>#N/A</v>
      </c>
      <c r="H80" s="675">
        <v>14.2</v>
      </c>
      <c r="I80" s="515"/>
      <c r="J80" s="705" t="str">
        <f>IFERROR(__xludf.DUMMYFUNCTION("Index(ImportHTML(""https://www.apmex.com/spotprices/silver-price"",""table"",8),2,2)"),"#N/A")</f>
        <v>#N/A</v>
      </c>
      <c r="K80" s="697"/>
      <c r="L80" s="697" t="str">
        <f t="shared" si="40"/>
        <v>#N/A</v>
      </c>
      <c r="M80" s="698" t="str">
        <f t="shared" si="41"/>
        <v>#N/A</v>
      </c>
      <c r="N80" s="696" t="str">
        <f t="shared" si="42"/>
        <v>#N/A</v>
      </c>
      <c r="O80" s="569" t="s">
        <v>128</v>
      </c>
      <c r="P80" s="514"/>
      <c r="Q80" s="657"/>
      <c r="R80" s="257"/>
      <c r="S80" s="258"/>
      <c r="T80" s="658"/>
      <c r="U80" s="657"/>
      <c r="V80" s="257"/>
      <c r="W80" s="765"/>
      <c r="X80" s="658"/>
    </row>
    <row r="81">
      <c r="A81" s="344" t="s">
        <v>928</v>
      </c>
      <c r="B81" s="598" t="str">
        <f>B80/D139</f>
        <v>#N/A</v>
      </c>
      <c r="C81" s="344" t="s">
        <v>773</v>
      </c>
      <c r="D81" s="344" t="s">
        <v>774</v>
      </c>
      <c r="E81" s="569">
        <v>9.1</v>
      </c>
      <c r="F81" s="106">
        <v>77880.0</v>
      </c>
      <c r="G81" s="106">
        <v>0.0</v>
      </c>
      <c r="H81" s="675">
        <v>12.98</v>
      </c>
      <c r="I81" s="676">
        <f>IFERROR(__xludf.DUMMYFUNCTION("GOOGLEFINANCE(D81,""changepct"")"),-1.23)</f>
        <v>-1.23</v>
      </c>
      <c r="J81" s="677">
        <f>IFERROR(__xludf.DUMMYFUNCTION("googlefinance(D81,""price"")"),26.43)</f>
        <v>26.43</v>
      </c>
      <c r="K81" s="675">
        <v>15.88</v>
      </c>
      <c r="L81" s="697">
        <f t="shared" si="40"/>
        <v>13.45</v>
      </c>
      <c r="M81" s="698">
        <f>K81/H81-1</f>
        <v>0.2234206471</v>
      </c>
      <c r="N81" s="696">
        <f t="shared" si="42"/>
        <v>17400</v>
      </c>
      <c r="O81" s="569" t="s">
        <v>128</v>
      </c>
      <c r="P81" s="514"/>
      <c r="Q81" s="210" t="s">
        <v>774</v>
      </c>
      <c r="R81" s="211">
        <v>43969.0</v>
      </c>
      <c r="S81" s="212">
        <v>15.88</v>
      </c>
      <c r="T81" s="213">
        <v>95280.0</v>
      </c>
      <c r="U81" s="657"/>
      <c r="V81" s="257"/>
      <c r="W81" s="765"/>
      <c r="X81" s="658"/>
    </row>
    <row r="82">
      <c r="A82" s="344" t="s">
        <v>159</v>
      </c>
      <c r="B82" s="596" t="str">
        <f>G81+G82+G83+G85+G87+G94+G100+G102+G84+G90+G91+G93+G95+G97+G99+G101+G88+G92+G86+G89</f>
        <v>#N/A</v>
      </c>
      <c r="C82" s="344" t="s">
        <v>570</v>
      </c>
      <c r="D82" s="344" t="s">
        <v>158</v>
      </c>
      <c r="E82" s="569">
        <v>8.8</v>
      </c>
      <c r="F82" s="106">
        <v>128040.0</v>
      </c>
      <c r="G82" s="696">
        <f t="shared" ref="G82:G83" si="43">(F82+N82)/2</f>
        <v>92867.5</v>
      </c>
      <c r="H82" s="675">
        <v>23.28</v>
      </c>
      <c r="I82" s="676">
        <f>IFERROR(__xludf.DUMMYFUNCTION("GOOGLEFINANCE(D82,""changepct"")"),-1.43)</f>
        <v>-1.43</v>
      </c>
      <c r="J82" s="677">
        <f>IFERROR(__xludf.DUMMYFUNCTION("googlefinance(D82,""price"")"),33.77)</f>
        <v>33.77</v>
      </c>
      <c r="K82" s="675">
        <v>36.57</v>
      </c>
      <c r="L82" s="697">
        <f t="shared" si="40"/>
        <v>10.49</v>
      </c>
      <c r="M82" s="698">
        <f t="shared" ref="M82:M93" si="44">J82/H82-1</f>
        <v>0.4506013746</v>
      </c>
      <c r="N82" s="696">
        <f t="shared" si="42"/>
        <v>57695</v>
      </c>
      <c r="O82" s="682">
        <v>0.0081</v>
      </c>
      <c r="P82" s="106">
        <v>205.0</v>
      </c>
      <c r="Q82" s="210" t="s">
        <v>158</v>
      </c>
      <c r="R82" s="211">
        <v>43969.0</v>
      </c>
      <c r="S82" s="212">
        <v>36.57</v>
      </c>
      <c r="T82" s="213">
        <v>100567.5</v>
      </c>
      <c r="U82" s="657"/>
      <c r="V82" s="257"/>
      <c r="W82" s="765"/>
      <c r="X82" s="658"/>
    </row>
    <row r="83">
      <c r="A83" s="344" t="s">
        <v>929</v>
      </c>
      <c r="B83" s="598" t="str">
        <f>B82/D139</f>
        <v>#N/A</v>
      </c>
      <c r="C83" s="344" t="s">
        <v>160</v>
      </c>
      <c r="D83" s="344" t="s">
        <v>161</v>
      </c>
      <c r="E83" s="569">
        <v>8.7</v>
      </c>
      <c r="F83" s="106">
        <v>127170.0</v>
      </c>
      <c r="G83" s="696">
        <f t="shared" si="43"/>
        <v>95220</v>
      </c>
      <c r="H83" s="675">
        <v>28.26</v>
      </c>
      <c r="I83" s="676">
        <f>IFERROR(__xludf.DUMMYFUNCTION("GOOGLEFINANCE(D83,""changepct"")"),-1.7)</f>
        <v>-1.7</v>
      </c>
      <c r="J83" s="677">
        <f>IFERROR(__xludf.DUMMYFUNCTION("googlefinance(D83,""price"")"),42.32)</f>
        <v>42.32</v>
      </c>
      <c r="K83" s="675">
        <v>46.38</v>
      </c>
      <c r="L83" s="697">
        <f t="shared" si="40"/>
        <v>14.06</v>
      </c>
      <c r="M83" s="698">
        <f t="shared" si="44"/>
        <v>0.4975230007</v>
      </c>
      <c r="N83" s="696">
        <f t="shared" si="42"/>
        <v>63270</v>
      </c>
      <c r="O83" s="682">
        <v>0.0057</v>
      </c>
      <c r="P83" s="106">
        <v>160.0</v>
      </c>
      <c r="Q83" s="210" t="s">
        <v>161</v>
      </c>
      <c r="R83" s="211">
        <v>43969.0</v>
      </c>
      <c r="S83" s="212">
        <v>46.38</v>
      </c>
      <c r="T83" s="213">
        <v>104355.0</v>
      </c>
      <c r="U83" s="657"/>
      <c r="V83" s="257"/>
      <c r="W83" s="765"/>
      <c r="X83" s="658"/>
    </row>
    <row r="84">
      <c r="A84" s="104" t="s">
        <v>775</v>
      </c>
      <c r="B84" s="344" t="str">
        <f>B80+B82</f>
        <v>#N/A</v>
      </c>
      <c r="C84" s="104" t="s">
        <v>776</v>
      </c>
      <c r="D84" s="104" t="s">
        <v>548</v>
      </c>
      <c r="E84" s="569">
        <v>8.8</v>
      </c>
      <c r="F84" s="106">
        <v>49900.0</v>
      </c>
      <c r="G84" s="106">
        <v>41350.0</v>
      </c>
      <c r="H84" s="675">
        <v>4.99</v>
      </c>
      <c r="I84" s="676">
        <f>IFERROR(__xludf.DUMMYFUNCTION("GOOGLEFINANCE(D84,""changepct"")"),-1.53)</f>
        <v>-1.53</v>
      </c>
      <c r="J84" s="677">
        <f>IFERROR(__xludf.DUMMYFUNCTION("googlefinance(D84,""price"")"),18.07)</f>
        <v>18.07</v>
      </c>
      <c r="K84" s="675">
        <v>8.27</v>
      </c>
      <c r="L84" s="697">
        <f t="shared" si="40"/>
        <v>13.08</v>
      </c>
      <c r="M84" s="698">
        <f t="shared" si="44"/>
        <v>2.621242485</v>
      </c>
      <c r="N84" s="696">
        <f t="shared" si="42"/>
        <v>130800</v>
      </c>
      <c r="O84" s="682">
        <v>0.0074</v>
      </c>
      <c r="P84" s="106">
        <v>77.0</v>
      </c>
      <c r="Q84" s="210" t="s">
        <v>548</v>
      </c>
      <c r="R84" s="211">
        <v>43969.0</v>
      </c>
      <c r="S84" s="212">
        <v>8.27</v>
      </c>
      <c r="T84" s="213">
        <v>41350.0</v>
      </c>
      <c r="U84" s="657"/>
      <c r="V84" s="257"/>
      <c r="W84" s="765"/>
      <c r="X84" s="658"/>
    </row>
    <row r="85">
      <c r="A85" s="104" t="s">
        <v>777</v>
      </c>
      <c r="B85" s="599" t="str">
        <f>B84/D139</f>
        <v>#N/A</v>
      </c>
      <c r="C85" s="344" t="s">
        <v>709</v>
      </c>
      <c r="D85" s="344" t="s">
        <v>710</v>
      </c>
      <c r="E85" s="569">
        <v>8.1</v>
      </c>
      <c r="F85" s="106">
        <v>58460.0</v>
      </c>
      <c r="G85" s="696" t="str">
        <f>(F85+N85)/2</f>
        <v>#N/A</v>
      </c>
      <c r="H85" s="675">
        <v>29.23</v>
      </c>
      <c r="I85" s="676" t="str">
        <f>IFERROR(__xludf.DUMMYFUNCTION("GOOGLEFINANCE(D85,""changepct"")"),"#N/A")</f>
        <v>#N/A</v>
      </c>
      <c r="J85" s="677" t="str">
        <f>IFERROR(__xludf.DUMMYFUNCTION("googlefinance(D85,""price"")"),"#N/A")</f>
        <v>#N/A</v>
      </c>
      <c r="K85" s="675">
        <v>40.15</v>
      </c>
      <c r="L85" s="697" t="str">
        <f t="shared" si="40"/>
        <v>#N/A</v>
      </c>
      <c r="M85" s="698" t="str">
        <f t="shared" si="44"/>
        <v>#N/A</v>
      </c>
      <c r="N85" s="696" t="str">
        <f t="shared" si="42"/>
        <v>#N/A</v>
      </c>
      <c r="O85" s="682">
        <v>0.0114</v>
      </c>
      <c r="P85" s="106">
        <v>120.0</v>
      </c>
      <c r="Q85" s="210" t="s">
        <v>710</v>
      </c>
      <c r="R85" s="211">
        <v>43969.0</v>
      </c>
      <c r="S85" s="212">
        <v>40.15</v>
      </c>
      <c r="T85" s="213">
        <v>40150.0</v>
      </c>
      <c r="U85" s="657"/>
      <c r="V85" s="257"/>
      <c r="W85" s="765"/>
      <c r="X85" s="658"/>
    </row>
    <row r="86">
      <c r="A86" s="104"/>
      <c r="B86" s="528"/>
      <c r="C86" s="344" t="s">
        <v>709</v>
      </c>
      <c r="D86" s="344" t="s">
        <v>710</v>
      </c>
      <c r="E86" s="569">
        <v>8.1</v>
      </c>
      <c r="F86" s="106">
        <v>45180.0</v>
      </c>
      <c r="G86" s="696" t="str">
        <f>(F86+N86)</f>
        <v>#N/A</v>
      </c>
      <c r="H86" s="675">
        <v>37.65</v>
      </c>
      <c r="I86" s="676" t="str">
        <f>IFERROR(__xludf.DUMMYFUNCTION("GOOGLEFINANCE(D86,""changepct"")"),"#N/A")</f>
        <v>#N/A</v>
      </c>
      <c r="J86" s="677" t="str">
        <f>IFERROR(__xludf.DUMMYFUNCTION("googlefinance(D86,""price"")"),"#N/A")</f>
        <v>#N/A</v>
      </c>
      <c r="K86" s="675"/>
      <c r="L86" s="697" t="str">
        <f t="shared" si="40"/>
        <v>#N/A</v>
      </c>
      <c r="M86" s="698" t="str">
        <f t="shared" si="44"/>
        <v>#N/A</v>
      </c>
      <c r="N86" s="696" t="str">
        <f t="shared" si="42"/>
        <v>#N/A</v>
      </c>
      <c r="O86" s="682"/>
      <c r="P86" s="696"/>
      <c r="Q86" s="210"/>
      <c r="R86" s="211"/>
      <c r="S86" s="212"/>
      <c r="T86" s="213"/>
      <c r="U86" s="210" t="s">
        <v>710</v>
      </c>
      <c r="V86" s="211">
        <v>43986.0</v>
      </c>
      <c r="W86" s="230">
        <v>37.65</v>
      </c>
      <c r="X86" s="106">
        <v>45180.0</v>
      </c>
    </row>
    <row r="87">
      <c r="A87" s="104"/>
      <c r="B87" s="528"/>
      <c r="C87" s="344" t="s">
        <v>506</v>
      </c>
      <c r="D87" s="344" t="s">
        <v>169</v>
      </c>
      <c r="E87" s="569">
        <v>8.3</v>
      </c>
      <c r="F87" s="106">
        <v>53940.0</v>
      </c>
      <c r="G87" s="696">
        <f>(F87+N87)/2</f>
        <v>22200</v>
      </c>
      <c r="H87" s="675">
        <v>44.95</v>
      </c>
      <c r="I87" s="676">
        <f>IFERROR(__xludf.DUMMYFUNCTION("GOOGLEFINANCE(D87,""changepct"")"),-2.22)</f>
        <v>-2.22</v>
      </c>
      <c r="J87" s="677">
        <f>IFERROR(__xludf.DUMMYFUNCTION("googlefinance(D87,""price"")"),37.0)</f>
        <v>37</v>
      </c>
      <c r="K87" s="675">
        <v>67.86</v>
      </c>
      <c r="L87" s="697">
        <f t="shared" si="40"/>
        <v>-7.95</v>
      </c>
      <c r="M87" s="698">
        <f t="shared" si="44"/>
        <v>-0.1768631813</v>
      </c>
      <c r="N87" s="696">
        <f t="shared" si="42"/>
        <v>-9540</v>
      </c>
      <c r="O87" s="682">
        <v>0.0168</v>
      </c>
      <c r="P87" s="696"/>
      <c r="Q87" s="210" t="s">
        <v>169</v>
      </c>
      <c r="R87" s="211">
        <v>43969.0</v>
      </c>
      <c r="S87" s="212">
        <v>67.86</v>
      </c>
      <c r="T87" s="213">
        <v>40716.0</v>
      </c>
      <c r="U87" s="657"/>
      <c r="V87" s="257"/>
      <c r="W87" s="765"/>
      <c r="X87" s="658"/>
    </row>
    <row r="88">
      <c r="A88" s="528"/>
      <c r="B88" s="528"/>
      <c r="C88" s="344" t="s">
        <v>506</v>
      </c>
      <c r="D88" s="344" t="s">
        <v>169</v>
      </c>
      <c r="E88" s="569">
        <v>8.3</v>
      </c>
      <c r="F88" s="106">
        <v>56990.0</v>
      </c>
      <c r="G88" s="696">
        <f t="shared" ref="G88:G89" si="45">(F88+N88)</f>
        <v>37000</v>
      </c>
      <c r="H88" s="675">
        <v>56.99</v>
      </c>
      <c r="I88" s="676">
        <f>IFERROR(__xludf.DUMMYFUNCTION("GOOGLEFINANCE(D88,""changepct"")"),-2.22)</f>
        <v>-2.22</v>
      </c>
      <c r="J88" s="677">
        <f>IFERROR(__xludf.DUMMYFUNCTION("googlefinance(D88,""price"")"),37.0)</f>
        <v>37</v>
      </c>
      <c r="K88" s="675"/>
      <c r="L88" s="697">
        <f t="shared" si="40"/>
        <v>-19.99</v>
      </c>
      <c r="M88" s="698">
        <f t="shared" si="44"/>
        <v>-0.3507632918</v>
      </c>
      <c r="N88" s="696">
        <f t="shared" si="42"/>
        <v>-19990</v>
      </c>
      <c r="O88" s="682">
        <v>0.0162</v>
      </c>
      <c r="P88" s="217">
        <v>251.0</v>
      </c>
      <c r="Q88" s="210"/>
      <c r="R88" s="211"/>
      <c r="S88" s="212"/>
      <c r="T88" s="213"/>
      <c r="U88" s="364" t="s">
        <v>169</v>
      </c>
      <c r="V88" s="211">
        <v>43986.0</v>
      </c>
      <c r="W88" s="230">
        <v>56.99</v>
      </c>
      <c r="X88" s="106">
        <v>56990.0</v>
      </c>
    </row>
    <row r="89">
      <c r="A89" s="528"/>
      <c r="B89" s="528"/>
      <c r="C89" s="728" t="s">
        <v>683</v>
      </c>
      <c r="D89" s="364" t="s">
        <v>684</v>
      </c>
      <c r="E89" s="499">
        <v>8.1</v>
      </c>
      <c r="F89" s="106">
        <v>57980.0</v>
      </c>
      <c r="G89" s="696" t="str">
        <f t="shared" si="45"/>
        <v>#N/A</v>
      </c>
      <c r="H89" s="675">
        <v>28.99</v>
      </c>
      <c r="I89" s="676" t="str">
        <f>IFERROR(__xludf.DUMMYFUNCTION("GOOGLEFINANCE(D89,""changepct"")"),"#N/A")</f>
        <v>#N/A</v>
      </c>
      <c r="J89" s="677" t="str">
        <f>IFERROR(__xludf.DUMMYFUNCTION("googlefinance(D89,""price"")"),"#N/A")</f>
        <v>#N/A</v>
      </c>
      <c r="K89" s="675"/>
      <c r="L89" s="697" t="str">
        <f t="shared" si="40"/>
        <v>#N/A</v>
      </c>
      <c r="M89" s="698" t="str">
        <f t="shared" si="44"/>
        <v>#N/A</v>
      </c>
      <c r="N89" s="696" t="str">
        <f t="shared" si="42"/>
        <v>#N/A</v>
      </c>
      <c r="O89" s="682">
        <v>0.0541</v>
      </c>
      <c r="P89" s="514"/>
      <c r="Q89" s="210"/>
      <c r="R89" s="211"/>
      <c r="S89" s="212"/>
      <c r="T89" s="213"/>
      <c r="U89" s="364" t="s">
        <v>684</v>
      </c>
      <c r="V89" s="211">
        <v>43986.0</v>
      </c>
      <c r="W89" s="230">
        <v>28.99</v>
      </c>
      <c r="X89" s="106">
        <v>57980.0</v>
      </c>
    </row>
    <row r="90">
      <c r="A90" s="528"/>
      <c r="B90" s="528"/>
      <c r="C90" s="766" t="s">
        <v>930</v>
      </c>
      <c r="D90" s="231" t="s">
        <v>931</v>
      </c>
      <c r="E90" s="499">
        <v>7.8</v>
      </c>
      <c r="F90" s="106">
        <v>23080.0</v>
      </c>
      <c r="G90" s="106">
        <f t="shared" ref="G90:G93" si="46">F90+N90</f>
        <v>28040</v>
      </c>
      <c r="H90" s="675">
        <v>46.16</v>
      </c>
      <c r="I90" s="676">
        <f>IFERROR(__xludf.DUMMYFUNCTION("GOOGLEFINANCE(D90,""changepct"")"),-1.72)</f>
        <v>-1.72</v>
      </c>
      <c r="J90" s="677">
        <f>IFERROR(__xludf.DUMMYFUNCTION("googlefinance(D90,""price"")"),56.08)</f>
        <v>56.08</v>
      </c>
      <c r="K90" s="675"/>
      <c r="L90" s="697">
        <f t="shared" si="40"/>
        <v>9.92</v>
      </c>
      <c r="M90" s="698">
        <f t="shared" si="44"/>
        <v>0.2149046794</v>
      </c>
      <c r="N90" s="696">
        <f t="shared" si="42"/>
        <v>4960</v>
      </c>
      <c r="O90" s="682">
        <v>0.0101</v>
      </c>
      <c r="P90" s="514"/>
      <c r="Q90" s="210"/>
      <c r="R90" s="211"/>
      <c r="S90" s="212"/>
      <c r="T90" s="213"/>
      <c r="U90" s="231" t="s">
        <v>931</v>
      </c>
      <c r="V90" s="211">
        <v>43970.0</v>
      </c>
      <c r="W90" s="230">
        <v>46.16</v>
      </c>
      <c r="X90" s="106">
        <v>23080.0</v>
      </c>
    </row>
    <row r="91">
      <c r="A91" s="528"/>
      <c r="B91" s="528"/>
      <c r="C91" s="104" t="s">
        <v>166</v>
      </c>
      <c r="D91" s="104" t="s">
        <v>167</v>
      </c>
      <c r="E91" s="569">
        <v>8.3</v>
      </c>
      <c r="F91" s="106">
        <v>59120.0</v>
      </c>
      <c r="G91" s="106">
        <f t="shared" si="46"/>
        <v>73360</v>
      </c>
      <c r="H91" s="675">
        <v>7.39</v>
      </c>
      <c r="I91" s="676">
        <f>IFERROR(__xludf.DUMMYFUNCTION("GOOGLEFINANCE(D91,""changepct"")"),-1.5)</f>
        <v>-1.5</v>
      </c>
      <c r="J91" s="677">
        <f>IFERROR(__xludf.DUMMYFUNCTION("googlefinance(D91,""price"")"),9.17)</f>
        <v>9.17</v>
      </c>
      <c r="K91" s="675"/>
      <c r="L91" s="697">
        <f t="shared" si="40"/>
        <v>1.78</v>
      </c>
      <c r="M91" s="698">
        <f t="shared" si="44"/>
        <v>0.2408660352</v>
      </c>
      <c r="N91" s="696">
        <f t="shared" si="42"/>
        <v>14240</v>
      </c>
      <c r="O91" s="569" t="s">
        <v>128</v>
      </c>
      <c r="P91" s="514"/>
      <c r="Q91" s="210"/>
      <c r="R91" s="211"/>
      <c r="S91" s="212"/>
      <c r="T91" s="213"/>
      <c r="U91" s="210" t="s">
        <v>167</v>
      </c>
      <c r="V91" s="211">
        <v>43970.0</v>
      </c>
      <c r="W91" s="230">
        <v>7.39</v>
      </c>
      <c r="X91" s="106">
        <v>59120.0</v>
      </c>
    </row>
    <row r="92">
      <c r="A92" s="528"/>
      <c r="B92" s="528"/>
      <c r="C92" s="104" t="s">
        <v>166</v>
      </c>
      <c r="D92" s="104" t="s">
        <v>167</v>
      </c>
      <c r="E92" s="569">
        <v>8.3</v>
      </c>
      <c r="F92" s="106">
        <v>37860.0</v>
      </c>
      <c r="G92" s="106">
        <f t="shared" si="46"/>
        <v>55020</v>
      </c>
      <c r="H92" s="675">
        <v>6.31</v>
      </c>
      <c r="I92" s="676">
        <f>IFERROR(__xludf.DUMMYFUNCTION("GOOGLEFINANCE(D92,""changepct"")"),-1.5)</f>
        <v>-1.5</v>
      </c>
      <c r="J92" s="677">
        <f>IFERROR(__xludf.DUMMYFUNCTION("googlefinance(D92,""price"")"),9.17)</f>
        <v>9.17</v>
      </c>
      <c r="K92" s="675"/>
      <c r="L92" s="697">
        <f t="shared" si="40"/>
        <v>2.86</v>
      </c>
      <c r="M92" s="698">
        <f t="shared" si="44"/>
        <v>0.4532488114</v>
      </c>
      <c r="N92" s="696">
        <f t="shared" si="42"/>
        <v>17160</v>
      </c>
      <c r="O92" s="569" t="s">
        <v>128</v>
      </c>
      <c r="P92" s="514"/>
      <c r="Q92" s="210"/>
      <c r="R92" s="211"/>
      <c r="S92" s="212"/>
      <c r="T92" s="213"/>
      <c r="U92" s="210" t="s">
        <v>167</v>
      </c>
      <c r="V92" s="211">
        <v>43986.0</v>
      </c>
      <c r="W92" s="675">
        <v>6.31</v>
      </c>
      <c r="X92" s="106">
        <v>37860.0</v>
      </c>
    </row>
    <row r="93">
      <c r="A93" s="528"/>
      <c r="B93" s="528"/>
      <c r="C93" s="344" t="s">
        <v>783</v>
      </c>
      <c r="D93" s="344" t="s">
        <v>573</v>
      </c>
      <c r="E93" s="569">
        <v>8.1</v>
      </c>
      <c r="F93" s="106">
        <v>40190.0</v>
      </c>
      <c r="G93" s="106">
        <f t="shared" si="46"/>
        <v>40381.83771</v>
      </c>
      <c r="H93" s="675">
        <v>4.19</v>
      </c>
      <c r="I93" s="676">
        <f>IFERROR(__xludf.DUMMYFUNCTION("GOOGLEFINANCE(D93,""changepct"")"),-2.55)</f>
        <v>-2.55</v>
      </c>
      <c r="J93" s="677">
        <f>IFERROR(__xludf.DUMMYFUNCTION("googlefinance(D93,""price"")"),4.21)</f>
        <v>4.21</v>
      </c>
      <c r="K93" s="675"/>
      <c r="L93" s="697">
        <f t="shared" si="40"/>
        <v>0.02</v>
      </c>
      <c r="M93" s="698">
        <f t="shared" si="44"/>
        <v>0.00477326969</v>
      </c>
      <c r="N93" s="696">
        <f t="shared" si="42"/>
        <v>191.8377088</v>
      </c>
      <c r="O93" s="569" t="s">
        <v>128</v>
      </c>
      <c r="P93" s="514"/>
      <c r="Q93" s="210"/>
      <c r="R93" s="211"/>
      <c r="S93" s="212"/>
      <c r="T93" s="213"/>
      <c r="U93" s="210" t="s">
        <v>573</v>
      </c>
      <c r="V93" s="211">
        <v>43970.0</v>
      </c>
      <c r="W93" s="230">
        <v>4.19</v>
      </c>
      <c r="X93" s="106">
        <v>40190.0</v>
      </c>
    </row>
    <row r="94">
      <c r="A94" s="528"/>
      <c r="B94" s="528"/>
      <c r="C94" s="344" t="s">
        <v>783</v>
      </c>
      <c r="D94" s="344" t="s">
        <v>573</v>
      </c>
      <c r="E94" s="569">
        <v>8.1</v>
      </c>
      <c r="F94" s="106">
        <v>33000.0</v>
      </c>
      <c r="G94" s="106">
        <v>0.0</v>
      </c>
      <c r="H94" s="675">
        <v>2.2</v>
      </c>
      <c r="I94" s="676">
        <f>IFERROR(__xludf.DUMMYFUNCTION("GOOGLEFINANCE(D94,""changepct"")"),-2.55)</f>
        <v>-2.55</v>
      </c>
      <c r="J94" s="677">
        <f>IFERROR(__xludf.DUMMYFUNCTION("googlefinance(D94,""price"")"),4.21)</f>
        <v>4.21</v>
      </c>
      <c r="K94" s="675">
        <v>4.25</v>
      </c>
      <c r="L94" s="697">
        <f t="shared" si="40"/>
        <v>2.01</v>
      </c>
      <c r="M94" s="698">
        <f>K94/H94-1</f>
        <v>0.9318181818</v>
      </c>
      <c r="N94" s="696">
        <f t="shared" si="42"/>
        <v>30750</v>
      </c>
      <c r="O94" s="569" t="s">
        <v>128</v>
      </c>
      <c r="P94" s="514"/>
      <c r="Q94" s="210" t="s">
        <v>573</v>
      </c>
      <c r="R94" s="211">
        <v>43969.0</v>
      </c>
      <c r="S94" s="212">
        <v>4.25</v>
      </c>
      <c r="T94" s="213">
        <v>63750.0</v>
      </c>
      <c r="U94" s="657"/>
      <c r="V94" s="257"/>
      <c r="W94" s="765"/>
      <c r="X94" s="658"/>
    </row>
    <row r="95">
      <c r="A95" s="528"/>
      <c r="B95" s="528"/>
      <c r="C95" s="571" t="s">
        <v>179</v>
      </c>
      <c r="D95" s="104" t="s">
        <v>180</v>
      </c>
      <c r="E95" s="569">
        <v>9.1</v>
      </c>
      <c r="F95" s="106">
        <v>62850.0</v>
      </c>
      <c r="G95" s="106">
        <f>F95+N95</f>
        <v>57200</v>
      </c>
      <c r="H95" s="675">
        <v>12.57</v>
      </c>
      <c r="I95" s="676">
        <f>IFERROR(__xludf.DUMMYFUNCTION("GOOGLEFINANCE(D95,""changepct"")"),-2.8)</f>
        <v>-2.8</v>
      </c>
      <c r="J95" s="677">
        <f>IFERROR(__xludf.DUMMYFUNCTION("googlefinance(D95,""price"")"),11.44)</f>
        <v>11.44</v>
      </c>
      <c r="K95" s="675"/>
      <c r="L95" s="697">
        <f t="shared" si="40"/>
        <v>-1.13</v>
      </c>
      <c r="M95" s="698">
        <f>J95/H95-1</f>
        <v>-0.08989657916</v>
      </c>
      <c r="N95" s="696">
        <f t="shared" si="42"/>
        <v>-5650</v>
      </c>
      <c r="O95" s="682">
        <v>0.0211</v>
      </c>
      <c r="P95" s="514"/>
      <c r="Q95" s="210"/>
      <c r="R95" s="211"/>
      <c r="S95" s="212"/>
      <c r="T95" s="213"/>
      <c r="U95" s="210" t="s">
        <v>180</v>
      </c>
      <c r="V95" s="211">
        <v>43970.0</v>
      </c>
      <c r="W95" s="675">
        <v>12.57</v>
      </c>
      <c r="X95" s="106">
        <v>62850.0</v>
      </c>
    </row>
    <row r="96">
      <c r="A96" s="528"/>
      <c r="B96" s="528"/>
      <c r="C96" s="571" t="s">
        <v>179</v>
      </c>
      <c r="D96" s="104" t="s">
        <v>180</v>
      </c>
      <c r="E96" s="569">
        <v>9.1</v>
      </c>
      <c r="F96" s="106">
        <v>44080.0</v>
      </c>
      <c r="G96" s="106">
        <v>0.0</v>
      </c>
      <c r="H96" s="675">
        <v>11.02</v>
      </c>
      <c r="I96" s="676">
        <f>IFERROR(__xludf.DUMMYFUNCTION("GOOGLEFINANCE(D96,""changepct"")"),-2.8)</f>
        <v>-2.8</v>
      </c>
      <c r="J96" s="677">
        <f>IFERROR(__xludf.DUMMYFUNCTION("googlefinance(D96,""price"")"),11.44)</f>
        <v>11.44</v>
      </c>
      <c r="K96" s="675">
        <v>12.45</v>
      </c>
      <c r="L96" s="697">
        <f t="shared" si="40"/>
        <v>0.42</v>
      </c>
      <c r="M96" s="698">
        <f>K96/H96-1</f>
        <v>0.1297640653</v>
      </c>
      <c r="N96" s="696">
        <f t="shared" si="42"/>
        <v>5720</v>
      </c>
      <c r="O96" s="682">
        <v>0.0211</v>
      </c>
      <c r="P96" s="514"/>
      <c r="Q96" s="210" t="s">
        <v>180</v>
      </c>
      <c r="R96" s="211">
        <v>43969.0</v>
      </c>
      <c r="S96" s="212">
        <v>12.45</v>
      </c>
      <c r="T96" s="213">
        <v>49800.0</v>
      </c>
      <c r="U96" s="210" t="s">
        <v>180</v>
      </c>
      <c r="V96" s="211">
        <v>43965.0</v>
      </c>
      <c r="W96" s="230">
        <v>11.02</v>
      </c>
      <c r="X96" s="213">
        <v>44080.0</v>
      </c>
    </row>
    <row r="97">
      <c r="A97" s="528"/>
      <c r="B97" s="528"/>
      <c r="C97" s="571" t="s">
        <v>781</v>
      </c>
      <c r="D97" s="104" t="s">
        <v>782</v>
      </c>
      <c r="E97" s="569">
        <v>8.9</v>
      </c>
      <c r="F97" s="106">
        <v>54750.0</v>
      </c>
      <c r="G97" s="106">
        <f>F97+N97</f>
        <v>47415</v>
      </c>
      <c r="H97" s="675">
        <v>36.5</v>
      </c>
      <c r="I97" s="676">
        <f>IFERROR(__xludf.DUMMYFUNCTION("GOOGLEFINANCE(D97,""changepct"")"),-2.45)</f>
        <v>-2.45</v>
      </c>
      <c r="J97" s="677">
        <f>IFERROR(__xludf.DUMMYFUNCTION("googlefinance(D97,""price"")"),31.61)</f>
        <v>31.61</v>
      </c>
      <c r="K97" s="675"/>
      <c r="L97" s="697">
        <f t="shared" si="40"/>
        <v>-4.89</v>
      </c>
      <c r="M97" s="698">
        <f>J97/H97-1</f>
        <v>-0.1339726027</v>
      </c>
      <c r="N97" s="696">
        <f t="shared" si="42"/>
        <v>-7335</v>
      </c>
      <c r="O97" s="682">
        <v>0.0163</v>
      </c>
      <c r="P97" s="514"/>
      <c r="Q97" s="210"/>
      <c r="R97" s="211"/>
      <c r="S97" s="212"/>
      <c r="T97" s="213"/>
      <c r="U97" s="210" t="s">
        <v>782</v>
      </c>
      <c r="V97" s="211">
        <v>43970.0</v>
      </c>
      <c r="W97" s="675">
        <v>36.5</v>
      </c>
      <c r="X97" s="213">
        <v>54750.0</v>
      </c>
    </row>
    <row r="98">
      <c r="A98" s="528"/>
      <c r="B98" s="528"/>
      <c r="C98" s="571" t="s">
        <v>781</v>
      </c>
      <c r="D98" s="104" t="s">
        <v>782</v>
      </c>
      <c r="E98" s="569">
        <v>8.9</v>
      </c>
      <c r="F98" s="106">
        <v>38652.0</v>
      </c>
      <c r="G98" s="106">
        <v>0.0</v>
      </c>
      <c r="H98" s="675">
        <v>32.21</v>
      </c>
      <c r="I98" s="676">
        <f>IFERROR(__xludf.DUMMYFUNCTION("GOOGLEFINANCE(D98,""changepct"")"),-2.45)</f>
        <v>-2.45</v>
      </c>
      <c r="J98" s="677">
        <f>IFERROR(__xludf.DUMMYFUNCTION("googlefinance(D98,""price"")"),31.61)</f>
        <v>31.61</v>
      </c>
      <c r="K98" s="675">
        <v>36.24</v>
      </c>
      <c r="L98" s="697">
        <f t="shared" si="40"/>
        <v>-0.6</v>
      </c>
      <c r="M98" s="698">
        <f>K98/H98-1</f>
        <v>0.1251164235</v>
      </c>
      <c r="N98" s="696">
        <f t="shared" si="42"/>
        <v>4836</v>
      </c>
      <c r="O98" s="682">
        <v>0.0163</v>
      </c>
      <c r="P98" s="514"/>
      <c r="Q98" s="210" t="s">
        <v>782</v>
      </c>
      <c r="R98" s="211">
        <v>43969.0</v>
      </c>
      <c r="S98" s="212">
        <v>36.24</v>
      </c>
      <c r="T98" s="213">
        <v>43488.0</v>
      </c>
      <c r="U98" s="210" t="s">
        <v>782</v>
      </c>
      <c r="V98" s="211">
        <v>43965.0</v>
      </c>
      <c r="W98" s="230">
        <v>32.21</v>
      </c>
      <c r="X98" s="213">
        <v>38652.0</v>
      </c>
    </row>
    <row r="99">
      <c r="A99" s="528"/>
      <c r="B99" s="528"/>
      <c r="C99" s="600" t="s">
        <v>711</v>
      </c>
      <c r="D99" s="344" t="s">
        <v>550</v>
      </c>
      <c r="E99" s="569">
        <v>8.5</v>
      </c>
      <c r="F99" s="106">
        <v>38360.0</v>
      </c>
      <c r="G99" s="106">
        <f>F99+N99</f>
        <v>21560</v>
      </c>
      <c r="H99" s="675">
        <v>9.59</v>
      </c>
      <c r="I99" s="676">
        <f>IFERROR(__xludf.DUMMYFUNCTION("GOOGLEFINANCE(D99,""changepct"")"),-2.71)</f>
        <v>-2.71</v>
      </c>
      <c r="J99" s="677">
        <f>IFERROR(__xludf.DUMMYFUNCTION("googlefinance(D99,""price"")"),5.39)</f>
        <v>5.39</v>
      </c>
      <c r="K99" s="675"/>
      <c r="L99" s="697">
        <f t="shared" si="40"/>
        <v>-4.2</v>
      </c>
      <c r="M99" s="698">
        <f>J99/H99-1</f>
        <v>-0.4379562044</v>
      </c>
      <c r="N99" s="696">
        <f t="shared" si="42"/>
        <v>-16800</v>
      </c>
      <c r="O99" s="569" t="s">
        <v>128</v>
      </c>
      <c r="P99" s="514"/>
      <c r="Q99" s="210"/>
      <c r="R99" s="211"/>
      <c r="S99" s="212"/>
      <c r="T99" s="213"/>
      <c r="U99" s="210" t="s">
        <v>550</v>
      </c>
      <c r="V99" s="211">
        <v>43970.0</v>
      </c>
      <c r="W99" s="230">
        <v>9.59</v>
      </c>
      <c r="X99" s="213">
        <v>38360.0</v>
      </c>
    </row>
    <row r="100">
      <c r="A100" s="528"/>
      <c r="B100" s="528"/>
      <c r="C100" s="600" t="s">
        <v>711</v>
      </c>
      <c r="D100" s="344" t="s">
        <v>550</v>
      </c>
      <c r="E100" s="569">
        <v>8.5</v>
      </c>
      <c r="F100" s="106">
        <v>59600.0</v>
      </c>
      <c r="G100" s="106">
        <v>0.0</v>
      </c>
      <c r="H100" s="675">
        <v>5.96</v>
      </c>
      <c r="I100" s="676">
        <f>IFERROR(__xludf.DUMMYFUNCTION("GOOGLEFINANCE(D100,""changepct"")"),-2.71)</f>
        <v>-2.71</v>
      </c>
      <c r="J100" s="677">
        <f>IFERROR(__xludf.DUMMYFUNCTION("googlefinance(D100,""price"")"),5.39)</f>
        <v>5.39</v>
      </c>
      <c r="K100" s="675">
        <v>9.33</v>
      </c>
      <c r="L100" s="697">
        <f t="shared" si="40"/>
        <v>-0.57</v>
      </c>
      <c r="M100" s="698">
        <f>K100/H100-1</f>
        <v>0.5654362416</v>
      </c>
      <c r="N100" s="696">
        <f t="shared" si="42"/>
        <v>33700</v>
      </c>
      <c r="O100" s="569" t="s">
        <v>128</v>
      </c>
      <c r="P100" s="514"/>
      <c r="Q100" s="210" t="s">
        <v>550</v>
      </c>
      <c r="R100" s="211">
        <v>43969.0</v>
      </c>
      <c r="S100" s="212">
        <v>9.33</v>
      </c>
      <c r="T100" s="213">
        <v>93300.0</v>
      </c>
      <c r="U100" s="657"/>
      <c r="V100" s="257"/>
      <c r="W100" s="765"/>
      <c r="X100" s="658"/>
    </row>
    <row r="101">
      <c r="A101" s="528"/>
      <c r="B101" s="528"/>
      <c r="C101" s="344" t="s">
        <v>357</v>
      </c>
      <c r="D101" s="344" t="s">
        <v>174</v>
      </c>
      <c r="E101" s="569">
        <v>8.7</v>
      </c>
      <c r="F101" s="106">
        <v>51580.0</v>
      </c>
      <c r="G101" s="106">
        <f>F101+N101</f>
        <v>39880</v>
      </c>
      <c r="H101" s="675">
        <v>25.79</v>
      </c>
      <c r="I101" s="676">
        <f>IFERROR(__xludf.DUMMYFUNCTION("GOOGLEFINANCE(D101,""changepct"")"),-3.11)</f>
        <v>-3.11</v>
      </c>
      <c r="J101" s="677">
        <f>IFERROR(__xludf.DUMMYFUNCTION("googlefinance(D101,""price"")"),19.94)</f>
        <v>19.94</v>
      </c>
      <c r="K101" s="675"/>
      <c r="L101" s="697">
        <f t="shared" si="40"/>
        <v>-5.85</v>
      </c>
      <c r="M101" s="698">
        <f>J101/H101-1</f>
        <v>-0.2268321055</v>
      </c>
      <c r="N101" s="696">
        <f t="shared" si="42"/>
        <v>-11700</v>
      </c>
      <c r="O101" s="682">
        <v>0.0066</v>
      </c>
      <c r="P101" s="106">
        <v>112.5</v>
      </c>
      <c r="Q101" s="210"/>
      <c r="R101" s="211"/>
      <c r="S101" s="212"/>
      <c r="T101" s="213"/>
      <c r="U101" s="210" t="s">
        <v>174</v>
      </c>
      <c r="V101" s="211">
        <v>43970.0</v>
      </c>
      <c r="W101" s="230">
        <v>25.79</v>
      </c>
      <c r="X101" s="213">
        <v>51580.0</v>
      </c>
    </row>
    <row r="102">
      <c r="A102" s="528"/>
      <c r="B102" s="528"/>
      <c r="C102" s="344" t="s">
        <v>357</v>
      </c>
      <c r="D102" s="344" t="s">
        <v>174</v>
      </c>
      <c r="E102" s="569">
        <v>8.7</v>
      </c>
      <c r="F102" s="106">
        <v>42270.0</v>
      </c>
      <c r="G102" s="106">
        <v>0.0</v>
      </c>
      <c r="H102" s="675">
        <v>14.09</v>
      </c>
      <c r="I102" s="676">
        <f>IFERROR(__xludf.DUMMYFUNCTION("GOOGLEFINANCE(D102,""changepct"")"),-3.11)</f>
        <v>-3.11</v>
      </c>
      <c r="J102" s="677">
        <f>IFERROR(__xludf.DUMMYFUNCTION("googlefinance(D102,""price"")"),19.94)</f>
        <v>19.94</v>
      </c>
      <c r="K102" s="675">
        <v>25.15</v>
      </c>
      <c r="L102" s="697">
        <f t="shared" si="40"/>
        <v>5.85</v>
      </c>
      <c r="M102" s="698">
        <f>K102/H102-1</f>
        <v>0.784953868</v>
      </c>
      <c r="N102" s="696">
        <f t="shared" si="42"/>
        <v>33180</v>
      </c>
      <c r="O102" s="682">
        <v>0.0094</v>
      </c>
      <c r="P102" s="696"/>
      <c r="Q102" s="210" t="s">
        <v>174</v>
      </c>
      <c r="R102" s="211">
        <v>43969.0</v>
      </c>
      <c r="S102" s="212">
        <v>25.15</v>
      </c>
      <c r="T102" s="213">
        <v>75450.0</v>
      </c>
      <c r="U102" s="657"/>
      <c r="V102" s="257"/>
      <c r="W102" s="765"/>
      <c r="X102" s="658"/>
    </row>
    <row r="103">
      <c r="A103" s="173"/>
      <c r="B103" s="13" t="s">
        <v>89</v>
      </c>
      <c r="C103" s="173"/>
      <c r="D103" s="173"/>
      <c r="E103" s="173"/>
      <c r="F103" s="693">
        <f t="shared" ref="F103:G103" si="47">SUM(F79:F102)</f>
        <v>1471772</v>
      </c>
      <c r="G103" s="693" t="str">
        <f t="shared" si="47"/>
        <v>#N/A</v>
      </c>
      <c r="H103" s="173"/>
      <c r="I103" s="173"/>
      <c r="J103" s="173"/>
      <c r="K103" s="173"/>
      <c r="L103" s="173"/>
      <c r="M103" s="695">
        <f>E135</f>
        <v>0.5042155383</v>
      </c>
      <c r="N103" s="693" t="str">
        <f>SUM(N80:N102)</f>
        <v>#N/A</v>
      </c>
      <c r="O103" s="173"/>
      <c r="P103" s="693">
        <f>SUM(P81:P102)</f>
        <v>925.5</v>
      </c>
      <c r="Q103" s="238" t="s">
        <v>89</v>
      </c>
      <c r="R103" s="239"/>
      <c r="S103" s="241"/>
      <c r="T103" s="240">
        <f>SUM(T79:T102)</f>
        <v>748206.5</v>
      </c>
      <c r="U103" s="238" t="s">
        <v>89</v>
      </c>
      <c r="V103" s="239"/>
      <c r="W103" s="767"/>
      <c r="X103" s="240">
        <f>SUM(X79:X102)</f>
        <v>610672</v>
      </c>
    </row>
    <row r="104">
      <c r="A104" s="13" t="s">
        <v>826</v>
      </c>
      <c r="B104" s="173"/>
      <c r="C104" s="13" t="s">
        <v>827</v>
      </c>
      <c r="D104" s="13" t="s">
        <v>4</v>
      </c>
      <c r="E104" s="13" t="s">
        <v>5</v>
      </c>
      <c r="F104" s="504" t="s">
        <v>895</v>
      </c>
      <c r="G104" s="649" t="s">
        <v>730</v>
      </c>
      <c r="H104" s="505" t="s">
        <v>923</v>
      </c>
      <c r="I104" s="506" t="s">
        <v>10</v>
      </c>
      <c r="J104" s="673" t="s">
        <v>11</v>
      </c>
      <c r="K104" s="508" t="s">
        <v>476</v>
      </c>
      <c r="L104" s="507" t="s">
        <v>13</v>
      </c>
      <c r="M104" s="504" t="s">
        <v>924</v>
      </c>
      <c r="N104" s="508" t="s">
        <v>368</v>
      </c>
      <c r="O104" s="13" t="s">
        <v>16</v>
      </c>
      <c r="P104" s="13" t="s">
        <v>17</v>
      </c>
      <c r="Q104" s="238" t="s">
        <v>21</v>
      </c>
      <c r="R104" s="238" t="s">
        <v>22</v>
      </c>
      <c r="S104" s="238" t="s">
        <v>23</v>
      </c>
      <c r="T104" s="238" t="s">
        <v>24</v>
      </c>
      <c r="U104" s="238" t="s">
        <v>25</v>
      </c>
      <c r="V104" s="238" t="s">
        <v>26</v>
      </c>
      <c r="W104" s="238" t="s">
        <v>27</v>
      </c>
      <c r="X104" s="238" t="s">
        <v>28</v>
      </c>
    </row>
    <row r="105">
      <c r="A105" s="565" t="s">
        <v>733</v>
      </c>
      <c r="B105" s="681">
        <f>G107/D139</f>
        <v>0.03844537654</v>
      </c>
      <c r="C105" s="344" t="s">
        <v>828</v>
      </c>
      <c r="D105" s="344" t="s">
        <v>408</v>
      </c>
      <c r="E105" s="651">
        <v>8.4</v>
      </c>
      <c r="F105" s="106">
        <v>165260.0</v>
      </c>
      <c r="G105" s="696">
        <f t="shared" ref="G105:G106" si="48">F105+N105</f>
        <v>87800</v>
      </c>
      <c r="H105" s="675">
        <v>165.26</v>
      </c>
      <c r="I105" s="676">
        <f>IFERROR(__xludf.DUMMYFUNCTION("GOOGLEFINANCE(D105,""changepct"")"),0.8)</f>
        <v>0.8</v>
      </c>
      <c r="J105" s="516">
        <f>IFERROR(__xludf.DUMMYFUNCTION("googlefinance(D105,""price"")"),87.8)</f>
        <v>87.8</v>
      </c>
      <c r="K105" s="697"/>
      <c r="L105" s="697">
        <f t="shared" ref="L105:L106" si="49">J105-H105</f>
        <v>-77.46</v>
      </c>
      <c r="M105" s="698">
        <f t="shared" ref="M105:M106" si="50">J105/H105-1</f>
        <v>-0.4687159627</v>
      </c>
      <c r="N105" s="696">
        <f t="shared" ref="N105:N106" si="51">F105*M105</f>
        <v>-77460</v>
      </c>
      <c r="O105" s="682">
        <v>0.0182</v>
      </c>
      <c r="P105" s="106">
        <v>746.0</v>
      </c>
      <c r="Q105" s="257"/>
      <c r="R105" s="257"/>
      <c r="S105" s="257"/>
      <c r="T105" s="257"/>
      <c r="U105" s="257"/>
      <c r="V105" s="257"/>
      <c r="W105" s="257"/>
      <c r="X105" s="257"/>
    </row>
    <row r="106">
      <c r="A106" s="528"/>
      <c r="B106" s="528"/>
      <c r="C106" s="344" t="s">
        <v>829</v>
      </c>
      <c r="D106" s="344" t="s">
        <v>639</v>
      </c>
      <c r="E106" s="651">
        <v>8.2</v>
      </c>
      <c r="F106" s="106">
        <v>121380.0</v>
      </c>
      <c r="G106" s="696">
        <f t="shared" si="48"/>
        <v>92620</v>
      </c>
      <c r="H106" s="675">
        <v>121.38</v>
      </c>
      <c r="I106" s="676">
        <f>IFERROR(__xludf.DUMMYFUNCTION("GOOGLEFINANCE(D106,""changepct"")"),0.59)</f>
        <v>0.59</v>
      </c>
      <c r="J106" s="516">
        <f>IFERROR(__xludf.DUMMYFUNCTION("googlefinance(D106,""price"")"),92.62)</f>
        <v>92.62</v>
      </c>
      <c r="K106" s="697"/>
      <c r="L106" s="697">
        <f t="shared" si="49"/>
        <v>-28.76</v>
      </c>
      <c r="M106" s="698">
        <f t="shared" si="50"/>
        <v>-0.2369418356</v>
      </c>
      <c r="N106" s="696">
        <f t="shared" si="51"/>
        <v>-28760</v>
      </c>
      <c r="O106" s="682">
        <v>0.0178</v>
      </c>
      <c r="P106" s="106">
        <v>543.0</v>
      </c>
      <c r="Q106" s="257"/>
      <c r="R106" s="257"/>
      <c r="S106" s="257"/>
      <c r="T106" s="257"/>
      <c r="U106" s="257"/>
      <c r="V106" s="257"/>
      <c r="W106" s="257"/>
      <c r="X106" s="257"/>
    </row>
    <row r="107">
      <c r="A107" s="173"/>
      <c r="B107" s="13" t="s">
        <v>89</v>
      </c>
      <c r="C107" s="173"/>
      <c r="D107" s="173"/>
      <c r="E107" s="173"/>
      <c r="F107" s="693">
        <f t="shared" ref="F107:G107" si="52">SUM(F105:F106)</f>
        <v>286640</v>
      </c>
      <c r="G107" s="693">
        <f t="shared" si="52"/>
        <v>180420</v>
      </c>
      <c r="H107" s="173"/>
      <c r="I107" s="173"/>
      <c r="J107" s="173"/>
      <c r="K107" s="173"/>
      <c r="L107" s="173"/>
      <c r="M107" s="695">
        <f>N107/F107</f>
        <v>-0.3705693553</v>
      </c>
      <c r="N107" s="693">
        <f>SUM(N105:N106)</f>
        <v>-106220</v>
      </c>
      <c r="O107" s="173"/>
      <c r="P107" s="693">
        <f>SUM(P105:P106)</f>
        <v>1289</v>
      </c>
      <c r="Q107" s="238" t="s">
        <v>89</v>
      </c>
      <c r="R107" s="239"/>
      <c r="S107" s="239"/>
      <c r="T107" s="239"/>
      <c r="U107" s="238" t="s">
        <v>89</v>
      </c>
      <c r="V107" s="239"/>
      <c r="W107" s="239"/>
      <c r="X107" s="239"/>
    </row>
    <row r="108">
      <c r="A108" s="13" t="s">
        <v>784</v>
      </c>
      <c r="B108" s="13" t="s">
        <v>830</v>
      </c>
      <c r="C108" s="13" t="s">
        <v>182</v>
      </c>
      <c r="D108" s="13" t="s">
        <v>4</v>
      </c>
      <c r="E108" s="13" t="s">
        <v>5</v>
      </c>
      <c r="F108" s="504" t="s">
        <v>895</v>
      </c>
      <c r="G108" s="505" t="s">
        <v>786</v>
      </c>
      <c r="H108" s="505" t="s">
        <v>923</v>
      </c>
      <c r="I108" s="506" t="s">
        <v>10</v>
      </c>
      <c r="J108" s="673" t="s">
        <v>11</v>
      </c>
      <c r="K108" s="508" t="s">
        <v>476</v>
      </c>
      <c r="L108" s="507" t="s">
        <v>13</v>
      </c>
      <c r="M108" s="504" t="s">
        <v>924</v>
      </c>
      <c r="N108" s="508" t="s">
        <v>368</v>
      </c>
      <c r="O108" s="13" t="s">
        <v>16</v>
      </c>
      <c r="P108" s="13" t="s">
        <v>17</v>
      </c>
      <c r="Q108" s="238" t="s">
        <v>21</v>
      </c>
      <c r="R108" s="238" t="s">
        <v>22</v>
      </c>
      <c r="S108" s="238" t="s">
        <v>23</v>
      </c>
      <c r="T108" s="238" t="s">
        <v>24</v>
      </c>
      <c r="U108" s="238" t="s">
        <v>25</v>
      </c>
      <c r="V108" s="238" t="s">
        <v>26</v>
      </c>
      <c r="W108" s="238" t="s">
        <v>27</v>
      </c>
      <c r="X108" s="238" t="s">
        <v>28</v>
      </c>
    </row>
    <row r="109">
      <c r="A109" s="565" t="s">
        <v>733</v>
      </c>
      <c r="B109" s="681">
        <f>G132/D139</f>
        <v>0</v>
      </c>
      <c r="C109" s="601" t="s">
        <v>413</v>
      </c>
      <c r="D109" s="344" t="s">
        <v>185</v>
      </c>
      <c r="E109" s="569">
        <v>8.1</v>
      </c>
      <c r="F109" s="106">
        <v>395788.0</v>
      </c>
      <c r="G109" s="106">
        <v>0.0</v>
      </c>
      <c r="H109" s="294">
        <v>6352.17</v>
      </c>
      <c r="I109" s="676"/>
      <c r="J109" s="768"/>
      <c r="K109" s="212">
        <v>9357.0</v>
      </c>
      <c r="L109" s="697">
        <f t="shared" ref="L109:L131" si="53">J109-H109</f>
        <v>-6352.17</v>
      </c>
      <c r="M109" s="698">
        <f>K109/H109-1</f>
        <v>0.4730399218</v>
      </c>
      <c r="N109" s="696">
        <f t="shared" ref="N109:N131" si="54">F109*M109</f>
        <v>187223.5246</v>
      </c>
      <c r="O109" s="528"/>
      <c r="P109" s="528"/>
      <c r="Q109" s="257"/>
      <c r="R109" s="236" t="s">
        <v>932</v>
      </c>
      <c r="S109" s="212">
        <v>9357.0</v>
      </c>
      <c r="T109" s="106">
        <v>583012.0</v>
      </c>
      <c r="U109" s="657"/>
      <c r="V109" s="257"/>
      <c r="W109" s="769"/>
      <c r="X109" s="658"/>
    </row>
    <row r="110">
      <c r="A110" s="528"/>
      <c r="B110" s="528"/>
      <c r="C110" s="601" t="s">
        <v>413</v>
      </c>
      <c r="D110" s="344" t="s">
        <v>185</v>
      </c>
      <c r="E110" s="569">
        <v>8.1</v>
      </c>
      <c r="F110" s="213">
        <v>320000.0</v>
      </c>
      <c r="G110" s="106">
        <f>F110+N110</f>
        <v>0</v>
      </c>
      <c r="H110" s="666">
        <v>8776.0</v>
      </c>
      <c r="I110" s="676"/>
      <c r="J110" s="768"/>
      <c r="K110" s="212"/>
      <c r="L110" s="697">
        <f t="shared" si="53"/>
        <v>-8776</v>
      </c>
      <c r="M110" s="698">
        <f>J110/H110-1</f>
        <v>-1</v>
      </c>
      <c r="N110" s="696">
        <f t="shared" si="54"/>
        <v>-320000</v>
      </c>
      <c r="O110" s="528"/>
      <c r="P110" s="528"/>
      <c r="Q110" s="257"/>
      <c r="R110" s="236"/>
      <c r="S110" s="212"/>
      <c r="T110" s="106"/>
      <c r="U110" s="210" t="s">
        <v>185</v>
      </c>
      <c r="V110" s="211">
        <v>43976.0</v>
      </c>
      <c r="W110" s="213">
        <v>8776.0</v>
      </c>
      <c r="X110" s="213">
        <v>320000.0</v>
      </c>
    </row>
    <row r="111">
      <c r="A111" s="528"/>
      <c r="B111" s="528"/>
      <c r="C111" s="344" t="s">
        <v>832</v>
      </c>
      <c r="D111" s="344" t="s">
        <v>204</v>
      </c>
      <c r="E111" s="569">
        <v>7.8</v>
      </c>
      <c r="F111" s="106">
        <v>156743.0</v>
      </c>
      <c r="G111" s="106">
        <v>0.0</v>
      </c>
      <c r="H111" s="294">
        <v>38.45</v>
      </c>
      <c r="I111" s="676"/>
      <c r="J111" s="768"/>
      <c r="K111" s="212">
        <v>44.47</v>
      </c>
      <c r="L111" s="697">
        <f t="shared" si="53"/>
        <v>-38.45</v>
      </c>
      <c r="M111" s="698">
        <f>K111/H111-1</f>
        <v>0.1565669701</v>
      </c>
      <c r="N111" s="696">
        <f t="shared" si="54"/>
        <v>24540.77659</v>
      </c>
      <c r="O111" s="528"/>
      <c r="P111" s="528"/>
      <c r="Q111" s="257"/>
      <c r="R111" s="236" t="s">
        <v>932</v>
      </c>
      <c r="S111" s="212">
        <v>44.47</v>
      </c>
      <c r="T111" s="106">
        <v>181284.0</v>
      </c>
      <c r="U111" s="657"/>
      <c r="V111" s="257"/>
      <c r="W111" s="769"/>
      <c r="X111" s="658"/>
    </row>
    <row r="112">
      <c r="A112" s="528"/>
      <c r="B112" s="528"/>
      <c r="C112" s="344" t="s">
        <v>832</v>
      </c>
      <c r="D112" s="344" t="s">
        <v>204</v>
      </c>
      <c r="E112" s="569">
        <v>7.8</v>
      </c>
      <c r="F112" s="213">
        <v>110000.0</v>
      </c>
      <c r="G112" s="106">
        <f>F112+N112</f>
        <v>0</v>
      </c>
      <c r="H112" s="666">
        <v>42.47</v>
      </c>
      <c r="I112" s="676"/>
      <c r="J112" s="768"/>
      <c r="K112" s="212"/>
      <c r="L112" s="697">
        <f t="shared" si="53"/>
        <v>-42.47</v>
      </c>
      <c r="M112" s="698">
        <f>J112/H112-1</f>
        <v>-1</v>
      </c>
      <c r="N112" s="696">
        <f t="shared" si="54"/>
        <v>-110000</v>
      </c>
      <c r="O112" s="528"/>
      <c r="P112" s="528"/>
      <c r="Q112" s="257"/>
      <c r="R112" s="236"/>
      <c r="S112" s="212"/>
      <c r="T112" s="106"/>
      <c r="U112" s="210" t="s">
        <v>204</v>
      </c>
      <c r="V112" s="211">
        <v>43976.0</v>
      </c>
      <c r="W112" s="230">
        <v>42.47</v>
      </c>
      <c r="X112" s="213">
        <v>110000.0</v>
      </c>
    </row>
    <row r="113">
      <c r="A113" s="528"/>
      <c r="B113" s="528"/>
      <c r="C113" s="344" t="s">
        <v>359</v>
      </c>
      <c r="D113" s="563" t="s">
        <v>360</v>
      </c>
      <c r="E113" s="569">
        <v>8.1</v>
      </c>
      <c r="F113" s="106">
        <v>79881.0</v>
      </c>
      <c r="G113" s="106">
        <v>0.0</v>
      </c>
      <c r="H113" s="294">
        <v>63.49</v>
      </c>
      <c r="I113" s="676"/>
      <c r="J113" s="768"/>
      <c r="K113" s="212">
        <v>75.56</v>
      </c>
      <c r="L113" s="697">
        <f t="shared" si="53"/>
        <v>-63.49</v>
      </c>
      <c r="M113" s="698">
        <f>K113/H113-1</f>
        <v>0.1901086785</v>
      </c>
      <c r="N113" s="696">
        <f t="shared" si="54"/>
        <v>15186.07135</v>
      </c>
      <c r="O113" s="528"/>
      <c r="P113" s="528"/>
      <c r="Q113" s="257"/>
      <c r="R113" s="236" t="s">
        <v>932</v>
      </c>
      <c r="S113" s="212">
        <v>75.56</v>
      </c>
      <c r="T113" s="106">
        <v>95067.0</v>
      </c>
      <c r="U113" s="657"/>
      <c r="V113" s="257"/>
      <c r="W113" s="769"/>
      <c r="X113" s="213"/>
    </row>
    <row r="114">
      <c r="A114" s="528"/>
      <c r="B114" s="528"/>
      <c r="C114" s="344" t="s">
        <v>359</v>
      </c>
      <c r="D114" s="563" t="s">
        <v>360</v>
      </c>
      <c r="E114" s="569">
        <v>8.1</v>
      </c>
      <c r="F114" s="213">
        <v>90000.0</v>
      </c>
      <c r="G114" s="106">
        <f>F114+N114</f>
        <v>0</v>
      </c>
      <c r="H114" s="666">
        <v>72.4</v>
      </c>
      <c r="I114" s="676"/>
      <c r="J114" s="768"/>
      <c r="K114" s="212"/>
      <c r="L114" s="697">
        <f t="shared" si="53"/>
        <v>-72.4</v>
      </c>
      <c r="M114" s="698">
        <f>J114/H114-1</f>
        <v>-1</v>
      </c>
      <c r="N114" s="696">
        <f t="shared" si="54"/>
        <v>-90000</v>
      </c>
      <c r="O114" s="528"/>
      <c r="P114" s="528"/>
      <c r="Q114" s="257"/>
      <c r="R114" s="236"/>
      <c r="S114" s="212"/>
      <c r="T114" s="106"/>
      <c r="U114" s="563" t="s">
        <v>360</v>
      </c>
      <c r="V114" s="211">
        <v>43976.0</v>
      </c>
      <c r="W114" s="230">
        <v>72.4</v>
      </c>
      <c r="X114" s="213">
        <v>90000.0</v>
      </c>
    </row>
    <row r="115">
      <c r="A115" s="528"/>
      <c r="B115" s="528"/>
      <c r="C115" s="344" t="s">
        <v>692</v>
      </c>
      <c r="D115" s="563" t="s">
        <v>418</v>
      </c>
      <c r="E115" s="569">
        <v>8.2</v>
      </c>
      <c r="F115" s="106">
        <v>88342.0</v>
      </c>
      <c r="G115" s="106">
        <v>0.0</v>
      </c>
      <c r="H115" s="294">
        <v>30.63</v>
      </c>
      <c r="I115" s="676"/>
      <c r="J115" s="768"/>
      <c r="K115" s="212">
        <v>47.38</v>
      </c>
      <c r="L115" s="697">
        <f t="shared" si="53"/>
        <v>-30.63</v>
      </c>
      <c r="M115" s="698">
        <f>K115/H115-1</f>
        <v>0.546849494</v>
      </c>
      <c r="N115" s="696">
        <f t="shared" si="54"/>
        <v>48309.778</v>
      </c>
      <c r="O115" s="528"/>
      <c r="P115" s="528"/>
      <c r="Q115" s="257"/>
      <c r="R115" s="236" t="s">
        <v>932</v>
      </c>
      <c r="S115" s="212">
        <v>47.38</v>
      </c>
      <c r="T115" s="106">
        <v>136652.0</v>
      </c>
      <c r="U115" s="657"/>
      <c r="V115" s="257"/>
      <c r="W115" s="769"/>
      <c r="X115" s="658"/>
    </row>
    <row r="116">
      <c r="A116" s="528"/>
      <c r="B116" s="528"/>
      <c r="C116" s="344" t="s">
        <v>692</v>
      </c>
      <c r="D116" s="563" t="s">
        <v>418</v>
      </c>
      <c r="E116" s="569">
        <v>8.2</v>
      </c>
      <c r="F116" s="213">
        <v>100000.0</v>
      </c>
      <c r="G116" s="106">
        <f>F116+N116</f>
        <v>0</v>
      </c>
      <c r="H116" s="666">
        <v>45.16</v>
      </c>
      <c r="I116" s="676"/>
      <c r="J116" s="768"/>
      <c r="K116" s="212"/>
      <c r="L116" s="697">
        <f t="shared" si="53"/>
        <v>-45.16</v>
      </c>
      <c r="M116" s="698">
        <f>J116/H116-1</f>
        <v>-1</v>
      </c>
      <c r="N116" s="696">
        <f t="shared" si="54"/>
        <v>-100000</v>
      </c>
      <c r="O116" s="528"/>
      <c r="P116" s="528"/>
      <c r="Q116" s="257"/>
      <c r="R116" s="236"/>
      <c r="S116" s="212"/>
      <c r="T116" s="106"/>
      <c r="U116" s="563" t="s">
        <v>418</v>
      </c>
      <c r="V116" s="211">
        <v>43976.0</v>
      </c>
      <c r="W116" s="230">
        <v>45.16</v>
      </c>
      <c r="X116" s="213">
        <v>100000.0</v>
      </c>
    </row>
    <row r="117">
      <c r="A117" s="528"/>
      <c r="B117" s="528"/>
      <c r="C117" s="563" t="s">
        <v>933</v>
      </c>
      <c r="D117" s="344" t="s">
        <v>934</v>
      </c>
      <c r="E117" s="569">
        <v>6.2</v>
      </c>
      <c r="F117" s="106">
        <v>67413.0</v>
      </c>
      <c r="G117" s="106">
        <v>0.0</v>
      </c>
      <c r="H117" s="294">
        <v>7.08</v>
      </c>
      <c r="I117" s="676"/>
      <c r="J117" s="768"/>
      <c r="K117" s="212">
        <v>8.88</v>
      </c>
      <c r="L117" s="697">
        <f t="shared" si="53"/>
        <v>-7.08</v>
      </c>
      <c r="M117" s="698">
        <f>K117/H117-1</f>
        <v>0.2542372881</v>
      </c>
      <c r="N117" s="696">
        <f t="shared" si="54"/>
        <v>17138.89831</v>
      </c>
      <c r="O117" s="528"/>
      <c r="P117" s="528"/>
      <c r="Q117" s="257"/>
      <c r="R117" s="236" t="s">
        <v>932</v>
      </c>
      <c r="S117" s="212">
        <v>8.88</v>
      </c>
      <c r="T117" s="106">
        <v>84552.0</v>
      </c>
      <c r="U117" s="657"/>
      <c r="V117" s="257"/>
      <c r="W117" s="769"/>
      <c r="X117" s="658"/>
    </row>
    <row r="118">
      <c r="A118" s="528"/>
      <c r="B118" s="528"/>
      <c r="C118" s="104" t="s">
        <v>835</v>
      </c>
      <c r="D118" s="104" t="s">
        <v>836</v>
      </c>
      <c r="E118" s="569">
        <v>7.1</v>
      </c>
      <c r="F118" s="213">
        <v>65000.0</v>
      </c>
      <c r="G118" s="696">
        <f t="shared" ref="G118:G130" si="55">F118+N118</f>
        <v>0</v>
      </c>
      <c r="H118" s="666">
        <v>0.014</v>
      </c>
      <c r="I118" s="676"/>
      <c r="J118" s="768"/>
      <c r="K118" s="697"/>
      <c r="L118" s="697">
        <f t="shared" si="53"/>
        <v>-0.014</v>
      </c>
      <c r="M118" s="698">
        <f t="shared" ref="M118:M130" si="56">J118/H118-1</f>
        <v>-1</v>
      </c>
      <c r="N118" s="696">
        <f t="shared" si="54"/>
        <v>-65000</v>
      </c>
      <c r="O118" s="528"/>
      <c r="P118" s="528"/>
      <c r="Q118" s="257"/>
      <c r="R118" s="257"/>
      <c r="S118" s="258"/>
      <c r="T118" s="696">
        <f t="shared" ref="T118:T119" si="57">G118</f>
        <v>0</v>
      </c>
      <c r="U118" s="104" t="s">
        <v>836</v>
      </c>
      <c r="V118" s="211">
        <v>43976.0</v>
      </c>
      <c r="W118" s="666">
        <v>0.014</v>
      </c>
      <c r="X118" s="213">
        <v>65000.0</v>
      </c>
    </row>
    <row r="119">
      <c r="A119" s="528"/>
      <c r="B119" s="528"/>
      <c r="C119" s="104" t="s">
        <v>884</v>
      </c>
      <c r="D119" s="104" t="s">
        <v>918</v>
      </c>
      <c r="E119" s="569">
        <v>7.0</v>
      </c>
      <c r="F119" s="213">
        <v>38000.0</v>
      </c>
      <c r="G119" s="696">
        <f t="shared" si="55"/>
        <v>0</v>
      </c>
      <c r="H119" s="666">
        <v>0.19</v>
      </c>
      <c r="I119" s="676"/>
      <c r="J119" s="768"/>
      <c r="K119" s="697"/>
      <c r="L119" s="697">
        <f t="shared" si="53"/>
        <v>-0.19</v>
      </c>
      <c r="M119" s="698">
        <f t="shared" si="56"/>
        <v>-1</v>
      </c>
      <c r="N119" s="696">
        <f t="shared" si="54"/>
        <v>-38000</v>
      </c>
      <c r="O119" s="528"/>
      <c r="P119" s="528"/>
      <c r="Q119" s="257"/>
      <c r="R119" s="257"/>
      <c r="S119" s="258"/>
      <c r="T119" s="696">
        <f t="shared" si="57"/>
        <v>0</v>
      </c>
      <c r="U119" s="104" t="s">
        <v>918</v>
      </c>
      <c r="V119" s="211">
        <v>43976.0</v>
      </c>
      <c r="W119" s="666">
        <v>0.19</v>
      </c>
      <c r="X119" s="213">
        <v>38000.0</v>
      </c>
    </row>
    <row r="120">
      <c r="A120" s="528"/>
      <c r="B120" s="528"/>
      <c r="C120" s="104" t="s">
        <v>187</v>
      </c>
      <c r="D120" s="104" t="s">
        <v>188</v>
      </c>
      <c r="E120" s="569">
        <v>7.5</v>
      </c>
      <c r="F120" s="213">
        <v>120000.0</v>
      </c>
      <c r="G120" s="696">
        <f t="shared" si="55"/>
        <v>0</v>
      </c>
      <c r="H120" s="666">
        <v>201.67</v>
      </c>
      <c r="I120" s="676"/>
      <c r="J120" s="768"/>
      <c r="K120" s="697"/>
      <c r="L120" s="697">
        <f t="shared" si="53"/>
        <v>-201.67</v>
      </c>
      <c r="M120" s="698">
        <f t="shared" si="56"/>
        <v>-1</v>
      </c>
      <c r="N120" s="696">
        <f t="shared" si="54"/>
        <v>-120000</v>
      </c>
      <c r="O120" s="528"/>
      <c r="P120" s="528"/>
      <c r="Q120" s="257"/>
      <c r="R120" s="257"/>
      <c r="S120" s="258"/>
      <c r="T120" s="696"/>
      <c r="U120" s="104" t="s">
        <v>188</v>
      </c>
      <c r="V120" s="211">
        <v>43976.0</v>
      </c>
      <c r="W120" s="230">
        <v>201.67</v>
      </c>
      <c r="X120" s="213">
        <v>120000.0</v>
      </c>
    </row>
    <row r="121">
      <c r="A121" s="528"/>
      <c r="B121" s="528"/>
      <c r="C121" s="104" t="s">
        <v>831</v>
      </c>
      <c r="D121" s="104" t="s">
        <v>219</v>
      </c>
      <c r="E121" s="569">
        <v>7.7</v>
      </c>
      <c r="F121" s="213">
        <v>55000.0</v>
      </c>
      <c r="G121" s="696">
        <f t="shared" si="55"/>
        <v>0</v>
      </c>
      <c r="H121" s="666">
        <v>6.62</v>
      </c>
      <c r="I121" s="676"/>
      <c r="J121" s="768"/>
      <c r="K121" s="697"/>
      <c r="L121" s="697">
        <f t="shared" si="53"/>
        <v>-6.62</v>
      </c>
      <c r="M121" s="698">
        <f t="shared" si="56"/>
        <v>-1</v>
      </c>
      <c r="N121" s="696">
        <f t="shared" si="54"/>
        <v>-55000</v>
      </c>
      <c r="O121" s="528"/>
      <c r="P121" s="528"/>
      <c r="Q121" s="257"/>
      <c r="R121" s="257"/>
      <c r="S121" s="258"/>
      <c r="T121" s="696"/>
      <c r="U121" s="104" t="s">
        <v>219</v>
      </c>
      <c r="V121" s="211">
        <v>43976.0</v>
      </c>
      <c r="W121" s="666">
        <v>6.62</v>
      </c>
      <c r="X121" s="213">
        <v>55000.0</v>
      </c>
    </row>
    <row r="122">
      <c r="A122" s="528"/>
      <c r="B122" s="528"/>
      <c r="C122" s="104" t="s">
        <v>834</v>
      </c>
      <c r="D122" s="104" t="s">
        <v>213</v>
      </c>
      <c r="E122" s="569">
        <v>7.9</v>
      </c>
      <c r="F122" s="213">
        <v>60000.0</v>
      </c>
      <c r="G122" s="696">
        <f t="shared" si="55"/>
        <v>0</v>
      </c>
      <c r="H122" s="666">
        <v>0.052</v>
      </c>
      <c r="I122" s="676"/>
      <c r="J122" s="768"/>
      <c r="K122" s="697"/>
      <c r="L122" s="697">
        <f t="shared" si="53"/>
        <v>-0.052</v>
      </c>
      <c r="M122" s="698">
        <f t="shared" si="56"/>
        <v>-1</v>
      </c>
      <c r="N122" s="696">
        <f t="shared" si="54"/>
        <v>-60000</v>
      </c>
      <c r="O122" s="528"/>
      <c r="P122" s="528"/>
      <c r="Q122" s="257"/>
      <c r="R122" s="257"/>
      <c r="S122" s="258"/>
      <c r="T122" s="696">
        <f>G122</f>
        <v>0</v>
      </c>
      <c r="U122" s="104" t="s">
        <v>213</v>
      </c>
      <c r="V122" s="211">
        <v>43976.0</v>
      </c>
      <c r="W122" s="666">
        <v>0.052</v>
      </c>
      <c r="X122" s="213">
        <v>60000.0</v>
      </c>
    </row>
    <row r="123">
      <c r="A123" s="528"/>
      <c r="B123" s="528"/>
      <c r="C123" s="104" t="s">
        <v>789</v>
      </c>
      <c r="D123" s="104" t="s">
        <v>790</v>
      </c>
      <c r="E123" s="569">
        <v>8.0</v>
      </c>
      <c r="F123" s="213">
        <v>65000.0</v>
      </c>
      <c r="G123" s="696">
        <f t="shared" si="55"/>
        <v>0</v>
      </c>
      <c r="H123" s="666">
        <v>9.78</v>
      </c>
      <c r="I123" s="676"/>
      <c r="J123" s="768"/>
      <c r="K123" s="697"/>
      <c r="L123" s="697">
        <f t="shared" si="53"/>
        <v>-9.78</v>
      </c>
      <c r="M123" s="698">
        <f t="shared" si="56"/>
        <v>-1</v>
      </c>
      <c r="N123" s="696">
        <f t="shared" si="54"/>
        <v>-65000</v>
      </c>
      <c r="O123" s="528"/>
      <c r="P123" s="528"/>
      <c r="Q123" s="257"/>
      <c r="R123" s="257"/>
      <c r="S123" s="258"/>
      <c r="T123" s="696"/>
      <c r="U123" s="104" t="s">
        <v>790</v>
      </c>
      <c r="V123" s="211">
        <v>43976.0</v>
      </c>
      <c r="W123" s="666">
        <v>9.78</v>
      </c>
      <c r="X123" s="213">
        <v>65000.0</v>
      </c>
    </row>
    <row r="124">
      <c r="A124" s="528"/>
      <c r="B124" s="528"/>
      <c r="C124" s="104" t="s">
        <v>881</v>
      </c>
      <c r="D124" s="104" t="s">
        <v>882</v>
      </c>
      <c r="E124" s="569">
        <v>7.8</v>
      </c>
      <c r="F124" s="213">
        <v>32000.0</v>
      </c>
      <c r="G124" s="696">
        <f t="shared" si="55"/>
        <v>0</v>
      </c>
      <c r="H124" s="666">
        <v>0.064</v>
      </c>
      <c r="I124" s="676"/>
      <c r="J124" s="768"/>
      <c r="K124" s="697"/>
      <c r="L124" s="697">
        <f t="shared" si="53"/>
        <v>-0.064</v>
      </c>
      <c r="M124" s="698">
        <f t="shared" si="56"/>
        <v>-1</v>
      </c>
      <c r="N124" s="696">
        <f t="shared" si="54"/>
        <v>-32000</v>
      </c>
      <c r="O124" s="528"/>
      <c r="P124" s="528"/>
      <c r="Q124" s="257"/>
      <c r="R124" s="257"/>
      <c r="S124" s="258"/>
      <c r="T124" s="696"/>
      <c r="U124" s="104" t="s">
        <v>882</v>
      </c>
      <c r="V124" s="211">
        <v>43976.0</v>
      </c>
      <c r="W124" s="666">
        <v>0.064</v>
      </c>
      <c r="X124" s="213">
        <v>32000.0</v>
      </c>
    </row>
    <row r="125">
      <c r="A125" s="528"/>
      <c r="B125" s="528"/>
      <c r="C125" s="104" t="s">
        <v>875</v>
      </c>
      <c r="D125" s="104" t="s">
        <v>876</v>
      </c>
      <c r="E125" s="569">
        <v>8.1</v>
      </c>
      <c r="F125" s="213">
        <v>28000.0</v>
      </c>
      <c r="G125" s="696">
        <f t="shared" si="55"/>
        <v>0</v>
      </c>
      <c r="H125" s="666">
        <v>2.51</v>
      </c>
      <c r="I125" s="676"/>
      <c r="J125" s="768"/>
      <c r="K125" s="697"/>
      <c r="L125" s="697">
        <f t="shared" si="53"/>
        <v>-2.51</v>
      </c>
      <c r="M125" s="698">
        <f t="shared" si="56"/>
        <v>-1</v>
      </c>
      <c r="N125" s="696">
        <f t="shared" si="54"/>
        <v>-28000</v>
      </c>
      <c r="O125" s="528"/>
      <c r="P125" s="528"/>
      <c r="Q125" s="257"/>
      <c r="R125" s="257"/>
      <c r="S125" s="258"/>
      <c r="T125" s="696">
        <f>G125</f>
        <v>0</v>
      </c>
      <c r="U125" s="104" t="s">
        <v>876</v>
      </c>
      <c r="V125" s="211">
        <v>43976.0</v>
      </c>
      <c r="W125" s="666">
        <v>2.51</v>
      </c>
      <c r="X125" s="213">
        <v>28000.0</v>
      </c>
    </row>
    <row r="126">
      <c r="A126" s="528"/>
      <c r="B126" s="528"/>
      <c r="C126" s="104" t="s">
        <v>209</v>
      </c>
      <c r="D126" s="104" t="s">
        <v>210</v>
      </c>
      <c r="E126" s="569">
        <v>7.5</v>
      </c>
      <c r="F126" s="213">
        <v>35000.0</v>
      </c>
      <c r="G126" s="696">
        <f t="shared" si="55"/>
        <v>0</v>
      </c>
      <c r="H126" s="666">
        <v>3.83</v>
      </c>
      <c r="I126" s="676"/>
      <c r="J126" s="768"/>
      <c r="K126" s="697"/>
      <c r="L126" s="697">
        <f t="shared" si="53"/>
        <v>-3.83</v>
      </c>
      <c r="M126" s="698">
        <f t="shared" si="56"/>
        <v>-1</v>
      </c>
      <c r="N126" s="696">
        <f t="shared" si="54"/>
        <v>-35000</v>
      </c>
      <c r="O126" s="528"/>
      <c r="P126" s="528"/>
      <c r="Q126" s="257"/>
      <c r="R126" s="257"/>
      <c r="S126" s="258"/>
      <c r="T126" s="696"/>
      <c r="U126" s="104" t="s">
        <v>210</v>
      </c>
      <c r="V126" s="211">
        <v>43976.0</v>
      </c>
      <c r="W126" s="666">
        <v>3.83</v>
      </c>
      <c r="X126" s="213">
        <v>35000.0</v>
      </c>
    </row>
    <row r="127">
      <c r="A127" s="528"/>
      <c r="B127" s="528"/>
      <c r="C127" s="104" t="s">
        <v>877</v>
      </c>
      <c r="D127" s="104" t="s">
        <v>878</v>
      </c>
      <c r="E127" s="569">
        <v>8.1</v>
      </c>
      <c r="F127" s="213">
        <v>55000.0</v>
      </c>
      <c r="G127" s="696">
        <f t="shared" si="55"/>
        <v>0</v>
      </c>
      <c r="H127" s="666">
        <v>2.68</v>
      </c>
      <c r="I127" s="676"/>
      <c r="J127" s="768"/>
      <c r="K127" s="697"/>
      <c r="L127" s="697">
        <f t="shared" si="53"/>
        <v>-2.68</v>
      </c>
      <c r="M127" s="698">
        <f t="shared" si="56"/>
        <v>-1</v>
      </c>
      <c r="N127" s="696">
        <f t="shared" si="54"/>
        <v>-55000</v>
      </c>
      <c r="O127" s="528"/>
      <c r="P127" s="528"/>
      <c r="Q127" s="257"/>
      <c r="R127" s="257"/>
      <c r="S127" s="258"/>
      <c r="T127" s="696">
        <f>G127</f>
        <v>0</v>
      </c>
      <c r="U127" s="104" t="s">
        <v>878</v>
      </c>
      <c r="V127" s="211">
        <v>43976.0</v>
      </c>
      <c r="W127" s="666">
        <v>2.68</v>
      </c>
      <c r="X127" s="213">
        <v>55000.0</v>
      </c>
    </row>
    <row r="128">
      <c r="A128" s="528"/>
      <c r="B128" s="528"/>
      <c r="C128" s="104" t="s">
        <v>886</v>
      </c>
      <c r="D128" s="104" t="s">
        <v>887</v>
      </c>
      <c r="E128" s="569">
        <v>7.4</v>
      </c>
      <c r="F128" s="213">
        <v>30000.0</v>
      </c>
      <c r="G128" s="696">
        <f t="shared" si="55"/>
        <v>0</v>
      </c>
      <c r="H128" s="666">
        <v>2.5</v>
      </c>
      <c r="I128" s="676"/>
      <c r="J128" s="768"/>
      <c r="K128" s="697"/>
      <c r="L128" s="697">
        <f t="shared" si="53"/>
        <v>-2.5</v>
      </c>
      <c r="M128" s="698">
        <f t="shared" si="56"/>
        <v>-1</v>
      </c>
      <c r="N128" s="696">
        <f t="shared" si="54"/>
        <v>-30000</v>
      </c>
      <c r="O128" s="528"/>
      <c r="P128" s="528"/>
      <c r="Q128" s="257"/>
      <c r="R128" s="257"/>
      <c r="S128" s="258"/>
      <c r="T128" s="696"/>
      <c r="U128" s="104" t="s">
        <v>887</v>
      </c>
      <c r="V128" s="211">
        <v>43976.0</v>
      </c>
      <c r="W128" s="666">
        <v>2.5</v>
      </c>
      <c r="X128" s="213">
        <v>30000.0</v>
      </c>
    </row>
    <row r="129">
      <c r="A129" s="528"/>
      <c r="B129" s="528"/>
      <c r="C129" s="104" t="s">
        <v>935</v>
      </c>
      <c r="D129" s="104" t="s">
        <v>936</v>
      </c>
      <c r="E129" s="569">
        <v>7.8</v>
      </c>
      <c r="F129" s="106">
        <v>60000.0</v>
      </c>
      <c r="G129" s="696">
        <f t="shared" si="55"/>
        <v>0</v>
      </c>
      <c r="H129" s="666">
        <v>0.0187</v>
      </c>
      <c r="I129" s="676"/>
      <c r="J129" s="768"/>
      <c r="K129" s="697"/>
      <c r="L129" s="697">
        <f t="shared" si="53"/>
        <v>-0.0187</v>
      </c>
      <c r="M129" s="698">
        <f t="shared" si="56"/>
        <v>-1</v>
      </c>
      <c r="N129" s="696">
        <f t="shared" si="54"/>
        <v>-60000</v>
      </c>
      <c r="O129" s="528"/>
      <c r="P129" s="528"/>
      <c r="Q129" s="257"/>
      <c r="R129" s="257"/>
      <c r="S129" s="258"/>
      <c r="T129" s="696">
        <f>G129</f>
        <v>0</v>
      </c>
      <c r="U129" s="210" t="s">
        <v>936</v>
      </c>
      <c r="V129" s="211">
        <v>43977.0</v>
      </c>
      <c r="W129" s="666">
        <v>0.187</v>
      </c>
      <c r="X129" s="213">
        <v>60000.0</v>
      </c>
    </row>
    <row r="130">
      <c r="A130" s="528"/>
      <c r="B130" s="528"/>
      <c r="C130" s="344" t="s">
        <v>513</v>
      </c>
      <c r="D130" s="344" t="s">
        <v>514</v>
      </c>
      <c r="E130" s="569">
        <v>8.5</v>
      </c>
      <c r="F130" s="106">
        <v>65000.0</v>
      </c>
      <c r="G130" s="696">
        <f t="shared" si="55"/>
        <v>0</v>
      </c>
      <c r="H130" s="666">
        <v>60.65</v>
      </c>
      <c r="I130" s="676"/>
      <c r="J130" s="768"/>
      <c r="K130" s="212"/>
      <c r="L130" s="697">
        <f t="shared" si="53"/>
        <v>-60.65</v>
      </c>
      <c r="M130" s="698">
        <f t="shared" si="56"/>
        <v>-1</v>
      </c>
      <c r="N130" s="696">
        <f t="shared" si="54"/>
        <v>-65000</v>
      </c>
      <c r="O130" s="528"/>
      <c r="P130" s="528"/>
      <c r="Q130" s="257"/>
      <c r="R130" s="236"/>
      <c r="S130" s="212"/>
      <c r="T130" s="106"/>
      <c r="U130" s="210" t="s">
        <v>514</v>
      </c>
      <c r="V130" s="211">
        <v>43976.0</v>
      </c>
      <c r="W130" s="230">
        <v>60.65</v>
      </c>
      <c r="X130" s="213">
        <v>65000.0</v>
      </c>
    </row>
    <row r="131">
      <c r="A131" s="528"/>
      <c r="B131" s="528"/>
      <c r="C131" s="344" t="s">
        <v>513</v>
      </c>
      <c r="D131" s="344" t="s">
        <v>514</v>
      </c>
      <c r="E131" s="569">
        <v>8.5</v>
      </c>
      <c r="F131" s="106">
        <v>97884.0</v>
      </c>
      <c r="G131" s="106">
        <v>0.0</v>
      </c>
      <c r="H131" s="294">
        <v>47.12</v>
      </c>
      <c r="I131" s="676"/>
      <c r="J131" s="768"/>
      <c r="K131" s="212">
        <v>63.6</v>
      </c>
      <c r="L131" s="697">
        <f t="shared" si="53"/>
        <v>-47.12</v>
      </c>
      <c r="M131" s="698">
        <f>K131/H131-1</f>
        <v>0.3497453311</v>
      </c>
      <c r="N131" s="696">
        <f t="shared" si="54"/>
        <v>34234.47199</v>
      </c>
      <c r="O131" s="528"/>
      <c r="P131" s="528"/>
      <c r="Q131" s="257"/>
      <c r="R131" s="236" t="s">
        <v>932</v>
      </c>
      <c r="S131" s="212">
        <v>63.6</v>
      </c>
      <c r="T131" s="106">
        <v>132118.0</v>
      </c>
      <c r="U131" s="657"/>
      <c r="V131" s="257"/>
      <c r="W131" s="769"/>
      <c r="X131" s="658"/>
    </row>
    <row r="132">
      <c r="A132" s="173"/>
      <c r="B132" s="13" t="s">
        <v>89</v>
      </c>
      <c r="C132" s="173"/>
      <c r="D132" s="173"/>
      <c r="E132" s="173"/>
      <c r="F132" s="693">
        <f t="shared" ref="F132:G132" si="58">SUM(F109:F131)</f>
        <v>2214051</v>
      </c>
      <c r="G132" s="693">
        <f t="shared" si="58"/>
        <v>0</v>
      </c>
      <c r="H132" s="173"/>
      <c r="I132" s="173"/>
      <c r="J132" s="173"/>
      <c r="K132" s="173"/>
      <c r="L132" s="173"/>
      <c r="M132" s="695">
        <f>E137</f>
        <v>0.4721342225</v>
      </c>
      <c r="N132" s="616">
        <v>418335.0</v>
      </c>
      <c r="O132" s="173"/>
      <c r="P132" s="173"/>
      <c r="Q132" s="238" t="s">
        <v>89</v>
      </c>
      <c r="R132" s="239"/>
      <c r="S132" s="239"/>
      <c r="T132" s="734">
        <f>SUM(T109:T131)</f>
        <v>1212685</v>
      </c>
      <c r="U132" s="238" t="s">
        <v>89</v>
      </c>
      <c r="V132" s="239"/>
      <c r="W132" s="241"/>
      <c r="X132" s="240">
        <f>SUM(X109:X131)</f>
        <v>1328000</v>
      </c>
    </row>
    <row r="133">
      <c r="A133" s="13" t="s">
        <v>227</v>
      </c>
      <c r="B133" s="13" t="s">
        <v>228</v>
      </c>
      <c r="C133" s="504" t="s">
        <v>937</v>
      </c>
      <c r="D133" s="504" t="s">
        <v>938</v>
      </c>
      <c r="E133" s="504" t="s">
        <v>939</v>
      </c>
      <c r="F133" s="504" t="s">
        <v>940</v>
      </c>
      <c r="G133" s="770" t="s">
        <v>233</v>
      </c>
      <c r="H133" s="771" t="s">
        <v>234</v>
      </c>
      <c r="I133" s="771" t="s">
        <v>794</v>
      </c>
      <c r="J133" s="772"/>
      <c r="K133" s="173"/>
      <c r="L133" s="173"/>
      <c r="M133" s="173"/>
      <c r="N133" s="173"/>
      <c r="O133" s="173"/>
      <c r="P133" s="173"/>
      <c r="Q133" s="239"/>
      <c r="R133" s="239"/>
      <c r="S133" s="239"/>
      <c r="T133" s="239"/>
      <c r="U133" s="239"/>
      <c r="V133" s="239"/>
      <c r="W133" s="239"/>
      <c r="X133" s="239"/>
    </row>
    <row r="134">
      <c r="A134" s="344" t="s">
        <v>424</v>
      </c>
      <c r="B134" s="713">
        <f>D134/D139</f>
        <v>0.1049642736</v>
      </c>
      <c r="C134" s="106">
        <v>518394.0</v>
      </c>
      <c r="D134" s="106">
        <v>492586.0</v>
      </c>
      <c r="E134" s="698">
        <f t="shared" ref="E134:E137" si="59">F134/C134</f>
        <v>0.3563756525</v>
      </c>
      <c r="F134" s="773">
        <v>184743.0</v>
      </c>
      <c r="G134" s="774" t="s">
        <v>890</v>
      </c>
      <c r="H134" s="774" t="s">
        <v>890</v>
      </c>
      <c r="I134" s="774" t="s">
        <v>890</v>
      </c>
      <c r="J134" s="775"/>
      <c r="K134" s="528"/>
      <c r="L134" s="528"/>
      <c r="M134" s="528"/>
      <c r="N134" s="528"/>
      <c r="O134" s="528"/>
      <c r="P134" s="528"/>
      <c r="Q134" s="257"/>
      <c r="R134" s="257"/>
      <c r="S134" s="257"/>
      <c r="T134" s="257"/>
      <c r="U134" s="257"/>
      <c r="V134" s="257"/>
      <c r="W134" s="257"/>
      <c r="X134" s="257"/>
    </row>
    <row r="135">
      <c r="A135" s="344" t="s">
        <v>409</v>
      </c>
      <c r="B135" s="713">
        <f>D135/D139</f>
        <v>0.2472388029</v>
      </c>
      <c r="C135" s="696">
        <f>F103-X103</f>
        <v>861100</v>
      </c>
      <c r="D135" s="106">
        <v>1160265.0</v>
      </c>
      <c r="E135" s="698">
        <f t="shared" si="59"/>
        <v>0.5042155383</v>
      </c>
      <c r="F135" s="773">
        <v>434180.0</v>
      </c>
      <c r="G135" s="714">
        <f>G137/D139</f>
        <v>0.006390302611</v>
      </c>
      <c r="H135" s="714">
        <f>H137/D139</f>
        <v>0.001447827907</v>
      </c>
      <c r="I135" s="698">
        <f>G135+E134+H135</f>
        <v>0.364213783</v>
      </c>
      <c r="J135" s="776"/>
      <c r="K135" s="528"/>
      <c r="L135" s="528"/>
      <c r="M135" s="528"/>
      <c r="N135" s="528"/>
      <c r="O135" s="528"/>
      <c r="P135" s="528"/>
      <c r="Q135" s="257"/>
      <c r="R135" s="257"/>
      <c r="S135" s="257"/>
      <c r="T135" s="257"/>
      <c r="U135" s="257"/>
      <c r="V135" s="257"/>
      <c r="W135" s="257"/>
      <c r="X135" s="257"/>
    </row>
    <row r="136">
      <c r="A136" s="344" t="s">
        <v>542</v>
      </c>
      <c r="B136" s="713">
        <f>D136/D139</f>
        <v>0.0609006131</v>
      </c>
      <c r="C136" s="696">
        <f>F107</f>
        <v>286640</v>
      </c>
      <c r="D136" s="106">
        <v>285800.0</v>
      </c>
      <c r="E136" s="698">
        <f t="shared" si="59"/>
        <v>-0.002930505163</v>
      </c>
      <c r="F136" s="773">
        <v>-840.0</v>
      </c>
      <c r="G136" s="770" t="s">
        <v>891</v>
      </c>
      <c r="H136" s="770" t="s">
        <v>891</v>
      </c>
      <c r="I136" s="770"/>
      <c r="J136" s="772"/>
      <c r="K136" s="528"/>
      <c r="L136" s="528"/>
      <c r="M136" s="528"/>
      <c r="N136" s="528"/>
      <c r="O136" s="528"/>
      <c r="P136" s="528"/>
      <c r="Q136" s="257"/>
      <c r="R136" s="257"/>
      <c r="S136" s="257"/>
      <c r="T136" s="257"/>
      <c r="U136" s="257"/>
      <c r="V136" s="257"/>
      <c r="W136" s="257"/>
      <c r="X136" s="257"/>
    </row>
    <row r="137">
      <c r="A137" s="344" t="s">
        <v>240</v>
      </c>
      <c r="B137" s="682">
        <f>D137/D139</f>
        <v>0.3025217712</v>
      </c>
      <c r="C137" s="106">
        <v>886051.0</v>
      </c>
      <c r="D137" s="106">
        <v>1419702.0</v>
      </c>
      <c r="E137" s="698">
        <f t="shared" si="59"/>
        <v>0.4721342225</v>
      </c>
      <c r="F137" s="773">
        <v>418335.0</v>
      </c>
      <c r="G137" s="777">
        <v>29989.0</v>
      </c>
      <c r="H137" s="778">
        <f>P107+P103+P77+P48+P35</f>
        <v>6794.5</v>
      </c>
      <c r="I137" s="778"/>
      <c r="J137" s="778"/>
      <c r="K137" s="528"/>
      <c r="L137" s="528"/>
      <c r="M137" s="528"/>
      <c r="N137" s="528"/>
      <c r="O137" s="528"/>
      <c r="P137" s="528"/>
      <c r="Q137" s="257"/>
      <c r="R137" s="257"/>
      <c r="S137" s="257"/>
      <c r="T137" s="257"/>
      <c r="U137" s="257"/>
      <c r="V137" s="257"/>
      <c r="W137" s="257"/>
      <c r="X137" s="257"/>
    </row>
    <row r="138">
      <c r="A138" s="344" t="s">
        <v>461</v>
      </c>
      <c r="B138" s="713">
        <f>D138/D139</f>
        <v>0.2843745392</v>
      </c>
      <c r="C138" s="106">
        <f>965800</f>
        <v>965800</v>
      </c>
      <c r="D138" s="106">
        <v>1334539.0</v>
      </c>
      <c r="E138" s="588" t="s">
        <v>128</v>
      </c>
      <c r="F138" s="773">
        <f>G137+H137</f>
        <v>36783.5</v>
      </c>
      <c r="G138" s="528"/>
      <c r="H138" s="528"/>
      <c r="I138" s="528"/>
      <c r="J138" s="528"/>
      <c r="K138" s="528"/>
      <c r="L138" s="528"/>
      <c r="M138" s="528"/>
      <c r="N138" s="528"/>
      <c r="O138" s="528"/>
      <c r="P138" s="528"/>
      <c r="Q138" s="257"/>
      <c r="R138" s="257"/>
      <c r="S138" s="257"/>
      <c r="T138" s="257"/>
      <c r="U138" s="257"/>
      <c r="V138" s="257"/>
      <c r="W138" s="257"/>
      <c r="X138" s="257"/>
    </row>
    <row r="139">
      <c r="A139" s="13" t="s">
        <v>246</v>
      </c>
      <c r="B139" s="695">
        <f t="shared" ref="B139:D139" si="60">SUM(B134:B138)</f>
        <v>1</v>
      </c>
      <c r="C139" s="616">
        <f t="shared" si="60"/>
        <v>3517985</v>
      </c>
      <c r="D139" s="693">
        <f t="shared" si="60"/>
        <v>4692892</v>
      </c>
      <c r="E139" s="622">
        <f>F139/C139</f>
        <v>0.3050614201</v>
      </c>
      <c r="F139" s="693">
        <f>SUM(F134:F138)</f>
        <v>1073201.5</v>
      </c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239"/>
      <c r="R139" s="239"/>
      <c r="S139" s="239"/>
      <c r="T139" s="239"/>
      <c r="U139" s="238" t="s">
        <v>89</v>
      </c>
      <c r="V139" s="239"/>
      <c r="W139" s="239"/>
      <c r="X139" s="240">
        <f>X132+X107+X103+X77+X58+X48+X35+X21</f>
        <v>2706270.5</v>
      </c>
    </row>
    <row r="140">
      <c r="A140" s="779" t="s">
        <v>941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</row>
    <row r="141">
      <c r="A141" s="780"/>
      <c r="B141" s="610"/>
      <c r="C141" s="610"/>
      <c r="D141" s="610"/>
      <c r="E141" s="610"/>
      <c r="F141" s="610"/>
      <c r="G141" s="610"/>
      <c r="H141" s="610"/>
      <c r="I141" s="610"/>
      <c r="J141" s="610"/>
      <c r="K141" s="610"/>
      <c r="L141" s="610"/>
      <c r="M141" s="610"/>
      <c r="N141" s="610"/>
      <c r="O141" s="610"/>
      <c r="P141" s="610"/>
    </row>
    <row r="142">
      <c r="A142" s="781"/>
    </row>
    <row r="143">
      <c r="A143" s="746" t="s">
        <v>248</v>
      </c>
      <c r="B143" s="747"/>
      <c r="C143" s="748" t="s">
        <v>942</v>
      </c>
      <c r="D143" s="747"/>
      <c r="E143" s="749" t="s">
        <v>943</v>
      </c>
      <c r="F143" s="750" t="s">
        <v>15</v>
      </c>
      <c r="G143" s="750" t="s">
        <v>578</v>
      </c>
    </row>
    <row r="144">
      <c r="A144" s="442" t="s">
        <v>265</v>
      </c>
      <c r="B144" s="304" t="s">
        <v>266</v>
      </c>
      <c r="C144" s="752">
        <v>21141.0</v>
      </c>
      <c r="D144" s="753"/>
      <c r="E144" s="752">
        <v>25812.0</v>
      </c>
      <c r="F144" s="486">
        <f t="shared" ref="F144:F148" si="61">E144-C144</f>
        <v>4671</v>
      </c>
      <c r="G144" s="487">
        <f t="shared" ref="G144:G148" si="62">E144/C144-1</f>
        <v>0.220945083</v>
      </c>
    </row>
    <row r="145">
      <c r="A145" s="442" t="s">
        <v>267</v>
      </c>
      <c r="B145" s="304" t="s">
        <v>268</v>
      </c>
      <c r="C145" s="752">
        <v>2492.2</v>
      </c>
      <c r="D145" s="753"/>
      <c r="E145" s="752">
        <v>3100.0</v>
      </c>
      <c r="F145" s="486">
        <f t="shared" si="61"/>
        <v>607.8</v>
      </c>
      <c r="G145" s="487">
        <f t="shared" si="62"/>
        <v>0.2438809084</v>
      </c>
    </row>
    <row r="146">
      <c r="A146" s="442" t="s">
        <v>269</v>
      </c>
      <c r="B146" s="304" t="s">
        <v>270</v>
      </c>
      <c r="C146" s="752">
        <v>7483.0</v>
      </c>
      <c r="D146" s="753"/>
      <c r="E146" s="752">
        <v>10058.0</v>
      </c>
      <c r="F146" s="486">
        <f t="shared" si="61"/>
        <v>2575</v>
      </c>
      <c r="G146" s="487">
        <f t="shared" si="62"/>
        <v>0.3441133235</v>
      </c>
    </row>
    <row r="147">
      <c r="A147" s="442" t="s">
        <v>271</v>
      </c>
      <c r="B147" s="304" t="s">
        <v>272</v>
      </c>
      <c r="C147" s="752">
        <v>1100.0</v>
      </c>
      <c r="D147" s="753"/>
      <c r="E147" s="752">
        <v>1441.0</v>
      </c>
      <c r="F147" s="486">
        <f t="shared" si="61"/>
        <v>341</v>
      </c>
      <c r="G147" s="487">
        <f t="shared" si="62"/>
        <v>0.31</v>
      </c>
    </row>
    <row r="148">
      <c r="A148" s="442" t="s">
        <v>273</v>
      </c>
      <c r="B148" s="304" t="s">
        <v>274</v>
      </c>
      <c r="C148" s="752">
        <v>9950.0</v>
      </c>
      <c r="D148" s="753"/>
      <c r="E148" s="752">
        <v>11894.0</v>
      </c>
      <c r="F148" s="486">
        <f t="shared" si="61"/>
        <v>1944</v>
      </c>
      <c r="G148" s="487">
        <f t="shared" si="62"/>
        <v>0.1953768844</v>
      </c>
    </row>
    <row r="149">
      <c r="A149" s="782"/>
      <c r="B149" s="783"/>
      <c r="C149" s="244"/>
      <c r="D149" s="244"/>
      <c r="E149" s="244"/>
      <c r="F149" s="244"/>
      <c r="G149" s="2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6.75"/>
    <col customWidth="1" min="3" max="3" width="20.38"/>
    <col customWidth="1" min="4" max="4" width="19.13"/>
    <col customWidth="1" min="5" max="5" width="24.75"/>
    <col customWidth="1" min="6" max="6" width="11.13"/>
    <col customWidth="1" min="7" max="7" width="9.5"/>
    <col customWidth="1" min="8" max="8" width="23.25"/>
    <col customWidth="1" min="9" max="9" width="24.38"/>
    <col customWidth="1" min="10" max="10" width="16.5"/>
    <col customWidth="1" min="11" max="11" width="22.13"/>
    <col customWidth="1" min="12" max="12" width="11.5"/>
    <col customWidth="1" min="13" max="13" width="18.25"/>
    <col customWidth="1" min="14" max="14" width="13.5"/>
    <col customWidth="1" min="16" max="16" width="14.25"/>
    <col customWidth="1" min="17" max="17" width="10.0"/>
    <col customWidth="1" min="18" max="18" width="9.88"/>
    <col customWidth="1" min="19" max="19" width="26.0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5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8" t="s">
        <v>11</v>
      </c>
      <c r="M2" s="9" t="s">
        <v>12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18</v>
      </c>
      <c r="T2" s="5" t="s">
        <v>19</v>
      </c>
      <c r="U2" s="5" t="s">
        <v>20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13" t="s">
        <v>29</v>
      </c>
      <c r="B3" s="13" t="s">
        <v>29</v>
      </c>
      <c r="C3" s="14">
        <f>I3/E132</f>
        <v>0.015539216</v>
      </c>
      <c r="D3" s="15" t="s">
        <v>30</v>
      </c>
      <c r="E3" s="16" t="s">
        <v>31</v>
      </c>
      <c r="F3" s="17">
        <v>8.0</v>
      </c>
      <c r="G3" s="18">
        <v>2000.0</v>
      </c>
      <c r="H3" s="19">
        <f t="shared" ref="H3:H55" si="1">G3*J3</f>
        <v>366840</v>
      </c>
      <c r="I3" s="20">
        <f t="shared" ref="I3:I9" si="2">H3+P3</f>
        <v>385380</v>
      </c>
      <c r="J3" s="21">
        <v>183.42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14" si="3">L3-J3</f>
        <v>9.27</v>
      </c>
      <c r="O3" s="25">
        <f t="shared" ref="O3:O9" si="4">L3/J3-1</f>
        <v>0.05053974485</v>
      </c>
      <c r="P3" s="19">
        <f t="shared" ref="P3:P55" si="5">H3*O3</f>
        <v>18540</v>
      </c>
      <c r="Q3" s="26">
        <v>0.0011</v>
      </c>
      <c r="R3" s="27">
        <v>400.0</v>
      </c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3">
        <f>(I56+I71+I85)/E132</f>
        <v>1.054558261</v>
      </c>
      <c r="B4" s="33">
        <f>I56/E132</f>
        <v>0.9009265507</v>
      </c>
      <c r="C4" s="14">
        <f>I4/E132</f>
        <v>0.03050142701</v>
      </c>
      <c r="D4" s="15" t="s">
        <v>287</v>
      </c>
      <c r="E4" s="15" t="s">
        <v>33</v>
      </c>
      <c r="F4" s="17">
        <v>8.0</v>
      </c>
      <c r="G4" s="18">
        <v>9000.0</v>
      </c>
      <c r="H4" s="19">
        <f t="shared" si="1"/>
        <v>778320</v>
      </c>
      <c r="I4" s="20">
        <f t="shared" si="2"/>
        <v>756450</v>
      </c>
      <c r="J4" s="21">
        <v>86.48</v>
      </c>
      <c r="K4" s="22">
        <f>IFERROR(__xludf.DUMMYFUNCTION("GOOGLEFINANCE(E4,""changepct"")"),-2.94)</f>
        <v>-2.94</v>
      </c>
      <c r="L4" s="23">
        <f>IFERROR(__xludf.DUMMYFUNCTION("googlefinance(E4,""price"")"),84.05)</f>
        <v>84.05</v>
      </c>
      <c r="M4" s="21"/>
      <c r="N4" s="24">
        <f t="shared" si="3"/>
        <v>-2.43</v>
      </c>
      <c r="O4" s="25">
        <f t="shared" si="4"/>
        <v>-0.02809898242</v>
      </c>
      <c r="P4" s="19">
        <f t="shared" si="5"/>
        <v>-21870</v>
      </c>
      <c r="Q4" s="34"/>
      <c r="R4" s="29"/>
      <c r="S4" s="35"/>
      <c r="T4" s="27"/>
      <c r="U4" s="27"/>
      <c r="V4" s="15"/>
      <c r="W4" s="36"/>
      <c r="X4" s="37"/>
      <c r="Y4" s="27"/>
      <c r="Z4" s="16"/>
      <c r="AA4" s="32"/>
      <c r="AB4" s="31"/>
      <c r="AC4" s="29"/>
    </row>
    <row r="5">
      <c r="A5" s="38"/>
      <c r="B5" s="32"/>
      <c r="C5" s="14">
        <f>I5/E132</f>
        <v>0.01016714234</v>
      </c>
      <c r="D5" s="15" t="s">
        <v>32</v>
      </c>
      <c r="E5" s="15" t="s">
        <v>33</v>
      </c>
      <c r="F5" s="17">
        <v>8.0</v>
      </c>
      <c r="G5" s="18">
        <v>3000.0</v>
      </c>
      <c r="H5" s="19">
        <f t="shared" si="1"/>
        <v>315420</v>
      </c>
      <c r="I5" s="20">
        <f t="shared" si="2"/>
        <v>252150</v>
      </c>
      <c r="J5" s="21">
        <v>105.14</v>
      </c>
      <c r="K5" s="22">
        <f>IFERROR(__xludf.DUMMYFUNCTION("GOOGLEFINANCE(E5,""changepct"")"),-2.94)</f>
        <v>-2.94</v>
      </c>
      <c r="L5" s="23">
        <f>IFERROR(__xludf.DUMMYFUNCTION("googlefinance(E5,""price"")"),84.05)</f>
        <v>84.05</v>
      </c>
      <c r="M5" s="24"/>
      <c r="N5" s="24">
        <f t="shared" si="3"/>
        <v>-21.09</v>
      </c>
      <c r="O5" s="25">
        <f t="shared" si="4"/>
        <v>-0.2005896899</v>
      </c>
      <c r="P5" s="19">
        <f t="shared" si="5"/>
        <v>-63270</v>
      </c>
      <c r="Q5" s="34"/>
      <c r="R5" s="29"/>
      <c r="S5" s="39"/>
      <c r="T5" s="27"/>
      <c r="U5" s="40"/>
      <c r="V5" s="15"/>
      <c r="W5" s="36"/>
      <c r="X5" s="37"/>
      <c r="Y5" s="27"/>
      <c r="Z5" s="15" t="s">
        <v>34</v>
      </c>
      <c r="AA5" s="41">
        <v>45561.0</v>
      </c>
      <c r="AB5" s="21">
        <v>105.14</v>
      </c>
      <c r="AC5" s="20">
        <v>315420.0</v>
      </c>
    </row>
    <row r="6">
      <c r="A6" s="38"/>
      <c r="B6" s="32"/>
      <c r="C6" s="14">
        <f>I6/E132</f>
        <v>0.1683072331</v>
      </c>
      <c r="D6" s="15" t="s">
        <v>35</v>
      </c>
      <c r="E6" s="15" t="s">
        <v>36</v>
      </c>
      <c r="F6" s="17">
        <v>8.2</v>
      </c>
      <c r="G6" s="18">
        <v>10000.0</v>
      </c>
      <c r="H6" s="19">
        <f t="shared" si="1"/>
        <v>1978800</v>
      </c>
      <c r="I6" s="20">
        <f t="shared" si="2"/>
        <v>4174100</v>
      </c>
      <c r="J6" s="21">
        <v>197.88</v>
      </c>
      <c r="K6" s="22">
        <f>IFERROR(__xludf.DUMMYFUNCTION("GOOGLEFINANCE(E6,""changepct"")"),-3.3)</f>
        <v>-3.3</v>
      </c>
      <c r="L6" s="23">
        <f>IFERROR(__xludf.DUMMYFUNCTION("googlefinance(E6,""price"")"),417.41)</f>
        <v>417.41</v>
      </c>
      <c r="M6" s="24"/>
      <c r="N6" s="24">
        <f t="shared" si="3"/>
        <v>219.53</v>
      </c>
      <c r="O6" s="25">
        <f t="shared" si="4"/>
        <v>1.109409743</v>
      </c>
      <c r="P6" s="19">
        <f t="shared" si="5"/>
        <v>2195300</v>
      </c>
      <c r="Q6" s="34"/>
      <c r="R6" s="29"/>
      <c r="S6" s="39"/>
      <c r="T6" s="27">
        <v>280.0</v>
      </c>
      <c r="U6" s="40"/>
      <c r="V6" s="15"/>
      <c r="W6" s="36"/>
      <c r="X6" s="37"/>
      <c r="Y6" s="27"/>
      <c r="Z6" s="15"/>
      <c r="AA6" s="41"/>
      <c r="AB6" s="21"/>
      <c r="AC6" s="20"/>
    </row>
    <row r="7">
      <c r="A7" s="38"/>
      <c r="B7" s="32"/>
      <c r="C7" s="14">
        <f>I7/E132</f>
        <v>0.03366144662</v>
      </c>
      <c r="D7" s="15" t="s">
        <v>37</v>
      </c>
      <c r="E7" s="15" t="s">
        <v>36</v>
      </c>
      <c r="F7" s="17">
        <v>8.2</v>
      </c>
      <c r="G7" s="18">
        <v>2000.0</v>
      </c>
      <c r="H7" s="19">
        <f t="shared" si="1"/>
        <v>434840</v>
      </c>
      <c r="I7" s="20">
        <f t="shared" si="2"/>
        <v>834820</v>
      </c>
      <c r="J7" s="21">
        <v>217.42</v>
      </c>
      <c r="K7" s="22">
        <f>IFERROR(__xludf.DUMMYFUNCTION("GOOGLEFINANCE(E7,""changepct"")"),-3.3)</f>
        <v>-3.3</v>
      </c>
      <c r="L7" s="23">
        <f>IFERROR(__xludf.DUMMYFUNCTION("googlefinance(E7,""price"")"),417.41)</f>
        <v>417.41</v>
      </c>
      <c r="M7" s="24"/>
      <c r="N7" s="24">
        <f t="shared" si="3"/>
        <v>199.99</v>
      </c>
      <c r="O7" s="25">
        <f t="shared" si="4"/>
        <v>0.9198325821</v>
      </c>
      <c r="P7" s="19">
        <f t="shared" si="5"/>
        <v>399980</v>
      </c>
      <c r="Q7" s="34"/>
      <c r="R7" s="29"/>
      <c r="S7" s="43"/>
      <c r="T7" s="27"/>
      <c r="U7" s="40"/>
      <c r="V7" s="15"/>
      <c r="W7" s="41"/>
      <c r="X7" s="21"/>
      <c r="Y7" s="20"/>
      <c r="Z7" s="42" t="s">
        <v>36</v>
      </c>
      <c r="AA7" s="36">
        <v>45497.0</v>
      </c>
      <c r="AB7" s="37">
        <v>217.42</v>
      </c>
      <c r="AC7" s="27">
        <v>434840.0</v>
      </c>
    </row>
    <row r="8">
      <c r="A8" s="38"/>
      <c r="B8" s="32"/>
      <c r="C8" s="14">
        <f>I8/E132</f>
        <v>0.04443301277</v>
      </c>
      <c r="D8" s="42" t="s">
        <v>39</v>
      </c>
      <c r="E8" s="42" t="s">
        <v>40</v>
      </c>
      <c r="F8" s="44">
        <v>8.1</v>
      </c>
      <c r="G8" s="18">
        <v>9000.0</v>
      </c>
      <c r="H8" s="19">
        <f t="shared" si="1"/>
        <v>1459890</v>
      </c>
      <c r="I8" s="20">
        <f t="shared" si="2"/>
        <v>1101960</v>
      </c>
      <c r="J8" s="21">
        <v>162.21</v>
      </c>
      <c r="K8" s="22">
        <f>IFERROR(__xludf.DUMMYFUNCTION("GOOGLEFINANCE(E8,""changepct"")"),-2.2)</f>
        <v>-2.2</v>
      </c>
      <c r="L8" s="23">
        <f>IFERROR(__xludf.DUMMYFUNCTION("googlefinance(E8,""price"")"),122.44)</f>
        <v>122.44</v>
      </c>
      <c r="M8" s="24"/>
      <c r="N8" s="24">
        <f t="shared" si="3"/>
        <v>-39.77</v>
      </c>
      <c r="O8" s="25">
        <f t="shared" si="4"/>
        <v>-0.2451760064</v>
      </c>
      <c r="P8" s="19">
        <f t="shared" si="5"/>
        <v>-357930</v>
      </c>
      <c r="Q8" s="34"/>
      <c r="R8" s="29"/>
      <c r="S8" s="43"/>
      <c r="T8" s="27"/>
      <c r="U8" s="40"/>
      <c r="V8" s="15"/>
      <c r="W8" s="41"/>
      <c r="X8" s="21"/>
      <c r="Y8" s="20"/>
      <c r="Z8" s="42"/>
      <c r="AA8" s="36"/>
      <c r="AB8" s="37"/>
      <c r="AC8" s="27"/>
    </row>
    <row r="9">
      <c r="A9" s="38"/>
      <c r="B9" s="32"/>
      <c r="C9" s="14">
        <f>I9/E132</f>
        <v>0.01481100426</v>
      </c>
      <c r="D9" s="42" t="s">
        <v>40</v>
      </c>
      <c r="E9" s="42" t="s">
        <v>40</v>
      </c>
      <c r="F9" s="44">
        <v>8.1</v>
      </c>
      <c r="G9" s="18">
        <v>3000.0</v>
      </c>
      <c r="H9" s="19">
        <f t="shared" si="1"/>
        <v>419250</v>
      </c>
      <c r="I9" s="20">
        <f t="shared" si="2"/>
        <v>367320</v>
      </c>
      <c r="J9" s="21">
        <v>139.75</v>
      </c>
      <c r="K9" s="22">
        <f>IFERROR(__xludf.DUMMYFUNCTION("GOOGLEFINANCE(E9,""changepct"")"),-2.2)</f>
        <v>-2.2</v>
      </c>
      <c r="L9" s="23">
        <f>IFERROR(__xludf.DUMMYFUNCTION("googlefinance(E9,""price"")"),122.44)</f>
        <v>122.44</v>
      </c>
      <c r="M9" s="24"/>
      <c r="N9" s="24">
        <f t="shared" si="3"/>
        <v>-17.31</v>
      </c>
      <c r="O9" s="25">
        <f t="shared" si="4"/>
        <v>-0.1238640429</v>
      </c>
      <c r="P9" s="19">
        <f t="shared" si="5"/>
        <v>-51930</v>
      </c>
      <c r="Q9" s="34"/>
      <c r="R9" s="29"/>
      <c r="S9" s="43"/>
      <c r="T9" s="27"/>
      <c r="U9" s="40"/>
      <c r="V9" s="15"/>
      <c r="W9" s="41"/>
      <c r="X9" s="21"/>
      <c r="Y9" s="20"/>
      <c r="Z9" s="42" t="s">
        <v>40</v>
      </c>
      <c r="AA9" s="36">
        <v>45498.0</v>
      </c>
      <c r="AB9" s="37">
        <v>139.75</v>
      </c>
      <c r="AC9" s="27">
        <v>419250.0</v>
      </c>
    </row>
    <row r="10">
      <c r="A10" s="38"/>
      <c r="B10" s="32"/>
      <c r="C10" s="14">
        <f>I10/E132</f>
        <v>0</v>
      </c>
      <c r="D10" s="42" t="s">
        <v>41</v>
      </c>
      <c r="E10" s="42" t="s">
        <v>40</v>
      </c>
      <c r="F10" s="44">
        <v>8.1</v>
      </c>
      <c r="G10" s="18">
        <v>1000.0</v>
      </c>
      <c r="H10" s="19">
        <f t="shared" si="1"/>
        <v>156700</v>
      </c>
      <c r="I10" s="20">
        <v>0.0</v>
      </c>
      <c r="J10" s="21">
        <v>156.7</v>
      </c>
      <c r="K10" s="22">
        <f>IFERROR(__xludf.DUMMYFUNCTION("GOOGLEFINANCE(E10,""changepct"")"),-2.2)</f>
        <v>-2.2</v>
      </c>
      <c r="L10" s="23">
        <f>IFERROR(__xludf.DUMMYFUNCTION("googlefinance(E10,""price"")"),122.44)</f>
        <v>122.44</v>
      </c>
      <c r="M10" s="21">
        <v>168.02</v>
      </c>
      <c r="N10" s="24">
        <f t="shared" si="3"/>
        <v>-34.26</v>
      </c>
      <c r="O10" s="25">
        <f t="shared" ref="O10:O11" si="6">M10/J10-1</f>
        <v>0.07223994895</v>
      </c>
      <c r="P10" s="19">
        <f t="shared" si="5"/>
        <v>11320</v>
      </c>
      <c r="Q10" s="34"/>
      <c r="R10" s="29"/>
      <c r="S10" s="43"/>
      <c r="T10" s="27"/>
      <c r="U10" s="40"/>
      <c r="V10" s="15" t="s">
        <v>40</v>
      </c>
      <c r="W10" s="41">
        <v>45561.0</v>
      </c>
      <c r="X10" s="21">
        <v>168.02</v>
      </c>
      <c r="Y10" s="20">
        <v>168020.0</v>
      </c>
      <c r="Z10" s="42" t="s">
        <v>40</v>
      </c>
      <c r="AA10" s="36">
        <v>45491.0</v>
      </c>
      <c r="AB10" s="37">
        <v>156.7</v>
      </c>
      <c r="AC10" s="27">
        <v>156700.0</v>
      </c>
    </row>
    <row r="11">
      <c r="A11" s="38"/>
      <c r="B11" s="32"/>
      <c r="C11" s="14">
        <f>I11/E132</f>
        <v>0</v>
      </c>
      <c r="D11" s="42" t="s">
        <v>41</v>
      </c>
      <c r="E11" s="42" t="s">
        <v>40</v>
      </c>
      <c r="F11" s="44">
        <v>8.1</v>
      </c>
      <c r="G11" s="18">
        <v>1000.0</v>
      </c>
      <c r="H11" s="19">
        <f t="shared" si="1"/>
        <v>145720</v>
      </c>
      <c r="I11" s="20">
        <v>0.0</v>
      </c>
      <c r="J11" s="21">
        <v>145.72</v>
      </c>
      <c r="K11" s="22">
        <f>IFERROR(__xludf.DUMMYFUNCTION("GOOGLEFINANCE(E11,""changepct"")"),-2.2)</f>
        <v>-2.2</v>
      </c>
      <c r="L11" s="23">
        <f>IFERROR(__xludf.DUMMYFUNCTION("googlefinance(E11,""price"")"),122.44)</f>
        <v>122.44</v>
      </c>
      <c r="M11" s="21">
        <v>168.02</v>
      </c>
      <c r="N11" s="24">
        <f t="shared" si="3"/>
        <v>-23.28</v>
      </c>
      <c r="O11" s="25">
        <f t="shared" si="6"/>
        <v>0.1530332144</v>
      </c>
      <c r="P11" s="19">
        <f t="shared" si="5"/>
        <v>22300</v>
      </c>
      <c r="Q11" s="34"/>
      <c r="R11" s="29"/>
      <c r="S11" s="43"/>
      <c r="T11" s="27">
        <v>2600.0</v>
      </c>
      <c r="U11" s="40"/>
      <c r="V11" s="15" t="s">
        <v>40</v>
      </c>
      <c r="W11" s="41">
        <v>45561.0</v>
      </c>
      <c r="X11" s="21">
        <v>168.02</v>
      </c>
      <c r="Y11" s="20">
        <v>168020.0</v>
      </c>
      <c r="Z11" s="42" t="s">
        <v>40</v>
      </c>
      <c r="AA11" s="36">
        <v>45497.0</v>
      </c>
      <c r="AB11" s="37">
        <v>145.72</v>
      </c>
      <c r="AC11" s="27">
        <v>145720.0</v>
      </c>
    </row>
    <row r="12">
      <c r="A12" s="38"/>
      <c r="B12" s="32"/>
      <c r="C12" s="14">
        <f>I12/E132</f>
        <v>0.02676964425</v>
      </c>
      <c r="D12" s="42" t="s">
        <v>42</v>
      </c>
      <c r="E12" s="45" t="s">
        <v>43</v>
      </c>
      <c r="F12" s="44">
        <v>8.1</v>
      </c>
      <c r="G12" s="18">
        <v>3000.0</v>
      </c>
      <c r="H12" s="19">
        <f t="shared" si="1"/>
        <v>579750</v>
      </c>
      <c r="I12" s="20">
        <f>H12+P12</f>
        <v>663900</v>
      </c>
      <c r="J12" s="21">
        <v>193.25</v>
      </c>
      <c r="K12" s="22">
        <f>IFERROR(__xludf.DUMMYFUNCTION("GOOGLEFINANCE(E12,""changepct"")"),-1.09)</f>
        <v>-1.09</v>
      </c>
      <c r="L12" s="23">
        <f>IFERROR(__xludf.DUMMYFUNCTION("googlefinance(E12,""price"")"),221.3)</f>
        <v>221.3</v>
      </c>
      <c r="M12" s="24"/>
      <c r="N12" s="24">
        <f t="shared" si="3"/>
        <v>28.05</v>
      </c>
      <c r="O12" s="25">
        <f>L12/J12-1</f>
        <v>0.145148771</v>
      </c>
      <c r="P12" s="19">
        <f t="shared" si="5"/>
        <v>84150</v>
      </c>
      <c r="Q12" s="34"/>
      <c r="R12" s="29"/>
      <c r="S12" s="43"/>
      <c r="T12" s="27"/>
      <c r="U12" s="40"/>
      <c r="V12" s="15"/>
      <c r="W12" s="41"/>
      <c r="X12" s="21"/>
      <c r="Y12" s="20"/>
      <c r="Z12" s="42"/>
      <c r="AA12" s="36"/>
      <c r="AB12" s="37"/>
      <c r="AC12" s="27"/>
    </row>
    <row r="13">
      <c r="A13" s="38"/>
      <c r="B13" s="32"/>
      <c r="C13" s="14">
        <f>I13/E132</f>
        <v>0</v>
      </c>
      <c r="D13" s="42" t="s">
        <v>44</v>
      </c>
      <c r="E13" s="45" t="s">
        <v>43</v>
      </c>
      <c r="F13" s="44">
        <v>8.1</v>
      </c>
      <c r="G13" s="18">
        <v>1000.0</v>
      </c>
      <c r="H13" s="19">
        <f t="shared" si="1"/>
        <v>193250</v>
      </c>
      <c r="I13" s="20">
        <v>0.0</v>
      </c>
      <c r="J13" s="21">
        <v>193.25</v>
      </c>
      <c r="K13" s="22">
        <f>IFERROR(__xludf.DUMMYFUNCTION("GOOGLEFINANCE(E13,""changepct"")"),-1.09)</f>
        <v>-1.09</v>
      </c>
      <c r="L13" s="23">
        <f>IFERROR(__xludf.DUMMYFUNCTION("googlefinance(E13,""price"")"),221.3)</f>
        <v>221.3</v>
      </c>
      <c r="M13" s="21">
        <v>178.16</v>
      </c>
      <c r="N13" s="24">
        <f t="shared" si="3"/>
        <v>28.05</v>
      </c>
      <c r="O13" s="25">
        <f>M13/J13-1</f>
        <v>-0.07808538163</v>
      </c>
      <c r="P13" s="19">
        <f t="shared" si="5"/>
        <v>-15090</v>
      </c>
      <c r="Q13" s="34"/>
      <c r="R13" s="29"/>
      <c r="S13" s="37"/>
      <c r="T13" s="27"/>
      <c r="U13" s="40"/>
      <c r="V13" s="15" t="s">
        <v>43</v>
      </c>
      <c r="W13" s="36">
        <v>45520.0</v>
      </c>
      <c r="X13" s="37">
        <v>178.16</v>
      </c>
      <c r="Y13" s="27">
        <v>178160.0</v>
      </c>
      <c r="Z13" s="42"/>
      <c r="AA13" s="41"/>
      <c r="AB13" s="21"/>
      <c r="AC13" s="20"/>
    </row>
    <row r="14">
      <c r="A14" s="38"/>
      <c r="B14" s="32"/>
      <c r="C14" s="14">
        <f>I14/E132</f>
        <v>0.1867222</v>
      </c>
      <c r="D14" s="42" t="s">
        <v>45</v>
      </c>
      <c r="E14" s="45" t="s">
        <v>46</v>
      </c>
      <c r="F14" s="44">
        <v>8.1</v>
      </c>
      <c r="G14" s="18">
        <v>60000.0</v>
      </c>
      <c r="H14" s="19">
        <f t="shared" si="1"/>
        <v>1519800</v>
      </c>
      <c r="I14" s="20">
        <f>H14+P14</f>
        <v>4630800</v>
      </c>
      <c r="J14" s="21">
        <v>25.33</v>
      </c>
      <c r="K14" s="22">
        <f>IFERROR(__xludf.DUMMYFUNCTION("GOOGLEFINANCE(E14,""changepct"")"),-2.4)</f>
        <v>-2.4</v>
      </c>
      <c r="L14" s="23">
        <f>IFERROR(__xludf.DUMMYFUNCTION("googlefinance(E14,""price"")"),77.18)</f>
        <v>77.18</v>
      </c>
      <c r="M14" s="21"/>
      <c r="N14" s="24">
        <f t="shared" si="3"/>
        <v>51.85</v>
      </c>
      <c r="O14" s="25">
        <f>L14/J14-1</f>
        <v>2.046979866</v>
      </c>
      <c r="P14" s="19">
        <f t="shared" si="5"/>
        <v>3111000</v>
      </c>
      <c r="Q14" s="34"/>
      <c r="R14" s="29"/>
      <c r="S14" s="37"/>
      <c r="T14" s="27">
        <v>-5600.0</v>
      </c>
      <c r="U14" s="40"/>
      <c r="V14" s="15"/>
      <c r="W14" s="36"/>
      <c r="X14" s="37"/>
      <c r="Y14" s="27"/>
      <c r="Z14" s="42"/>
      <c r="AA14" s="41"/>
      <c r="AB14" s="21"/>
      <c r="AC14" s="20"/>
    </row>
    <row r="15">
      <c r="A15" s="38"/>
      <c r="B15" s="32"/>
      <c r="C15" s="14">
        <f>I15/E132</f>
        <v>0</v>
      </c>
      <c r="D15" s="42" t="s">
        <v>48</v>
      </c>
      <c r="E15" s="45" t="s">
        <v>46</v>
      </c>
      <c r="F15" s="44">
        <v>8.1</v>
      </c>
      <c r="G15" s="18">
        <v>20000.0</v>
      </c>
      <c r="H15" s="19">
        <f t="shared" si="1"/>
        <v>506600</v>
      </c>
      <c r="I15" s="20">
        <v>0.0</v>
      </c>
      <c r="J15" s="21">
        <v>25.33</v>
      </c>
      <c r="K15" s="22">
        <f>IFERROR(__xludf.DUMMYFUNCTION("GOOGLEFINANCE(E15,""changepct"")"),-2.4)</f>
        <v>-2.4</v>
      </c>
      <c r="L15" s="23">
        <f>IFERROR(__xludf.DUMMYFUNCTION("googlefinance(E15,""price"")"),77.18)</f>
        <v>77.18</v>
      </c>
      <c r="M15" s="21">
        <v>35.15</v>
      </c>
      <c r="N15" s="24">
        <f>M15-J15</f>
        <v>9.82</v>
      </c>
      <c r="O15" s="25">
        <f t="shared" ref="O15:O25" si="7">M15/J15-1</f>
        <v>0.3876825898</v>
      </c>
      <c r="P15" s="19">
        <f t="shared" si="5"/>
        <v>196400</v>
      </c>
      <c r="Q15" s="14"/>
      <c r="R15" s="19"/>
      <c r="S15" s="37"/>
      <c r="T15" s="27"/>
      <c r="U15" s="29"/>
      <c r="V15" s="15" t="s">
        <v>46</v>
      </c>
      <c r="W15" s="36">
        <v>45547.0</v>
      </c>
      <c r="X15" s="37">
        <v>35.15</v>
      </c>
      <c r="Y15" s="27">
        <v>703000.0</v>
      </c>
      <c r="Z15" s="15"/>
      <c r="AA15" s="36"/>
      <c r="AB15" s="37"/>
      <c r="AC15" s="27"/>
    </row>
    <row r="16">
      <c r="A16" s="38"/>
      <c r="B16" s="32"/>
      <c r="C16" s="14">
        <f>I16/E132</f>
        <v>0</v>
      </c>
      <c r="D16" s="42" t="s">
        <v>48</v>
      </c>
      <c r="E16" s="45" t="s">
        <v>46</v>
      </c>
      <c r="F16" s="44">
        <v>8.1</v>
      </c>
      <c r="G16" s="18">
        <v>10000.0</v>
      </c>
      <c r="H16" s="19">
        <f t="shared" si="1"/>
        <v>253300</v>
      </c>
      <c r="I16" s="20">
        <v>0.0</v>
      </c>
      <c r="J16" s="21">
        <v>25.33</v>
      </c>
      <c r="K16" s="22">
        <f>IFERROR(__xludf.DUMMYFUNCTION("GOOGLEFINANCE(E16,""changepct"")"),-2.4)</f>
        <v>-2.4</v>
      </c>
      <c r="L16" s="23">
        <f>IFERROR(__xludf.DUMMYFUNCTION("googlefinance(E16,""price"")"),77.18)</f>
        <v>77.18</v>
      </c>
      <c r="M16" s="21">
        <v>30.24</v>
      </c>
      <c r="N16" s="24">
        <f t="shared" ref="N16:N55" si="8">L16-J16</f>
        <v>51.85</v>
      </c>
      <c r="O16" s="25">
        <f t="shared" si="7"/>
        <v>0.1938412949</v>
      </c>
      <c r="P16" s="19">
        <f t="shared" si="5"/>
        <v>49100</v>
      </c>
      <c r="Q16" s="14"/>
      <c r="R16" s="19"/>
      <c r="S16" s="37"/>
      <c r="T16" s="27"/>
      <c r="U16" s="29"/>
      <c r="V16" s="15" t="s">
        <v>46</v>
      </c>
      <c r="W16" s="36">
        <v>45532.0</v>
      </c>
      <c r="X16" s="37">
        <v>30.24</v>
      </c>
      <c r="Y16" s="27">
        <v>302400.0</v>
      </c>
      <c r="Z16" s="15"/>
      <c r="AA16" s="36"/>
      <c r="AB16" s="37"/>
      <c r="AC16" s="27"/>
    </row>
    <row r="17">
      <c r="A17" s="38"/>
      <c r="B17" s="32"/>
      <c r="C17" s="14">
        <f>I17/E132</f>
        <v>0</v>
      </c>
      <c r="D17" s="42" t="s">
        <v>48</v>
      </c>
      <c r="E17" s="45" t="s">
        <v>46</v>
      </c>
      <c r="F17" s="44">
        <v>8.1</v>
      </c>
      <c r="G17" s="18">
        <v>10000.0</v>
      </c>
      <c r="H17" s="19">
        <f t="shared" si="1"/>
        <v>253300</v>
      </c>
      <c r="I17" s="20">
        <v>0.0</v>
      </c>
      <c r="J17" s="21">
        <v>25.33</v>
      </c>
      <c r="K17" s="22">
        <f>IFERROR(__xludf.DUMMYFUNCTION("GOOGLEFINANCE(E17,""changepct"")"),-2.4)</f>
        <v>-2.4</v>
      </c>
      <c r="L17" s="23">
        <f>IFERROR(__xludf.DUMMYFUNCTION("googlefinance(E17,""price"")"),77.18)</f>
        <v>77.18</v>
      </c>
      <c r="M17" s="21">
        <v>32.51</v>
      </c>
      <c r="N17" s="24">
        <f t="shared" si="8"/>
        <v>51.85</v>
      </c>
      <c r="O17" s="25">
        <f t="shared" si="7"/>
        <v>0.2834583498</v>
      </c>
      <c r="P17" s="19">
        <f t="shared" si="5"/>
        <v>71800</v>
      </c>
      <c r="Q17" s="14"/>
      <c r="R17" s="19"/>
      <c r="S17" s="37"/>
      <c r="T17" s="27"/>
      <c r="U17" s="29"/>
      <c r="V17" s="15" t="s">
        <v>46</v>
      </c>
      <c r="W17" s="36">
        <v>45520.0</v>
      </c>
      <c r="X17" s="37">
        <v>32.51</v>
      </c>
      <c r="Y17" s="27">
        <v>325100.0</v>
      </c>
      <c r="Z17" s="15"/>
      <c r="AA17" s="36"/>
      <c r="AB17" s="37"/>
      <c r="AC17" s="27"/>
    </row>
    <row r="18">
      <c r="A18" s="38"/>
      <c r="B18" s="32"/>
      <c r="C18" s="14">
        <f>I18/E132</f>
        <v>0</v>
      </c>
      <c r="D18" s="42" t="s">
        <v>48</v>
      </c>
      <c r="E18" s="45" t="s">
        <v>46</v>
      </c>
      <c r="F18" s="44">
        <v>8.1</v>
      </c>
      <c r="G18" s="18">
        <v>20000.0</v>
      </c>
      <c r="H18" s="19">
        <f t="shared" si="1"/>
        <v>506600</v>
      </c>
      <c r="I18" s="20">
        <v>0.0</v>
      </c>
      <c r="J18" s="21">
        <v>25.33</v>
      </c>
      <c r="K18" s="22">
        <f>IFERROR(__xludf.DUMMYFUNCTION("GOOGLEFINANCE(E18,""changepct"")"),-2.4)</f>
        <v>-2.4</v>
      </c>
      <c r="L18" s="23">
        <f>IFERROR(__xludf.DUMMYFUNCTION("googlefinance(E18,""price"")"),77.18)</f>
        <v>77.18</v>
      </c>
      <c r="M18" s="21">
        <v>29.4</v>
      </c>
      <c r="N18" s="24">
        <f t="shared" si="8"/>
        <v>51.85</v>
      </c>
      <c r="O18" s="25">
        <f t="shared" si="7"/>
        <v>0.1606790367</v>
      </c>
      <c r="P18" s="19">
        <f t="shared" si="5"/>
        <v>81400</v>
      </c>
      <c r="Q18" s="14"/>
      <c r="R18" s="19"/>
      <c r="S18" s="37"/>
      <c r="T18" s="27"/>
      <c r="U18" s="29"/>
      <c r="V18" s="15" t="s">
        <v>46</v>
      </c>
      <c r="W18" s="36">
        <v>45491.0</v>
      </c>
      <c r="X18" s="37">
        <v>29.4</v>
      </c>
      <c r="Y18" s="27">
        <v>588000.0</v>
      </c>
      <c r="Z18" s="15"/>
      <c r="AA18" s="36"/>
      <c r="AB18" s="37"/>
      <c r="AC18" s="27"/>
    </row>
    <row r="19">
      <c r="A19" s="38"/>
      <c r="B19" s="32"/>
      <c r="C19" s="14">
        <f>I19/E132</f>
        <v>0</v>
      </c>
      <c r="D19" s="42" t="s">
        <v>48</v>
      </c>
      <c r="E19" s="45" t="s">
        <v>46</v>
      </c>
      <c r="F19" s="44">
        <v>8.1</v>
      </c>
      <c r="G19" s="18">
        <v>20000.0</v>
      </c>
      <c r="H19" s="19">
        <f t="shared" si="1"/>
        <v>506600</v>
      </c>
      <c r="I19" s="20">
        <v>0.0</v>
      </c>
      <c r="J19" s="21">
        <v>25.33</v>
      </c>
      <c r="K19" s="22">
        <f>IFERROR(__xludf.DUMMYFUNCTION("GOOGLEFINANCE(E19,""changepct"")"),-2.4)</f>
        <v>-2.4</v>
      </c>
      <c r="L19" s="23">
        <f>IFERROR(__xludf.DUMMYFUNCTION("googlefinance(E19,""price"")"),77.18)</f>
        <v>77.18</v>
      </c>
      <c r="M19" s="21">
        <v>27.78</v>
      </c>
      <c r="N19" s="24">
        <f t="shared" si="8"/>
        <v>51.85</v>
      </c>
      <c r="O19" s="25">
        <f t="shared" si="7"/>
        <v>0.09672325306</v>
      </c>
      <c r="P19" s="19">
        <f t="shared" si="5"/>
        <v>49000</v>
      </c>
      <c r="Q19" s="14"/>
      <c r="R19" s="19"/>
      <c r="S19" s="37"/>
      <c r="T19" s="27"/>
      <c r="U19" s="29"/>
      <c r="V19" s="15" t="s">
        <v>46</v>
      </c>
      <c r="W19" s="36">
        <v>45481.0</v>
      </c>
      <c r="X19" s="37">
        <v>27.78</v>
      </c>
      <c r="Y19" s="27">
        <v>555600.0</v>
      </c>
      <c r="Z19" s="15"/>
      <c r="AA19" s="36"/>
      <c r="AB19" s="37"/>
      <c r="AC19" s="27"/>
    </row>
    <row r="20">
      <c r="A20" s="38"/>
      <c r="B20" s="32"/>
      <c r="C20" s="14">
        <f>I20/E132</f>
        <v>0</v>
      </c>
      <c r="D20" s="42" t="s">
        <v>288</v>
      </c>
      <c r="E20" s="42" t="s">
        <v>289</v>
      </c>
      <c r="F20" s="44">
        <v>7.9</v>
      </c>
      <c r="G20" s="18">
        <v>10000.0</v>
      </c>
      <c r="H20" s="19">
        <f t="shared" si="1"/>
        <v>303800</v>
      </c>
      <c r="I20" s="20">
        <v>0.0</v>
      </c>
      <c r="J20" s="21">
        <v>30.38</v>
      </c>
      <c r="K20" s="22">
        <f>IFERROR(__xludf.DUMMYFUNCTION("GOOGLEFINANCE(E20,""changepct"")"),-1.12)</f>
        <v>-1.12</v>
      </c>
      <c r="L20" s="23">
        <f>IFERROR(__xludf.DUMMYFUNCTION("googlefinance(E20,""price"")"),32.8)</f>
        <v>32.8</v>
      </c>
      <c r="M20" s="21">
        <v>34.82</v>
      </c>
      <c r="N20" s="24">
        <f t="shared" si="8"/>
        <v>2.42</v>
      </c>
      <c r="O20" s="25">
        <f t="shared" si="7"/>
        <v>0.1461487821</v>
      </c>
      <c r="P20" s="19">
        <f t="shared" si="5"/>
        <v>44400</v>
      </c>
      <c r="Q20" s="14"/>
      <c r="R20" s="19"/>
      <c r="S20" s="37"/>
      <c r="T20" s="27">
        <v>-4300.0</v>
      </c>
      <c r="U20" s="29"/>
      <c r="V20" s="15" t="s">
        <v>289</v>
      </c>
      <c r="W20" s="36">
        <v>45495.0</v>
      </c>
      <c r="X20" s="37">
        <v>34.82</v>
      </c>
      <c r="Y20" s="27">
        <v>348200.0</v>
      </c>
      <c r="Z20" s="15"/>
      <c r="AA20" s="36"/>
      <c r="AB20" s="37"/>
      <c r="AC20" s="27"/>
    </row>
    <row r="21">
      <c r="A21" s="38"/>
      <c r="B21" s="32"/>
      <c r="C21" s="14">
        <f>I21/E132</f>
        <v>0</v>
      </c>
      <c r="D21" s="42" t="s">
        <v>288</v>
      </c>
      <c r="E21" s="42" t="s">
        <v>289</v>
      </c>
      <c r="F21" s="44">
        <v>7.9</v>
      </c>
      <c r="G21" s="18">
        <v>10000.0</v>
      </c>
      <c r="H21" s="19">
        <f t="shared" si="1"/>
        <v>303800</v>
      </c>
      <c r="I21" s="20">
        <v>0.0</v>
      </c>
      <c r="J21" s="21">
        <v>30.38</v>
      </c>
      <c r="K21" s="22">
        <f>IFERROR(__xludf.DUMMYFUNCTION("GOOGLEFINANCE(E21,""changepct"")"),-1.12)</f>
        <v>-1.12</v>
      </c>
      <c r="L21" s="23">
        <f>IFERROR(__xludf.DUMMYFUNCTION("googlefinance(E21,""price"")"),32.8)</f>
        <v>32.8</v>
      </c>
      <c r="M21" s="21">
        <v>36.0</v>
      </c>
      <c r="N21" s="24">
        <f t="shared" si="8"/>
        <v>2.42</v>
      </c>
      <c r="O21" s="25">
        <f t="shared" si="7"/>
        <v>0.1849901251</v>
      </c>
      <c r="P21" s="19">
        <f t="shared" si="5"/>
        <v>56200</v>
      </c>
      <c r="Q21" s="261"/>
      <c r="R21" s="20"/>
      <c r="S21" s="46"/>
      <c r="T21" s="27"/>
      <c r="U21" s="40"/>
      <c r="V21" s="15" t="s">
        <v>289</v>
      </c>
      <c r="W21" s="36">
        <v>45491.0</v>
      </c>
      <c r="X21" s="37">
        <v>36.0</v>
      </c>
      <c r="Y21" s="27">
        <v>360000.0</v>
      </c>
      <c r="Z21" s="15"/>
      <c r="AA21" s="36"/>
      <c r="AB21" s="37"/>
      <c r="AC21" s="27"/>
    </row>
    <row r="22">
      <c r="A22" s="38"/>
      <c r="B22" s="32"/>
      <c r="C22" s="14">
        <f>I22/E132</f>
        <v>0</v>
      </c>
      <c r="D22" s="42" t="s">
        <v>288</v>
      </c>
      <c r="E22" s="42" t="s">
        <v>289</v>
      </c>
      <c r="F22" s="44">
        <v>7.9</v>
      </c>
      <c r="G22" s="18">
        <v>5000.0</v>
      </c>
      <c r="H22" s="19">
        <f t="shared" si="1"/>
        <v>151900</v>
      </c>
      <c r="I22" s="20">
        <v>0.0</v>
      </c>
      <c r="J22" s="21">
        <v>30.38</v>
      </c>
      <c r="K22" s="22">
        <f>IFERROR(__xludf.DUMMYFUNCTION("GOOGLEFINANCE(E22,""changepct"")"),-1.12)</f>
        <v>-1.12</v>
      </c>
      <c r="L22" s="23">
        <f>IFERROR(__xludf.DUMMYFUNCTION("googlefinance(E22,""price"")"),32.8)</f>
        <v>32.8</v>
      </c>
      <c r="M22" s="21">
        <v>30.2</v>
      </c>
      <c r="N22" s="24">
        <f t="shared" si="8"/>
        <v>2.42</v>
      </c>
      <c r="O22" s="25">
        <f t="shared" si="7"/>
        <v>-0.005924950625</v>
      </c>
      <c r="P22" s="19">
        <f t="shared" si="5"/>
        <v>-900</v>
      </c>
      <c r="Q22" s="261"/>
      <c r="R22" s="20"/>
      <c r="S22" s="46"/>
      <c r="T22" s="27"/>
      <c r="U22" s="40"/>
      <c r="V22" s="15" t="s">
        <v>289</v>
      </c>
      <c r="W22" s="36">
        <v>45481.0</v>
      </c>
      <c r="X22" s="37">
        <v>30.2</v>
      </c>
      <c r="Y22" s="27">
        <v>151000.0</v>
      </c>
      <c r="Z22" s="15"/>
      <c r="AA22" s="36"/>
      <c r="AB22" s="37"/>
      <c r="AC22" s="27"/>
    </row>
    <row r="23">
      <c r="A23" s="38"/>
      <c r="B23" s="32"/>
      <c r="C23" s="14">
        <f>I23/E132</f>
        <v>0</v>
      </c>
      <c r="D23" s="42" t="s">
        <v>290</v>
      </c>
      <c r="E23" s="42" t="s">
        <v>291</v>
      </c>
      <c r="F23" s="44">
        <v>6.5</v>
      </c>
      <c r="G23" s="18">
        <v>200.0</v>
      </c>
      <c r="H23" s="19">
        <f t="shared" si="1"/>
        <v>163870</v>
      </c>
      <c r="I23" s="20">
        <v>0.0</v>
      </c>
      <c r="J23" s="21">
        <v>819.35</v>
      </c>
      <c r="K23" s="22">
        <f>IFERROR(__xludf.DUMMYFUNCTION("GOOGLEFINANCE(E23,""changepct"")"),-4.07)</f>
        <v>-4.07</v>
      </c>
      <c r="L23" s="23">
        <f>IFERROR(__xludf.DUMMYFUNCTION("googlefinance(E23,""price"")"),30.68)</f>
        <v>30.68</v>
      </c>
      <c r="M23" s="21">
        <v>484.59</v>
      </c>
      <c r="N23" s="24">
        <f t="shared" si="8"/>
        <v>-788.67</v>
      </c>
      <c r="O23" s="25">
        <f t="shared" si="7"/>
        <v>-0.4085677671</v>
      </c>
      <c r="P23" s="19">
        <f t="shared" si="5"/>
        <v>-66952</v>
      </c>
      <c r="Q23" s="261" t="s">
        <v>292</v>
      </c>
      <c r="R23" s="20"/>
      <c r="S23" s="46"/>
      <c r="T23" s="27">
        <v>9400.0</v>
      </c>
      <c r="U23" s="40"/>
      <c r="V23" s="15" t="s">
        <v>291</v>
      </c>
      <c r="W23" s="36">
        <v>45532.0</v>
      </c>
      <c r="X23" s="37">
        <v>484.59</v>
      </c>
      <c r="Y23" s="27">
        <v>96918.0</v>
      </c>
      <c r="Z23" s="15"/>
      <c r="AA23" s="36"/>
      <c r="AB23" s="37"/>
      <c r="AC23" s="27"/>
    </row>
    <row r="24">
      <c r="A24" s="38"/>
      <c r="B24" s="32"/>
      <c r="C24" s="14">
        <f>I24/E132</f>
        <v>0</v>
      </c>
      <c r="D24" s="42" t="s">
        <v>290</v>
      </c>
      <c r="E24" s="42" t="s">
        <v>291</v>
      </c>
      <c r="F24" s="44">
        <v>6.5</v>
      </c>
      <c r="G24" s="18">
        <v>300.0</v>
      </c>
      <c r="H24" s="19">
        <f t="shared" si="1"/>
        <v>211650</v>
      </c>
      <c r="I24" s="20">
        <v>0.0</v>
      </c>
      <c r="J24" s="21">
        <v>705.5</v>
      </c>
      <c r="K24" s="22">
        <f>IFERROR(__xludf.DUMMYFUNCTION("GOOGLEFINANCE(E24,""changepct"")"),-4.07)</f>
        <v>-4.07</v>
      </c>
      <c r="L24" s="23">
        <f>IFERROR(__xludf.DUMMYFUNCTION("googlefinance(E24,""price"")"),30.68)</f>
        <v>30.68</v>
      </c>
      <c r="M24" s="21">
        <v>484.59</v>
      </c>
      <c r="N24" s="24">
        <f t="shared" si="8"/>
        <v>-674.82</v>
      </c>
      <c r="O24" s="25">
        <f t="shared" si="7"/>
        <v>-0.3131254429</v>
      </c>
      <c r="P24" s="19">
        <f t="shared" si="5"/>
        <v>-66273</v>
      </c>
      <c r="Q24" s="47"/>
      <c r="R24" s="20"/>
      <c r="S24" s="37"/>
      <c r="T24" s="27"/>
      <c r="U24" s="29"/>
      <c r="V24" s="15" t="s">
        <v>291</v>
      </c>
      <c r="W24" s="36">
        <v>45532.0</v>
      </c>
      <c r="X24" s="37">
        <v>484.59</v>
      </c>
      <c r="Y24" s="27">
        <v>145377.0</v>
      </c>
      <c r="Z24" s="15" t="s">
        <v>291</v>
      </c>
      <c r="AA24" s="36">
        <v>45498.0</v>
      </c>
      <c r="AB24" s="37">
        <v>705.5</v>
      </c>
      <c r="AC24" s="27">
        <v>211650.0</v>
      </c>
    </row>
    <row r="25">
      <c r="A25" s="38"/>
      <c r="B25" s="32"/>
      <c r="C25" s="14">
        <f>I25/E132</f>
        <v>0</v>
      </c>
      <c r="D25" s="42" t="s">
        <v>290</v>
      </c>
      <c r="E25" s="42" t="s">
        <v>291</v>
      </c>
      <c r="F25" s="44">
        <v>7.4</v>
      </c>
      <c r="G25" s="18">
        <v>200.0</v>
      </c>
      <c r="H25" s="19">
        <f t="shared" si="1"/>
        <v>163870</v>
      </c>
      <c r="I25" s="20">
        <v>0.0</v>
      </c>
      <c r="J25" s="21">
        <v>819.35</v>
      </c>
      <c r="K25" s="22">
        <f>IFERROR(__xludf.DUMMYFUNCTION("GOOGLEFINANCE(E25,""changepct"")"),-4.07)</f>
        <v>-4.07</v>
      </c>
      <c r="L25" s="23">
        <f>IFERROR(__xludf.DUMMYFUNCTION("googlefinance(E25,""price"")"),30.68)</f>
        <v>30.68</v>
      </c>
      <c r="M25" s="21">
        <v>800.77</v>
      </c>
      <c r="N25" s="24">
        <f t="shared" si="8"/>
        <v>-788.67</v>
      </c>
      <c r="O25" s="25">
        <f t="shared" si="7"/>
        <v>-0.02267651187</v>
      </c>
      <c r="P25" s="19">
        <f t="shared" si="5"/>
        <v>-3716</v>
      </c>
      <c r="Q25" s="47"/>
      <c r="R25" s="20"/>
      <c r="S25" s="37"/>
      <c r="T25" s="27"/>
      <c r="U25" s="29"/>
      <c r="V25" s="15" t="s">
        <v>291</v>
      </c>
      <c r="W25" s="36">
        <v>45495.0</v>
      </c>
      <c r="X25" s="37">
        <v>800.77</v>
      </c>
      <c r="Y25" s="27">
        <v>160154.0</v>
      </c>
      <c r="Z25" s="15"/>
      <c r="AA25" s="36"/>
      <c r="AB25" s="37"/>
      <c r="AC25" s="27"/>
    </row>
    <row r="26">
      <c r="A26" s="38"/>
      <c r="B26" s="32"/>
      <c r="C26" s="14">
        <f>I26/E132</f>
        <v>0.04435075629</v>
      </c>
      <c r="D26" s="42" t="s">
        <v>50</v>
      </c>
      <c r="E26" s="42" t="s">
        <v>51</v>
      </c>
      <c r="F26" s="44">
        <v>8.0</v>
      </c>
      <c r="G26" s="18">
        <v>8000.0</v>
      </c>
      <c r="H26" s="19">
        <f t="shared" si="1"/>
        <v>988320</v>
      </c>
      <c r="I26" s="20">
        <f>H26+P26</f>
        <v>1099920</v>
      </c>
      <c r="J26" s="21">
        <v>123.54</v>
      </c>
      <c r="K26" s="22">
        <f>IFERROR(__xludf.DUMMYFUNCTION("GOOGLEFINANCE(E26,""changepct"")"),0.35)</f>
        <v>0.35</v>
      </c>
      <c r="L26" s="23">
        <f>IFERROR(__xludf.DUMMYFUNCTION("googlefinance(E26,""price"")"),137.49)</f>
        <v>137.49</v>
      </c>
      <c r="M26" s="21"/>
      <c r="N26" s="24">
        <f t="shared" si="8"/>
        <v>13.95</v>
      </c>
      <c r="O26" s="25">
        <f>L26/J26-1</f>
        <v>0.1129188927</v>
      </c>
      <c r="P26" s="19">
        <f t="shared" si="5"/>
        <v>111600</v>
      </c>
      <c r="Q26" s="47">
        <v>3.0E-4</v>
      </c>
      <c r="R26" s="20">
        <v>80.0</v>
      </c>
      <c r="S26" s="37"/>
      <c r="T26" s="27"/>
      <c r="U26" s="29"/>
      <c r="V26" s="15"/>
      <c r="W26" s="36"/>
      <c r="X26" s="37"/>
      <c r="Y26" s="27"/>
      <c r="Z26" s="15"/>
      <c r="AA26" s="36"/>
      <c r="AB26" s="37"/>
      <c r="AC26" s="27"/>
    </row>
    <row r="27">
      <c r="A27" s="38"/>
      <c r="B27" s="32"/>
      <c r="C27" s="14">
        <f>I27/E132</f>
        <v>0</v>
      </c>
      <c r="D27" s="42" t="s">
        <v>52</v>
      </c>
      <c r="E27" s="42" t="s">
        <v>51</v>
      </c>
      <c r="F27" s="44">
        <v>8.0</v>
      </c>
      <c r="G27" s="18">
        <v>2000.0</v>
      </c>
      <c r="H27" s="19">
        <f t="shared" si="1"/>
        <v>236600</v>
      </c>
      <c r="I27" s="20">
        <v>0.0</v>
      </c>
      <c r="J27" s="21">
        <v>118.3</v>
      </c>
      <c r="K27" s="22">
        <f>IFERROR(__xludf.DUMMYFUNCTION("GOOGLEFINANCE(E27,""changepct"")"),0.35)</f>
        <v>0.35</v>
      </c>
      <c r="L27" s="23">
        <f>IFERROR(__xludf.DUMMYFUNCTION("googlefinance(E27,""price"")"),137.49)</f>
        <v>137.49</v>
      </c>
      <c r="M27" s="21">
        <v>127.03</v>
      </c>
      <c r="N27" s="24">
        <f t="shared" si="8"/>
        <v>19.19</v>
      </c>
      <c r="O27" s="25">
        <f t="shared" ref="O27:O29" si="9">M27/J27-1</f>
        <v>0.07379543533</v>
      </c>
      <c r="P27" s="19">
        <f t="shared" si="5"/>
        <v>17460</v>
      </c>
      <c r="Q27" s="47"/>
      <c r="R27" s="20"/>
      <c r="S27" s="46"/>
      <c r="T27" s="27">
        <v>-5740.0</v>
      </c>
      <c r="U27" s="27"/>
      <c r="V27" s="15" t="s">
        <v>53</v>
      </c>
      <c r="W27" s="36">
        <v>45561.0</v>
      </c>
      <c r="X27" s="37">
        <v>127.03</v>
      </c>
      <c r="Y27" s="27">
        <v>254060.0</v>
      </c>
      <c r="Z27" s="15" t="s">
        <v>53</v>
      </c>
      <c r="AA27" s="36">
        <v>45491.0</v>
      </c>
      <c r="AB27" s="37">
        <v>118.3</v>
      </c>
      <c r="AC27" s="27">
        <v>236600.0</v>
      </c>
    </row>
    <row r="28">
      <c r="A28" s="38"/>
      <c r="B28" s="32"/>
      <c r="C28" s="14">
        <f>I28/E132</f>
        <v>0</v>
      </c>
      <c r="D28" s="42" t="s">
        <v>52</v>
      </c>
      <c r="E28" s="42" t="s">
        <v>51</v>
      </c>
      <c r="F28" s="44">
        <v>8.0</v>
      </c>
      <c r="G28" s="18">
        <v>1000.0</v>
      </c>
      <c r="H28" s="19">
        <f t="shared" si="1"/>
        <v>118900</v>
      </c>
      <c r="I28" s="20">
        <v>0.0</v>
      </c>
      <c r="J28" s="21">
        <v>118.9</v>
      </c>
      <c r="K28" s="22">
        <f>IFERROR(__xludf.DUMMYFUNCTION("GOOGLEFINANCE(E28,""changepct"")"),0.35)</f>
        <v>0.35</v>
      </c>
      <c r="L28" s="23">
        <f>IFERROR(__xludf.DUMMYFUNCTION("googlefinance(E28,""price"")"),137.49)</f>
        <v>137.49</v>
      </c>
      <c r="M28" s="21">
        <v>125.88</v>
      </c>
      <c r="N28" s="24">
        <f t="shared" si="8"/>
        <v>18.59</v>
      </c>
      <c r="O28" s="25">
        <f t="shared" si="9"/>
        <v>0.05870479394</v>
      </c>
      <c r="P28" s="19">
        <f t="shared" si="5"/>
        <v>6980</v>
      </c>
      <c r="Q28" s="47"/>
      <c r="R28" s="20"/>
      <c r="S28" s="37"/>
      <c r="T28" s="27"/>
      <c r="U28" s="29"/>
      <c r="V28" s="15" t="s">
        <v>53</v>
      </c>
      <c r="W28" s="36">
        <v>45532.0</v>
      </c>
      <c r="X28" s="37">
        <v>125.88</v>
      </c>
      <c r="Y28" s="27">
        <v>125880.0</v>
      </c>
      <c r="Z28" s="15" t="s">
        <v>53</v>
      </c>
      <c r="AA28" s="36">
        <v>45492.0</v>
      </c>
      <c r="AB28" s="37">
        <v>118.9</v>
      </c>
      <c r="AC28" s="27">
        <v>118900.0</v>
      </c>
    </row>
    <row r="29">
      <c r="A29" s="38"/>
      <c r="B29" s="32"/>
      <c r="C29" s="14">
        <f>I29/E132</f>
        <v>0</v>
      </c>
      <c r="D29" s="42" t="s">
        <v>52</v>
      </c>
      <c r="E29" s="42" t="s">
        <v>51</v>
      </c>
      <c r="F29" s="44">
        <v>8.0</v>
      </c>
      <c r="G29" s="18">
        <v>1000.0</v>
      </c>
      <c r="H29" s="19">
        <f t="shared" si="1"/>
        <v>114200</v>
      </c>
      <c r="I29" s="20">
        <v>0.0</v>
      </c>
      <c r="J29" s="21">
        <v>114.2</v>
      </c>
      <c r="K29" s="22">
        <f>IFERROR(__xludf.DUMMYFUNCTION("GOOGLEFINANCE(E29,""changepct"")"),0.35)</f>
        <v>0.35</v>
      </c>
      <c r="L29" s="23">
        <f>IFERROR(__xludf.DUMMYFUNCTION("googlefinance(E29,""price"")"),137.49)</f>
        <v>137.49</v>
      </c>
      <c r="M29" s="21">
        <v>125.88</v>
      </c>
      <c r="N29" s="24">
        <f t="shared" si="8"/>
        <v>23.29</v>
      </c>
      <c r="O29" s="25">
        <f t="shared" si="9"/>
        <v>0.1022767075</v>
      </c>
      <c r="P29" s="19">
        <f t="shared" si="5"/>
        <v>11680</v>
      </c>
      <c r="Q29" s="47"/>
      <c r="R29" s="20"/>
      <c r="S29" s="37"/>
      <c r="T29" s="27"/>
      <c r="U29" s="29"/>
      <c r="V29" s="15" t="s">
        <v>53</v>
      </c>
      <c r="W29" s="36">
        <v>45532.0</v>
      </c>
      <c r="X29" s="37">
        <v>125.88</v>
      </c>
      <c r="Y29" s="27">
        <v>125880.0</v>
      </c>
      <c r="Z29" s="15" t="s">
        <v>53</v>
      </c>
      <c r="AA29" s="36">
        <v>45497.0</v>
      </c>
      <c r="AB29" s="37">
        <v>114.2</v>
      </c>
      <c r="AC29" s="27">
        <v>114200.0</v>
      </c>
    </row>
    <row r="30">
      <c r="A30" s="38"/>
      <c r="B30" s="32"/>
      <c r="C30" s="14">
        <f>I30/E132</f>
        <v>0.0360962383</v>
      </c>
      <c r="D30" s="42" t="s">
        <v>293</v>
      </c>
      <c r="E30" s="42" t="s">
        <v>55</v>
      </c>
      <c r="F30" s="44">
        <v>8.1</v>
      </c>
      <c r="G30" s="18">
        <v>3800.0</v>
      </c>
      <c r="H30" s="19">
        <f t="shared" si="1"/>
        <v>608836</v>
      </c>
      <c r="I30" s="20">
        <f t="shared" ref="I30:I36" si="10">H30+P30</f>
        <v>895204</v>
      </c>
      <c r="J30" s="21">
        <v>160.22</v>
      </c>
      <c r="K30" s="22">
        <f>IFERROR(__xludf.DUMMYFUNCTION("GOOGLEFINANCE(E30,""changepct"")"),-2.55)</f>
        <v>-2.55</v>
      </c>
      <c r="L30" s="23">
        <f>IFERROR(__xludf.DUMMYFUNCTION("googlefinance(E30,""price"")"),235.58)</f>
        <v>235.58</v>
      </c>
      <c r="M30" s="21"/>
      <c r="N30" s="24">
        <f t="shared" si="8"/>
        <v>75.36</v>
      </c>
      <c r="O30" s="25">
        <f t="shared" ref="O30:O36" si="11">L30/J30-1</f>
        <v>0.4703532643</v>
      </c>
      <c r="P30" s="19">
        <f t="shared" si="5"/>
        <v>286368</v>
      </c>
      <c r="Q30" s="47">
        <v>0.013</v>
      </c>
      <c r="R30" s="20">
        <v>2014.0</v>
      </c>
      <c r="S30" s="37"/>
      <c r="T30" s="27"/>
      <c r="U30" s="29"/>
      <c r="V30" s="15"/>
      <c r="W30" s="36"/>
      <c r="X30" s="37"/>
      <c r="Y30" s="27"/>
      <c r="Z30" s="15" t="s">
        <v>55</v>
      </c>
      <c r="AA30" s="36">
        <v>45495.0</v>
      </c>
      <c r="AB30" s="37">
        <v>160.22</v>
      </c>
      <c r="AC30" s="27">
        <v>608836.0</v>
      </c>
    </row>
    <row r="31">
      <c r="A31" s="38"/>
      <c r="B31" s="32"/>
      <c r="C31" s="14">
        <f>I31/E132</f>
        <v>0.02089782218</v>
      </c>
      <c r="D31" s="42" t="s">
        <v>54</v>
      </c>
      <c r="E31" s="42" t="s">
        <v>55</v>
      </c>
      <c r="F31" s="44">
        <v>8.1</v>
      </c>
      <c r="G31" s="18">
        <v>2200.0</v>
      </c>
      <c r="H31" s="19">
        <f t="shared" si="1"/>
        <v>335566</v>
      </c>
      <c r="I31" s="20">
        <f t="shared" si="10"/>
        <v>518276</v>
      </c>
      <c r="J31" s="21">
        <v>152.53</v>
      </c>
      <c r="K31" s="22">
        <f>IFERROR(__xludf.DUMMYFUNCTION("GOOGLEFINANCE(E31,""changepct"")"),-2.55)</f>
        <v>-2.55</v>
      </c>
      <c r="L31" s="23">
        <f>IFERROR(__xludf.DUMMYFUNCTION("googlefinance(E31,""price"")"),235.58)</f>
        <v>235.58</v>
      </c>
      <c r="M31" s="21"/>
      <c r="N31" s="24">
        <f t="shared" si="8"/>
        <v>83.05</v>
      </c>
      <c r="O31" s="25">
        <f t="shared" si="11"/>
        <v>0.5444830525</v>
      </c>
      <c r="P31" s="19">
        <f t="shared" si="5"/>
        <v>182710</v>
      </c>
      <c r="Q31" s="47">
        <v>0.013</v>
      </c>
      <c r="R31" s="20">
        <v>1166.0</v>
      </c>
      <c r="S31" s="37"/>
      <c r="T31" s="27"/>
      <c r="U31" s="29"/>
      <c r="V31" s="15"/>
      <c r="W31" s="36"/>
      <c r="X31" s="37"/>
      <c r="Y31" s="27"/>
      <c r="Z31" s="15" t="s">
        <v>55</v>
      </c>
      <c r="AA31" s="36">
        <v>45497.0</v>
      </c>
      <c r="AB31" s="37">
        <v>152.53</v>
      </c>
      <c r="AC31" s="27">
        <v>335566.0</v>
      </c>
    </row>
    <row r="32">
      <c r="A32" s="38"/>
      <c r="B32" s="32"/>
      <c r="C32" s="14">
        <f>I32/E132</f>
        <v>0.09144984659</v>
      </c>
      <c r="D32" s="42" t="s">
        <v>56</v>
      </c>
      <c r="E32" s="42" t="s">
        <v>57</v>
      </c>
      <c r="F32" s="44">
        <v>7.7</v>
      </c>
      <c r="G32" s="18">
        <v>100000.0</v>
      </c>
      <c r="H32" s="19">
        <f t="shared" si="1"/>
        <v>395000</v>
      </c>
      <c r="I32" s="20">
        <f t="shared" si="10"/>
        <v>2268000</v>
      </c>
      <c r="J32" s="21">
        <v>3.95</v>
      </c>
      <c r="K32" s="22">
        <f>IFERROR(__xludf.DUMMYFUNCTION("GOOGLEFINANCE(E32,""changepct"")"),-5.3)</f>
        <v>-5.3</v>
      </c>
      <c r="L32" s="23">
        <f>IFERROR(__xludf.DUMMYFUNCTION("googlefinance(E32,""price"")"),22.68)</f>
        <v>22.68</v>
      </c>
      <c r="M32" s="21"/>
      <c r="N32" s="24">
        <f t="shared" si="8"/>
        <v>18.73</v>
      </c>
      <c r="O32" s="25">
        <f t="shared" si="11"/>
        <v>4.741772152</v>
      </c>
      <c r="P32" s="19">
        <f t="shared" si="5"/>
        <v>1873000</v>
      </c>
      <c r="Q32" s="47"/>
      <c r="R32" s="20"/>
      <c r="S32" s="37"/>
      <c r="T32" s="27">
        <v>9000.0</v>
      </c>
      <c r="U32" s="29"/>
      <c r="V32" s="15"/>
      <c r="W32" s="36"/>
      <c r="X32" s="37"/>
      <c r="Y32" s="27"/>
      <c r="Z32" s="15"/>
      <c r="AA32" s="36"/>
      <c r="AB32" s="37"/>
      <c r="AC32" s="27"/>
    </row>
    <row r="33">
      <c r="A33" s="38"/>
      <c r="B33" s="32"/>
      <c r="C33" s="14">
        <f>I33/E132</f>
        <v>0.02383986213</v>
      </c>
      <c r="D33" s="42" t="s">
        <v>294</v>
      </c>
      <c r="E33" s="42" t="s">
        <v>59</v>
      </c>
      <c r="F33" s="44">
        <v>8.0</v>
      </c>
      <c r="G33" s="18">
        <v>1000.0</v>
      </c>
      <c r="H33" s="19">
        <f t="shared" si="1"/>
        <v>504220</v>
      </c>
      <c r="I33" s="20">
        <f t="shared" si="10"/>
        <v>591240</v>
      </c>
      <c r="J33" s="21">
        <v>504.22</v>
      </c>
      <c r="K33" s="22">
        <f>IFERROR(__xludf.DUMMYFUNCTION("GOOGLEFINANCE(E33,""changepct"")"),-1.43)</f>
        <v>-1.43</v>
      </c>
      <c r="L33" s="23">
        <f>IFERROR(__xludf.DUMMYFUNCTION("googlefinance(E33,""price"")"),591.24)</f>
        <v>591.24</v>
      </c>
      <c r="M33" s="21"/>
      <c r="N33" s="24">
        <f t="shared" si="8"/>
        <v>87.02</v>
      </c>
      <c r="O33" s="25">
        <f t="shared" si="11"/>
        <v>0.1725833961</v>
      </c>
      <c r="P33" s="19">
        <f t="shared" si="5"/>
        <v>87020</v>
      </c>
      <c r="Q33" s="47">
        <v>0.0035</v>
      </c>
      <c r="R33" s="20">
        <v>500.0</v>
      </c>
      <c r="S33" s="37"/>
      <c r="T33" s="27">
        <v>2150.0</v>
      </c>
      <c r="U33" s="29"/>
      <c r="V33" s="15"/>
      <c r="W33" s="36"/>
      <c r="X33" s="37"/>
      <c r="Y33" s="27"/>
      <c r="Z33" s="15"/>
      <c r="AA33" s="36"/>
      <c r="AB33" s="37"/>
      <c r="AC33" s="27"/>
    </row>
    <row r="34">
      <c r="A34" s="38"/>
      <c r="B34" s="32"/>
      <c r="C34" s="14">
        <f>I34/E132</f>
        <v>0.01851899715</v>
      </c>
      <c r="D34" s="42" t="s">
        <v>60</v>
      </c>
      <c r="E34" s="42" t="s">
        <v>61</v>
      </c>
      <c r="F34" s="44">
        <v>8.1</v>
      </c>
      <c r="G34" s="18">
        <v>4000.0</v>
      </c>
      <c r="H34" s="19">
        <f t="shared" si="1"/>
        <v>432800</v>
      </c>
      <c r="I34" s="20">
        <f t="shared" si="10"/>
        <v>459280</v>
      </c>
      <c r="J34" s="21">
        <v>108.2</v>
      </c>
      <c r="K34" s="22">
        <f>IFERROR(__xludf.DUMMYFUNCTION("GOOGLEFINANCE(E34,""changepct"")"),-2.14)</f>
        <v>-2.14</v>
      </c>
      <c r="L34" s="23">
        <f>IFERROR(__xludf.DUMMYFUNCTION("googlefinance(E34,""price"")"),114.82)</f>
        <v>114.82</v>
      </c>
      <c r="M34" s="21"/>
      <c r="N34" s="24">
        <f t="shared" si="8"/>
        <v>6.62</v>
      </c>
      <c r="O34" s="25">
        <f t="shared" si="11"/>
        <v>0.06118299445</v>
      </c>
      <c r="P34" s="19">
        <f t="shared" si="5"/>
        <v>26480</v>
      </c>
      <c r="Q34" s="47">
        <v>0.015</v>
      </c>
      <c r="R34" s="20"/>
      <c r="S34" s="37"/>
      <c r="T34" s="27"/>
      <c r="U34" s="29"/>
      <c r="V34" s="15"/>
      <c r="W34" s="36"/>
      <c r="X34" s="37"/>
      <c r="Y34" s="27"/>
      <c r="Z34" s="15" t="s">
        <v>61</v>
      </c>
      <c r="AA34" s="36">
        <v>45533.0</v>
      </c>
      <c r="AB34" s="37">
        <v>108.2</v>
      </c>
      <c r="AC34" s="27">
        <v>432800.0</v>
      </c>
    </row>
    <row r="35">
      <c r="A35" s="38"/>
      <c r="B35" s="32"/>
      <c r="C35" s="14">
        <f>I35/E132</f>
        <v>0.01388924786</v>
      </c>
      <c r="D35" s="42" t="s">
        <v>62</v>
      </c>
      <c r="E35" s="42" t="s">
        <v>61</v>
      </c>
      <c r="F35" s="44">
        <v>8.1</v>
      </c>
      <c r="G35" s="18">
        <v>3000.0</v>
      </c>
      <c r="H35" s="19">
        <f t="shared" si="1"/>
        <v>413730</v>
      </c>
      <c r="I35" s="20">
        <f t="shared" si="10"/>
        <v>344460</v>
      </c>
      <c r="J35" s="21">
        <v>137.91</v>
      </c>
      <c r="K35" s="22">
        <f>IFERROR(__xludf.DUMMYFUNCTION("GOOGLEFINANCE(E35,""changepct"")"),-2.14)</f>
        <v>-2.14</v>
      </c>
      <c r="L35" s="23">
        <f>IFERROR(__xludf.DUMMYFUNCTION("googlefinance(E35,""price"")"),114.82)</f>
        <v>114.82</v>
      </c>
      <c r="M35" s="21"/>
      <c r="N35" s="24">
        <f t="shared" si="8"/>
        <v>-23.09</v>
      </c>
      <c r="O35" s="25">
        <f t="shared" si="11"/>
        <v>-0.1674280328</v>
      </c>
      <c r="P35" s="19">
        <f t="shared" si="5"/>
        <v>-69270</v>
      </c>
      <c r="Q35" s="47">
        <v>0.015</v>
      </c>
      <c r="R35" s="20"/>
      <c r="S35" s="37"/>
      <c r="T35" s="27"/>
      <c r="U35" s="29"/>
      <c r="V35" s="15"/>
      <c r="W35" s="36"/>
      <c r="X35" s="37"/>
      <c r="Y35" s="27"/>
      <c r="Z35" s="15"/>
      <c r="AA35" s="36"/>
      <c r="AB35" s="37"/>
      <c r="AC35" s="27"/>
    </row>
    <row r="36">
      <c r="A36" s="38"/>
      <c r="B36" s="32"/>
      <c r="C36" s="14">
        <f>I36/E132</f>
        <v>0.009259498577</v>
      </c>
      <c r="D36" s="42" t="s">
        <v>62</v>
      </c>
      <c r="E36" s="42" t="s">
        <v>61</v>
      </c>
      <c r="F36" s="44">
        <v>8.1</v>
      </c>
      <c r="G36" s="18">
        <v>2000.0</v>
      </c>
      <c r="H36" s="19">
        <f t="shared" si="1"/>
        <v>249100</v>
      </c>
      <c r="I36" s="20">
        <f t="shared" si="10"/>
        <v>229640</v>
      </c>
      <c r="J36" s="21">
        <v>124.55</v>
      </c>
      <c r="K36" s="22">
        <f>IFERROR(__xludf.DUMMYFUNCTION("GOOGLEFINANCE(E36,""changepct"")"),-2.14)</f>
        <v>-2.14</v>
      </c>
      <c r="L36" s="23">
        <f>IFERROR(__xludf.DUMMYFUNCTION("googlefinance(E36,""price"")"),114.82)</f>
        <v>114.82</v>
      </c>
      <c r="M36" s="21"/>
      <c r="N36" s="24">
        <f t="shared" si="8"/>
        <v>-9.73</v>
      </c>
      <c r="O36" s="25">
        <f t="shared" si="11"/>
        <v>-0.07812123645</v>
      </c>
      <c r="P36" s="19">
        <f t="shared" si="5"/>
        <v>-19460</v>
      </c>
      <c r="Q36" s="47">
        <v>0.015</v>
      </c>
      <c r="R36" s="20"/>
      <c r="S36" s="37"/>
      <c r="T36" s="27"/>
      <c r="U36" s="29"/>
      <c r="V36" s="15"/>
      <c r="W36" s="36"/>
      <c r="X36" s="37"/>
      <c r="Y36" s="27"/>
      <c r="Z36" s="15" t="s">
        <v>61</v>
      </c>
      <c r="AA36" s="36">
        <v>45491.0</v>
      </c>
      <c r="AB36" s="37">
        <v>124.55</v>
      </c>
      <c r="AC36" s="27">
        <v>249100.0</v>
      </c>
    </row>
    <row r="37">
      <c r="A37" s="38"/>
      <c r="B37" s="32"/>
      <c r="C37" s="14">
        <f>I37/E132</f>
        <v>0</v>
      </c>
      <c r="D37" s="42" t="s">
        <v>62</v>
      </c>
      <c r="E37" s="42" t="s">
        <v>61</v>
      </c>
      <c r="F37" s="44">
        <v>8.1</v>
      </c>
      <c r="G37" s="18">
        <v>2000.0</v>
      </c>
      <c r="H37" s="19">
        <f t="shared" si="1"/>
        <v>224680</v>
      </c>
      <c r="I37" s="20">
        <v>0.0</v>
      </c>
      <c r="J37" s="21">
        <v>112.34</v>
      </c>
      <c r="K37" s="22">
        <f>IFERROR(__xludf.DUMMYFUNCTION("GOOGLEFINANCE(E37,""changepct"")"),-2.14)</f>
        <v>-2.14</v>
      </c>
      <c r="L37" s="23">
        <f>IFERROR(__xludf.DUMMYFUNCTION("googlefinance(E37,""price"")"),114.82)</f>
        <v>114.82</v>
      </c>
      <c r="M37" s="21">
        <v>124.68</v>
      </c>
      <c r="N37" s="24">
        <f t="shared" si="8"/>
        <v>2.48</v>
      </c>
      <c r="O37" s="25">
        <f t="shared" ref="O37:O40" si="12">M37/J37-1</f>
        <v>0.109845113</v>
      </c>
      <c r="P37" s="19">
        <f t="shared" si="5"/>
        <v>24680</v>
      </c>
      <c r="Q37" s="47"/>
      <c r="R37" s="20"/>
      <c r="S37" s="37"/>
      <c r="T37" s="27"/>
      <c r="U37" s="29"/>
      <c r="V37" s="15" t="s">
        <v>61</v>
      </c>
      <c r="W37" s="36">
        <v>45561.0</v>
      </c>
      <c r="X37" s="37">
        <v>124.68</v>
      </c>
      <c r="Y37" s="27">
        <v>249360.0</v>
      </c>
      <c r="Z37" s="15" t="s">
        <v>61</v>
      </c>
      <c r="AA37" s="36">
        <v>45498.0</v>
      </c>
      <c r="AB37" s="37">
        <v>112.34</v>
      </c>
      <c r="AC37" s="27">
        <v>224680.0</v>
      </c>
    </row>
    <row r="38">
      <c r="A38" s="38"/>
      <c r="B38" s="32"/>
      <c r="C38" s="14">
        <f>I38/E132</f>
        <v>0</v>
      </c>
      <c r="D38" s="42" t="s">
        <v>62</v>
      </c>
      <c r="E38" s="42" t="s">
        <v>61</v>
      </c>
      <c r="F38" s="44">
        <v>8.1</v>
      </c>
      <c r="G38" s="18">
        <v>1000.0</v>
      </c>
      <c r="H38" s="19">
        <f t="shared" si="1"/>
        <v>116420</v>
      </c>
      <c r="I38" s="20">
        <v>0.0</v>
      </c>
      <c r="J38" s="21">
        <v>116.42</v>
      </c>
      <c r="K38" s="22">
        <f>IFERROR(__xludf.DUMMYFUNCTION("GOOGLEFINANCE(E38,""changepct"")"),-2.14)</f>
        <v>-2.14</v>
      </c>
      <c r="L38" s="23">
        <f>IFERROR(__xludf.DUMMYFUNCTION("googlefinance(E38,""price"")"),114.82)</f>
        <v>114.82</v>
      </c>
      <c r="M38" s="21">
        <v>124.68</v>
      </c>
      <c r="N38" s="24">
        <f t="shared" si="8"/>
        <v>-1.6</v>
      </c>
      <c r="O38" s="25">
        <f t="shared" si="12"/>
        <v>0.07095000859</v>
      </c>
      <c r="P38" s="19">
        <f t="shared" si="5"/>
        <v>8260</v>
      </c>
      <c r="Q38" s="47"/>
      <c r="R38" s="20"/>
      <c r="S38" s="37"/>
      <c r="T38" s="27"/>
      <c r="U38" s="29"/>
      <c r="V38" s="15" t="s">
        <v>61</v>
      </c>
      <c r="W38" s="36">
        <v>45561.0</v>
      </c>
      <c r="X38" s="37">
        <v>124.68</v>
      </c>
      <c r="Y38" s="27">
        <v>124680.0</v>
      </c>
      <c r="Z38" s="15" t="s">
        <v>61</v>
      </c>
      <c r="AA38" s="36">
        <v>45497.0</v>
      </c>
      <c r="AB38" s="37">
        <v>116.42</v>
      </c>
      <c r="AC38" s="27">
        <v>116420.0</v>
      </c>
    </row>
    <row r="39">
      <c r="A39" s="38"/>
      <c r="B39" s="32"/>
      <c r="C39" s="14">
        <f>I39/E132</f>
        <v>0</v>
      </c>
      <c r="D39" s="42" t="s">
        <v>295</v>
      </c>
      <c r="E39" s="42" t="s">
        <v>72</v>
      </c>
      <c r="F39" s="44">
        <v>7.7</v>
      </c>
      <c r="G39" s="18">
        <v>2000.0</v>
      </c>
      <c r="H39" s="19">
        <f t="shared" si="1"/>
        <v>384380</v>
      </c>
      <c r="I39" s="20">
        <v>0.0</v>
      </c>
      <c r="J39" s="21">
        <v>192.19</v>
      </c>
      <c r="K39" s="22">
        <f>IFERROR(__xludf.DUMMYFUNCTION("GOOGLEFINANCE(E39,""changepct"")"),-0.77)</f>
        <v>-0.77</v>
      </c>
      <c r="L39" s="23">
        <f>IFERROR(__xludf.DUMMYFUNCTION("googlefinance(E39,""price"")"),183.13)</f>
        <v>183.13</v>
      </c>
      <c r="M39" s="21">
        <v>196.8</v>
      </c>
      <c r="N39" s="24">
        <f t="shared" si="8"/>
        <v>-9.06</v>
      </c>
      <c r="O39" s="25">
        <f t="shared" si="12"/>
        <v>0.02398667985</v>
      </c>
      <c r="P39" s="19">
        <f t="shared" si="5"/>
        <v>9220</v>
      </c>
      <c r="Q39" s="47"/>
      <c r="R39" s="20"/>
      <c r="S39" s="37"/>
      <c r="T39" s="27"/>
      <c r="U39" s="29"/>
      <c r="V39" s="15" t="s">
        <v>72</v>
      </c>
      <c r="W39" s="36">
        <v>45482.0</v>
      </c>
      <c r="X39" s="37">
        <v>196.8</v>
      </c>
      <c r="Y39" s="27">
        <v>393600.0</v>
      </c>
      <c r="Z39" s="15"/>
      <c r="AA39" s="36"/>
      <c r="AB39" s="37"/>
      <c r="AC39" s="27"/>
    </row>
    <row r="40">
      <c r="A40" s="38"/>
      <c r="B40" s="32"/>
      <c r="C40" s="14">
        <f>I40/E132</f>
        <v>0</v>
      </c>
      <c r="D40" s="42" t="s">
        <v>296</v>
      </c>
      <c r="E40" s="42" t="s">
        <v>297</v>
      </c>
      <c r="F40" s="44">
        <v>7.8</v>
      </c>
      <c r="G40" s="18">
        <v>1000.0</v>
      </c>
      <c r="H40" s="19">
        <f t="shared" si="1"/>
        <v>257100</v>
      </c>
      <c r="I40" s="20">
        <v>0.0</v>
      </c>
      <c r="J40" s="21">
        <v>257.1</v>
      </c>
      <c r="K40" s="22">
        <f>IFERROR(__xludf.DUMMYFUNCTION("GOOGLEFINANCE(E40,""changepct"")"),-0.8)</f>
        <v>-0.8</v>
      </c>
      <c r="L40" s="23">
        <f>IFERROR(__xludf.DUMMYFUNCTION("googlefinance(E40,""price"")"),335.74)</f>
        <v>335.74</v>
      </c>
      <c r="M40" s="21">
        <v>253.15</v>
      </c>
      <c r="N40" s="24">
        <f t="shared" si="8"/>
        <v>78.64</v>
      </c>
      <c r="O40" s="25">
        <f t="shared" si="12"/>
        <v>-0.01536367172</v>
      </c>
      <c r="P40" s="19">
        <f t="shared" si="5"/>
        <v>-3950</v>
      </c>
      <c r="Q40" s="47"/>
      <c r="R40" s="20"/>
      <c r="S40" s="37"/>
      <c r="T40" s="27">
        <v>2100.0</v>
      </c>
      <c r="U40" s="29"/>
      <c r="V40" s="15" t="s">
        <v>297</v>
      </c>
      <c r="W40" s="36">
        <v>45484.0</v>
      </c>
      <c r="X40" s="37">
        <v>253.15</v>
      </c>
      <c r="Y40" s="27">
        <v>253150.0</v>
      </c>
      <c r="Z40" s="15"/>
      <c r="AA40" s="36"/>
      <c r="AB40" s="37"/>
      <c r="AC40" s="27"/>
    </row>
    <row r="41">
      <c r="A41" s="38"/>
      <c r="B41" s="32"/>
      <c r="C41" s="14">
        <f>I41/E132</f>
        <v>0.03124334816</v>
      </c>
      <c r="D41" s="42" t="s">
        <v>63</v>
      </c>
      <c r="E41" s="42" t="s">
        <v>64</v>
      </c>
      <c r="F41" s="44">
        <v>7.8</v>
      </c>
      <c r="G41" s="18">
        <v>5000.0</v>
      </c>
      <c r="H41" s="19">
        <f t="shared" si="1"/>
        <v>574450</v>
      </c>
      <c r="I41" s="20">
        <f>H41+P41</f>
        <v>774850</v>
      </c>
      <c r="J41" s="21">
        <v>114.89</v>
      </c>
      <c r="K41" s="22">
        <f>IFERROR(__xludf.DUMMYFUNCTION("GOOGLEFINANCE(E41,""changepct"")"),-2.32)</f>
        <v>-2.32</v>
      </c>
      <c r="L41" s="23">
        <f>IFERROR(__xludf.DUMMYFUNCTION("googlefinance(E41,""price"")"),154.97)</f>
        <v>154.97</v>
      </c>
      <c r="M41" s="21"/>
      <c r="N41" s="24">
        <f t="shared" si="8"/>
        <v>40.08</v>
      </c>
      <c r="O41" s="25">
        <f>L41/J41-1</f>
        <v>0.3488554269</v>
      </c>
      <c r="P41" s="19">
        <f t="shared" si="5"/>
        <v>200400</v>
      </c>
      <c r="Q41" s="47"/>
      <c r="R41" s="20"/>
      <c r="S41" s="37"/>
      <c r="T41" s="27"/>
      <c r="U41" s="29"/>
      <c r="V41" s="15"/>
      <c r="W41" s="36"/>
      <c r="X41" s="37"/>
      <c r="Y41" s="27"/>
      <c r="Z41" s="15" t="s">
        <v>64</v>
      </c>
      <c r="AA41" s="36">
        <v>45561.0</v>
      </c>
      <c r="AB41" s="37">
        <v>114.89</v>
      </c>
      <c r="AC41" s="27">
        <v>574450.0</v>
      </c>
    </row>
    <row r="42">
      <c r="A42" s="38"/>
      <c r="B42" s="32"/>
      <c r="C42" s="14">
        <f>I42/E132</f>
        <v>0</v>
      </c>
      <c r="D42" s="42" t="s">
        <v>63</v>
      </c>
      <c r="E42" s="42" t="s">
        <v>64</v>
      </c>
      <c r="F42" s="44">
        <v>7.8</v>
      </c>
      <c r="G42" s="18">
        <v>1500.0</v>
      </c>
      <c r="H42" s="19">
        <f t="shared" si="1"/>
        <v>202635</v>
      </c>
      <c r="I42" s="20">
        <v>0.0</v>
      </c>
      <c r="J42" s="21">
        <v>135.09</v>
      </c>
      <c r="K42" s="22">
        <f>IFERROR(__xludf.DUMMYFUNCTION("GOOGLEFINANCE(E42,""changepct"")"),-2.32)</f>
        <v>-2.32</v>
      </c>
      <c r="L42" s="23">
        <f>IFERROR(__xludf.DUMMYFUNCTION("googlefinance(E42,""price"")"),154.97)</f>
        <v>154.97</v>
      </c>
      <c r="M42" s="21">
        <v>143.68</v>
      </c>
      <c r="N42" s="24">
        <f t="shared" si="8"/>
        <v>19.88</v>
      </c>
      <c r="O42" s="25">
        <f t="shared" ref="O42:O43" si="13">M42/J42-1</f>
        <v>0.06358723814</v>
      </c>
      <c r="P42" s="19">
        <f t="shared" si="5"/>
        <v>12885</v>
      </c>
      <c r="Q42" s="47"/>
      <c r="R42" s="20"/>
      <c r="S42" s="37"/>
      <c r="T42" s="27"/>
      <c r="U42" s="29"/>
      <c r="V42" s="15" t="s">
        <v>64</v>
      </c>
      <c r="W42" s="36">
        <v>45478.0</v>
      </c>
      <c r="X42" s="37">
        <v>143.68</v>
      </c>
      <c r="Y42" s="27">
        <v>215520.0</v>
      </c>
      <c r="Z42" s="15"/>
      <c r="AA42" s="36"/>
      <c r="AB42" s="37"/>
      <c r="AC42" s="27"/>
    </row>
    <row r="43">
      <c r="A43" s="38"/>
      <c r="B43" s="32"/>
      <c r="C43" s="14">
        <f>I43/E132</f>
        <v>0</v>
      </c>
      <c r="D43" s="42" t="s">
        <v>298</v>
      </c>
      <c r="E43" s="42" t="s">
        <v>299</v>
      </c>
      <c r="F43" s="44">
        <v>7.7</v>
      </c>
      <c r="G43" s="18">
        <v>5000.0</v>
      </c>
      <c r="H43" s="19">
        <f t="shared" si="1"/>
        <v>359350</v>
      </c>
      <c r="I43" s="20">
        <v>0.0</v>
      </c>
      <c r="J43" s="21">
        <v>71.87</v>
      </c>
      <c r="K43" s="22">
        <f>IFERROR(__xludf.DUMMYFUNCTION("GOOGLEFINANCE(E43,""changepct"")"),-1.67)</f>
        <v>-1.67</v>
      </c>
      <c r="L43" s="23">
        <f>IFERROR(__xludf.DUMMYFUNCTION("googlefinance(E43,""price"")"),87.48)</f>
        <v>87.48</v>
      </c>
      <c r="M43" s="21">
        <v>66.1</v>
      </c>
      <c r="N43" s="24">
        <f t="shared" si="8"/>
        <v>15.61</v>
      </c>
      <c r="O43" s="25">
        <f t="shared" si="13"/>
        <v>-0.08028384583</v>
      </c>
      <c r="P43" s="19">
        <f t="shared" si="5"/>
        <v>-28850</v>
      </c>
      <c r="Q43" s="47"/>
      <c r="R43" s="20"/>
      <c r="S43" s="37"/>
      <c r="T43" s="27"/>
      <c r="U43" s="29"/>
      <c r="V43" s="15" t="s">
        <v>299</v>
      </c>
      <c r="W43" s="36">
        <v>45561.0</v>
      </c>
      <c r="X43" s="37">
        <v>66.1</v>
      </c>
      <c r="Y43" s="27">
        <v>330500.0</v>
      </c>
      <c r="Z43" s="15" t="s">
        <v>299</v>
      </c>
      <c r="AA43" s="36">
        <v>45489.0</v>
      </c>
      <c r="AB43" s="37">
        <v>71.87</v>
      </c>
      <c r="AC43" s="27">
        <v>359350.0</v>
      </c>
    </row>
    <row r="44">
      <c r="A44" s="38"/>
      <c r="B44" s="32"/>
      <c r="C44" s="14">
        <f>I44/E132</f>
        <v>0.0140848086</v>
      </c>
      <c r="D44" s="42" t="s">
        <v>65</v>
      </c>
      <c r="E44" s="42" t="s">
        <v>66</v>
      </c>
      <c r="F44" s="44">
        <v>7.8</v>
      </c>
      <c r="G44" s="18">
        <v>1000.0</v>
      </c>
      <c r="H44" s="19">
        <f t="shared" si="1"/>
        <v>285100</v>
      </c>
      <c r="I44" s="20">
        <f t="shared" ref="I44:I46" si="14">H44+P44</f>
        <v>349310</v>
      </c>
      <c r="J44" s="21">
        <v>285.1</v>
      </c>
      <c r="K44" s="22">
        <f>IFERROR(__xludf.DUMMYFUNCTION("GOOGLEFINANCE(E44,""changepct"")"),-1.6)</f>
        <v>-1.6</v>
      </c>
      <c r="L44" s="23">
        <f>IFERROR(__xludf.DUMMYFUNCTION("googlefinance(E44,""price"")"),349.31)</f>
        <v>349.31</v>
      </c>
      <c r="M44" s="21"/>
      <c r="N44" s="24">
        <f t="shared" si="8"/>
        <v>64.21</v>
      </c>
      <c r="O44" s="25">
        <f t="shared" ref="O44:O46" si="15">L44/J44-1</f>
        <v>0.2252192213</v>
      </c>
      <c r="P44" s="19">
        <f t="shared" si="5"/>
        <v>64210</v>
      </c>
      <c r="Q44" s="47"/>
      <c r="R44" s="20"/>
      <c r="S44" s="37"/>
      <c r="T44" s="27"/>
      <c r="U44" s="29"/>
      <c r="V44" s="15"/>
      <c r="W44" s="36"/>
      <c r="X44" s="37"/>
      <c r="Y44" s="27"/>
      <c r="Z44" s="15" t="s">
        <v>66</v>
      </c>
      <c r="AA44" s="36">
        <v>45561.0</v>
      </c>
      <c r="AB44" s="37">
        <v>285.1</v>
      </c>
      <c r="AC44" s="27">
        <v>285100.0</v>
      </c>
    </row>
    <row r="45">
      <c r="A45" s="38"/>
      <c r="B45" s="32"/>
      <c r="C45" s="14">
        <f>I45/E132</f>
        <v>0.01031955875</v>
      </c>
      <c r="D45" s="42" t="s">
        <v>67</v>
      </c>
      <c r="E45" s="42" t="s">
        <v>68</v>
      </c>
      <c r="F45" s="44">
        <v>7.9</v>
      </c>
      <c r="G45" s="18">
        <v>3000.0</v>
      </c>
      <c r="H45" s="19">
        <f t="shared" si="1"/>
        <v>345690</v>
      </c>
      <c r="I45" s="20">
        <f t="shared" si="14"/>
        <v>255930</v>
      </c>
      <c r="J45" s="21">
        <v>115.23</v>
      </c>
      <c r="K45" s="22">
        <f>IFERROR(__xludf.DUMMYFUNCTION("GOOGLEFINANCE(E45,""changepct"")"),-3.62)</f>
        <v>-3.62</v>
      </c>
      <c r="L45" s="23">
        <f>IFERROR(__xludf.DUMMYFUNCTION("googlefinance(E45,""price"")"),85.31)</f>
        <v>85.31</v>
      </c>
      <c r="M45" s="21"/>
      <c r="N45" s="24">
        <f t="shared" si="8"/>
        <v>-29.92</v>
      </c>
      <c r="O45" s="25">
        <f t="shared" si="15"/>
        <v>-0.2596546038</v>
      </c>
      <c r="P45" s="19">
        <f t="shared" si="5"/>
        <v>-89760</v>
      </c>
      <c r="Q45" s="47">
        <v>0.0043</v>
      </c>
      <c r="R45" s="20"/>
      <c r="S45" s="37"/>
      <c r="T45" s="27"/>
      <c r="U45" s="29"/>
      <c r="V45" s="15"/>
      <c r="W45" s="36"/>
      <c r="X45" s="37"/>
      <c r="Y45" s="27"/>
      <c r="Z45" s="15" t="s">
        <v>68</v>
      </c>
      <c r="AA45" s="36">
        <v>45491.0</v>
      </c>
      <c r="AB45" s="37">
        <v>115.23</v>
      </c>
      <c r="AC45" s="27">
        <v>345690.0</v>
      </c>
    </row>
    <row r="46">
      <c r="A46" s="38"/>
      <c r="B46" s="32"/>
      <c r="C46" s="14">
        <f>I46/E132</f>
        <v>0.006879705831</v>
      </c>
      <c r="D46" s="42" t="s">
        <v>67</v>
      </c>
      <c r="E46" s="42" t="s">
        <v>68</v>
      </c>
      <c r="F46" s="44">
        <v>7.9</v>
      </c>
      <c r="G46" s="18">
        <v>2000.0</v>
      </c>
      <c r="H46" s="19">
        <f t="shared" si="1"/>
        <v>220900</v>
      </c>
      <c r="I46" s="20">
        <f t="shared" si="14"/>
        <v>170620</v>
      </c>
      <c r="J46" s="21">
        <v>110.45</v>
      </c>
      <c r="K46" s="22">
        <f>IFERROR(__xludf.DUMMYFUNCTION("GOOGLEFINANCE(E46,""changepct"")"),-3.62)</f>
        <v>-3.62</v>
      </c>
      <c r="L46" s="23">
        <f>IFERROR(__xludf.DUMMYFUNCTION("googlefinance(E46,""price"")"),85.31)</f>
        <v>85.31</v>
      </c>
      <c r="M46" s="21"/>
      <c r="N46" s="24">
        <f t="shared" si="8"/>
        <v>-25.14</v>
      </c>
      <c r="O46" s="25">
        <f t="shared" si="15"/>
        <v>-0.2276143051</v>
      </c>
      <c r="P46" s="19">
        <f t="shared" si="5"/>
        <v>-50280</v>
      </c>
      <c r="Q46" s="47"/>
      <c r="R46" s="20"/>
      <c r="S46" s="37"/>
      <c r="T46" s="27"/>
      <c r="U46" s="29"/>
      <c r="V46" s="15"/>
      <c r="W46" s="36"/>
      <c r="X46" s="37"/>
      <c r="Y46" s="27"/>
      <c r="Z46" s="15" t="s">
        <v>68</v>
      </c>
      <c r="AA46" s="36">
        <v>45497.0</v>
      </c>
      <c r="AB46" s="37">
        <v>110.45</v>
      </c>
      <c r="AC46" s="27">
        <v>220900.0</v>
      </c>
    </row>
    <row r="47">
      <c r="A47" s="38"/>
      <c r="B47" s="32"/>
      <c r="C47" s="14">
        <f>I47/E132</f>
        <v>0</v>
      </c>
      <c r="D47" s="42" t="s">
        <v>67</v>
      </c>
      <c r="E47" s="42" t="s">
        <v>68</v>
      </c>
      <c r="F47" s="44">
        <v>7.9</v>
      </c>
      <c r="G47" s="18">
        <v>2000.0</v>
      </c>
      <c r="H47" s="19">
        <f t="shared" si="1"/>
        <v>216400</v>
      </c>
      <c r="I47" s="20">
        <v>0.0</v>
      </c>
      <c r="J47" s="21">
        <v>108.2</v>
      </c>
      <c r="K47" s="22">
        <f>IFERROR(__xludf.DUMMYFUNCTION("GOOGLEFINANCE(E47,""changepct"")"),-3.62)</f>
        <v>-3.62</v>
      </c>
      <c r="L47" s="23">
        <f>IFERROR(__xludf.DUMMYFUNCTION("googlefinance(E47,""price"")"),85.31)</f>
        <v>85.31</v>
      </c>
      <c r="M47" s="21">
        <v>111.87</v>
      </c>
      <c r="N47" s="24">
        <f t="shared" si="8"/>
        <v>-22.89</v>
      </c>
      <c r="O47" s="25">
        <f>M47/J47-1</f>
        <v>0.03391866913</v>
      </c>
      <c r="P47" s="19">
        <f t="shared" si="5"/>
        <v>7340</v>
      </c>
      <c r="Q47" s="47"/>
      <c r="R47" s="20"/>
      <c r="S47" s="37"/>
      <c r="T47" s="27"/>
      <c r="U47" s="29"/>
      <c r="V47" s="15" t="s">
        <v>68</v>
      </c>
      <c r="W47" s="36">
        <v>45561.0</v>
      </c>
      <c r="X47" s="37">
        <v>111.87</v>
      </c>
      <c r="Y47" s="27">
        <v>223740.0</v>
      </c>
      <c r="Z47" s="15" t="s">
        <v>68</v>
      </c>
      <c r="AA47" s="36">
        <v>45498.0</v>
      </c>
      <c r="AB47" s="37">
        <v>108.2</v>
      </c>
      <c r="AC47" s="27">
        <v>216400.0</v>
      </c>
    </row>
    <row r="48">
      <c r="A48" s="38"/>
      <c r="B48" s="32"/>
      <c r="C48" s="14">
        <f>I48/E132</f>
        <v>0.02510032165</v>
      </c>
      <c r="D48" s="15" t="s">
        <v>69</v>
      </c>
      <c r="E48" s="15" t="s">
        <v>70</v>
      </c>
      <c r="F48" s="17">
        <v>7.5</v>
      </c>
      <c r="G48" s="18">
        <v>50000.0</v>
      </c>
      <c r="H48" s="19">
        <f t="shared" si="1"/>
        <v>391000</v>
      </c>
      <c r="I48" s="20">
        <f>H48+P48</f>
        <v>622500</v>
      </c>
      <c r="J48" s="21">
        <v>7.82</v>
      </c>
      <c r="K48" s="22">
        <f>IFERROR(__xludf.DUMMYFUNCTION("GOOGLEFINANCE(E48,""changepct"")"),-0.32)</f>
        <v>-0.32</v>
      </c>
      <c r="L48" s="23">
        <f>IFERROR(__xludf.DUMMYFUNCTION("googlefinance(E48,""price"")"),12.45)</f>
        <v>12.45</v>
      </c>
      <c r="M48" s="21"/>
      <c r="N48" s="24">
        <f t="shared" si="8"/>
        <v>4.63</v>
      </c>
      <c r="O48" s="25">
        <f>L48/J48-1</f>
        <v>0.5920716113</v>
      </c>
      <c r="P48" s="19">
        <f t="shared" si="5"/>
        <v>231500</v>
      </c>
      <c r="Q48" s="47"/>
      <c r="R48" s="20"/>
      <c r="S48" s="37"/>
      <c r="T48" s="27"/>
      <c r="U48" s="29"/>
      <c r="V48" s="15"/>
      <c r="W48" s="36"/>
      <c r="X48" s="37"/>
      <c r="Y48" s="27"/>
      <c r="Z48" s="15" t="s">
        <v>70</v>
      </c>
      <c r="AA48" s="36">
        <v>45520.0</v>
      </c>
      <c r="AB48" s="37">
        <v>7.82</v>
      </c>
      <c r="AC48" s="27">
        <v>391000.0</v>
      </c>
    </row>
    <row r="49">
      <c r="A49" s="38"/>
      <c r="B49" s="32"/>
      <c r="C49" s="14">
        <f>I49/E132</f>
        <v>0</v>
      </c>
      <c r="D49" s="15" t="s">
        <v>300</v>
      </c>
      <c r="E49" s="15" t="s">
        <v>301</v>
      </c>
      <c r="F49" s="17">
        <v>7.7</v>
      </c>
      <c r="G49" s="18">
        <v>2000.0</v>
      </c>
      <c r="H49" s="19">
        <f t="shared" si="1"/>
        <v>183600</v>
      </c>
      <c r="I49" s="20">
        <v>0.0</v>
      </c>
      <c r="J49" s="21">
        <v>91.8</v>
      </c>
      <c r="K49" s="22">
        <f>IFERROR(__xludf.DUMMYFUNCTION("GOOGLEFINANCE(E49,""changepct"")"),-3.14)</f>
        <v>-3.14</v>
      </c>
      <c r="L49" s="23">
        <f>IFERROR(__xludf.DUMMYFUNCTION("googlefinance(E49,""price"")"),94.39)</f>
        <v>94.39</v>
      </c>
      <c r="M49" s="21">
        <v>126.23</v>
      </c>
      <c r="N49" s="24">
        <f t="shared" si="8"/>
        <v>2.59</v>
      </c>
      <c r="O49" s="25">
        <f t="shared" ref="O49:O51" si="16">M49/J49-1</f>
        <v>0.3750544662</v>
      </c>
      <c r="P49" s="19">
        <f t="shared" si="5"/>
        <v>68860</v>
      </c>
      <c r="Q49" s="47"/>
      <c r="R49" s="20"/>
      <c r="S49" s="37"/>
      <c r="T49" s="27"/>
      <c r="U49" s="29"/>
      <c r="V49" s="15" t="s">
        <v>301</v>
      </c>
      <c r="W49" s="36">
        <v>45561.0</v>
      </c>
      <c r="X49" s="37">
        <v>126.23</v>
      </c>
      <c r="Y49" s="27">
        <v>252460.0</v>
      </c>
      <c r="Z49" s="15" t="s">
        <v>301</v>
      </c>
      <c r="AA49" s="36">
        <v>45533.0</v>
      </c>
      <c r="AB49" s="37">
        <v>91.8</v>
      </c>
      <c r="AC49" s="27">
        <v>183600.0</v>
      </c>
    </row>
    <row r="50">
      <c r="A50" s="38"/>
      <c r="B50" s="32"/>
      <c r="C50" s="14">
        <f>I50/E132</f>
        <v>0</v>
      </c>
      <c r="D50" s="262" t="s">
        <v>302</v>
      </c>
      <c r="E50" s="15" t="s">
        <v>302</v>
      </c>
      <c r="F50" s="17">
        <v>7.7</v>
      </c>
      <c r="G50" s="18">
        <v>8000.0</v>
      </c>
      <c r="H50" s="19">
        <f t="shared" si="1"/>
        <v>212000</v>
      </c>
      <c r="I50" s="20">
        <v>0.0</v>
      </c>
      <c r="J50" s="21">
        <v>26.5</v>
      </c>
      <c r="K50" s="22">
        <f>IFERROR(__xludf.DUMMYFUNCTION("GOOGLEFINANCE(E50,""changepct"")"),-2.06)</f>
        <v>-2.06</v>
      </c>
      <c r="L50" s="23">
        <f>IFERROR(__xludf.DUMMYFUNCTION("googlefinance(E50,""price"")"),34.26)</f>
        <v>34.26</v>
      </c>
      <c r="M50" s="21">
        <v>37.85</v>
      </c>
      <c r="N50" s="24">
        <f t="shared" si="8"/>
        <v>7.76</v>
      </c>
      <c r="O50" s="25">
        <f t="shared" si="16"/>
        <v>0.4283018868</v>
      </c>
      <c r="P50" s="19">
        <f t="shared" si="5"/>
        <v>90800</v>
      </c>
      <c r="Q50" s="47"/>
      <c r="R50" s="20"/>
      <c r="S50" s="37"/>
      <c r="T50" s="27"/>
      <c r="U50" s="29"/>
      <c r="V50" s="15" t="s">
        <v>302</v>
      </c>
      <c r="W50" s="36">
        <v>45561.0</v>
      </c>
      <c r="X50" s="37">
        <v>37.85</v>
      </c>
      <c r="Y50" s="27">
        <v>302800.0</v>
      </c>
      <c r="Z50" s="15" t="s">
        <v>302</v>
      </c>
      <c r="AA50" s="36">
        <v>45533.0</v>
      </c>
      <c r="AB50" s="37">
        <v>26.5</v>
      </c>
      <c r="AC50" s="27">
        <v>212000.0</v>
      </c>
    </row>
    <row r="51">
      <c r="A51" s="38"/>
      <c r="B51" s="32"/>
      <c r="C51" s="14">
        <f>I51/E132</f>
        <v>0</v>
      </c>
      <c r="D51" s="15" t="s">
        <v>30</v>
      </c>
      <c r="E51" s="16" t="s">
        <v>31</v>
      </c>
      <c r="F51" s="17">
        <v>8.0</v>
      </c>
      <c r="G51" s="18">
        <v>2000.0</v>
      </c>
      <c r="H51" s="19">
        <f t="shared" si="1"/>
        <v>366840</v>
      </c>
      <c r="I51" s="20">
        <v>0.0</v>
      </c>
      <c r="J51" s="21">
        <v>183.42</v>
      </c>
      <c r="K51" s="22">
        <f>IFERROR(__xludf.DUMMYFUNCTION("GOOGLEFINANCE(E51,""changepct"")"),-0.7)</f>
        <v>-0.7</v>
      </c>
      <c r="L51" s="23">
        <f>IFERROR(__xludf.DUMMYFUNCTION("googlefinance(E51,""price"")"),192.69)</f>
        <v>192.69</v>
      </c>
      <c r="M51" s="21">
        <v>165.62</v>
      </c>
      <c r="N51" s="24">
        <f t="shared" si="8"/>
        <v>9.27</v>
      </c>
      <c r="O51" s="25">
        <f t="shared" si="16"/>
        <v>-0.09704503326</v>
      </c>
      <c r="P51" s="19">
        <f t="shared" si="5"/>
        <v>-35600</v>
      </c>
      <c r="Q51" s="47"/>
      <c r="R51" s="20"/>
      <c r="S51" s="37"/>
      <c r="T51" s="27"/>
      <c r="U51" s="29"/>
      <c r="V51" s="15" t="s">
        <v>31</v>
      </c>
      <c r="W51" s="36">
        <v>45520.0</v>
      </c>
      <c r="X51" s="37">
        <v>165.62</v>
      </c>
      <c r="Y51" s="27">
        <v>331240.0</v>
      </c>
      <c r="Z51" s="15"/>
      <c r="AA51" s="36"/>
      <c r="AB51" s="37"/>
      <c r="AC51" s="27"/>
    </row>
    <row r="52">
      <c r="A52" s="38"/>
      <c r="B52" s="32"/>
      <c r="C52" s="14">
        <f>I52/E132</f>
        <v>0.006568421521</v>
      </c>
      <c r="D52" s="42" t="s">
        <v>86</v>
      </c>
      <c r="E52" s="42" t="s">
        <v>87</v>
      </c>
      <c r="F52" s="44">
        <v>7.9</v>
      </c>
      <c r="G52" s="18">
        <v>15000.0</v>
      </c>
      <c r="H52" s="19">
        <f t="shared" si="1"/>
        <v>240000</v>
      </c>
      <c r="I52" s="20">
        <f>H52+P52</f>
        <v>162900</v>
      </c>
      <c r="J52" s="21">
        <v>16.0</v>
      </c>
      <c r="K52" s="22">
        <f>IFERROR(__xludf.DUMMYFUNCTION("GOOGLEFINANCE(E52,""changepct"")"),-1.18)</f>
        <v>-1.18</v>
      </c>
      <c r="L52" s="23">
        <f>IFERROR(__xludf.DUMMYFUNCTION("googlefinance(E52,""price"")"),10.86)</f>
        <v>10.86</v>
      </c>
      <c r="M52" s="21"/>
      <c r="N52" s="24">
        <f t="shared" si="8"/>
        <v>-5.14</v>
      </c>
      <c r="O52" s="25">
        <f>L52/J52-1</f>
        <v>-0.32125</v>
      </c>
      <c r="P52" s="19">
        <f t="shared" si="5"/>
        <v>-77100</v>
      </c>
      <c r="Q52" s="47"/>
      <c r="R52" s="20"/>
      <c r="S52" s="37"/>
      <c r="T52" s="27">
        <v>1950.0</v>
      </c>
      <c r="U52" s="29"/>
      <c r="V52" s="15"/>
      <c r="W52" s="36"/>
      <c r="X52" s="37"/>
      <c r="Y52" s="27"/>
      <c r="Z52" s="15"/>
      <c r="AA52" s="36"/>
      <c r="AB52" s="37"/>
      <c r="AC52" s="27"/>
    </row>
    <row r="53">
      <c r="A53" s="38"/>
      <c r="B53" s="32"/>
      <c r="C53" s="14">
        <f>I53/E132</f>
        <v>0</v>
      </c>
      <c r="D53" s="42" t="s">
        <v>86</v>
      </c>
      <c r="E53" s="42" t="s">
        <v>87</v>
      </c>
      <c r="F53" s="44">
        <v>7.9</v>
      </c>
      <c r="G53" s="18">
        <v>15000.0</v>
      </c>
      <c r="H53" s="19">
        <f t="shared" si="1"/>
        <v>249150</v>
      </c>
      <c r="I53" s="20">
        <v>0.0</v>
      </c>
      <c r="J53" s="21">
        <v>16.61</v>
      </c>
      <c r="K53" s="22">
        <f>IFERROR(__xludf.DUMMYFUNCTION("GOOGLEFINANCE(E53,""changepct"")"),-1.18)</f>
        <v>-1.18</v>
      </c>
      <c r="L53" s="23">
        <f>IFERROR(__xludf.DUMMYFUNCTION("googlefinance(E53,""price"")"),10.86)</f>
        <v>10.86</v>
      </c>
      <c r="M53" s="21">
        <v>16.5</v>
      </c>
      <c r="N53" s="24">
        <f t="shared" si="8"/>
        <v>-5.75</v>
      </c>
      <c r="O53" s="25">
        <f>M53/J53-1</f>
        <v>-0.006622516556</v>
      </c>
      <c r="P53" s="19">
        <f t="shared" si="5"/>
        <v>-1650</v>
      </c>
      <c r="Q53" s="47"/>
      <c r="R53" s="20"/>
      <c r="S53" s="37"/>
      <c r="T53" s="27"/>
      <c r="U53" s="29"/>
      <c r="V53" s="15" t="s">
        <v>87</v>
      </c>
      <c r="W53" s="36">
        <v>45481.0</v>
      </c>
      <c r="X53" s="37">
        <v>16.5</v>
      </c>
      <c r="Y53" s="27">
        <v>247500.0</v>
      </c>
      <c r="Z53" s="15"/>
      <c r="AA53" s="36"/>
      <c r="AB53" s="37"/>
      <c r="AC53" s="27"/>
    </row>
    <row r="54">
      <c r="A54" s="38"/>
      <c r="B54" s="32"/>
      <c r="C54" s="14">
        <f>I54/E132</f>
        <v>0.008757895362</v>
      </c>
      <c r="D54" s="42" t="s">
        <v>86</v>
      </c>
      <c r="E54" s="42" t="s">
        <v>87</v>
      </c>
      <c r="F54" s="44">
        <v>7.9</v>
      </c>
      <c r="G54" s="18">
        <v>20000.0</v>
      </c>
      <c r="H54" s="19">
        <f t="shared" si="1"/>
        <v>293000</v>
      </c>
      <c r="I54" s="20">
        <f t="shared" ref="I54:I55" si="17">H54+P54</f>
        <v>217200</v>
      </c>
      <c r="J54" s="21">
        <v>14.65</v>
      </c>
      <c r="K54" s="22">
        <f>IFERROR(__xludf.DUMMYFUNCTION("GOOGLEFINANCE(E54,""changepct"")"),-1.18)</f>
        <v>-1.18</v>
      </c>
      <c r="L54" s="23">
        <f>IFERROR(__xludf.DUMMYFUNCTION("googlefinance(E54,""price"")"),10.86)</f>
        <v>10.86</v>
      </c>
      <c r="M54" s="21"/>
      <c r="N54" s="24">
        <f t="shared" si="8"/>
        <v>-3.79</v>
      </c>
      <c r="O54" s="25">
        <f t="shared" ref="O54:O55" si="18">L54/J54-1</f>
        <v>-0.2587030717</v>
      </c>
      <c r="P54" s="19">
        <f t="shared" si="5"/>
        <v>-75800</v>
      </c>
      <c r="Q54" s="47"/>
      <c r="R54" s="20"/>
      <c r="S54" s="37"/>
      <c r="T54" s="27"/>
      <c r="U54" s="29"/>
      <c r="V54" s="15"/>
      <c r="W54" s="36"/>
      <c r="X54" s="37"/>
      <c r="Y54" s="27"/>
      <c r="Z54" s="15" t="s">
        <v>87</v>
      </c>
      <c r="AA54" s="36">
        <v>45491.0</v>
      </c>
      <c r="AB54" s="37">
        <v>14.65</v>
      </c>
      <c r="AC54" s="27">
        <v>293000.0</v>
      </c>
    </row>
    <row r="55">
      <c r="A55" s="38"/>
      <c r="B55" s="32"/>
      <c r="C55" s="14">
        <f>I55/E132</f>
        <v>0.008757895362</v>
      </c>
      <c r="D55" s="42" t="s">
        <v>86</v>
      </c>
      <c r="E55" s="42" t="s">
        <v>87</v>
      </c>
      <c r="F55" s="44">
        <v>7.9</v>
      </c>
      <c r="G55" s="18">
        <v>20000.0</v>
      </c>
      <c r="H55" s="19">
        <f t="shared" si="1"/>
        <v>332200</v>
      </c>
      <c r="I55" s="20">
        <f t="shared" si="17"/>
        <v>217200</v>
      </c>
      <c r="J55" s="21">
        <v>16.61</v>
      </c>
      <c r="K55" s="22">
        <f>IFERROR(__xludf.DUMMYFUNCTION("GOOGLEFINANCE(E55,""changepct"")"),-1.18)</f>
        <v>-1.18</v>
      </c>
      <c r="L55" s="23">
        <f>IFERROR(__xludf.DUMMYFUNCTION("googlefinance(E55,""price"")"),10.86)</f>
        <v>10.86</v>
      </c>
      <c r="M55" s="21"/>
      <c r="N55" s="24">
        <f t="shared" si="8"/>
        <v>-5.75</v>
      </c>
      <c r="O55" s="25">
        <f t="shared" si="18"/>
        <v>-0.3461770018</v>
      </c>
      <c r="P55" s="19">
        <f t="shared" si="5"/>
        <v>-115000</v>
      </c>
      <c r="Q55" s="47"/>
      <c r="R55" s="20"/>
      <c r="S55" s="37"/>
      <c r="T55" s="27"/>
      <c r="U55" s="29"/>
      <c r="V55" s="15"/>
      <c r="W55" s="36"/>
      <c r="X55" s="37"/>
      <c r="Y55" s="27"/>
      <c r="Z55" s="15"/>
      <c r="AA55" s="36"/>
      <c r="AB55" s="37"/>
      <c r="AC55" s="27"/>
    </row>
    <row r="56">
      <c r="A56" s="48"/>
      <c r="B56" s="6"/>
      <c r="C56" s="6" t="s">
        <v>89</v>
      </c>
      <c r="D56" s="6"/>
      <c r="E56" s="6"/>
      <c r="F56" s="6"/>
      <c r="G56" s="11"/>
      <c r="H56" s="49">
        <f t="shared" ref="H56:I56" si="19">SUM(H3:H55)</f>
        <v>21526037</v>
      </c>
      <c r="I56" s="50">
        <f t="shared" si="19"/>
        <v>22343410</v>
      </c>
      <c r="J56" s="8"/>
      <c r="K56" s="8"/>
      <c r="L56" s="8"/>
      <c r="M56" s="10"/>
      <c r="N56" s="10"/>
      <c r="O56" s="51">
        <f>(P56+T56+U56+R56)/I56</f>
        <v>0.09203125217</v>
      </c>
      <c r="P56" s="263">
        <v>2040292.0</v>
      </c>
      <c r="Q56" s="52"/>
      <c r="R56" s="49">
        <f>SUM(R3:R55)</f>
        <v>4160</v>
      </c>
      <c r="S56" s="10"/>
      <c r="T56" s="11">
        <f t="shared" ref="T56:U56" si="20">SUM(T3:T55)</f>
        <v>11840</v>
      </c>
      <c r="U56" s="11">
        <f t="shared" si="20"/>
        <v>0</v>
      </c>
      <c r="V56" s="6" t="s">
        <v>89</v>
      </c>
      <c r="W56" s="53"/>
      <c r="X56" s="54"/>
      <c r="Y56" s="49">
        <f>SUM(Y3:Y55)</f>
        <v>7680319</v>
      </c>
      <c r="Z56" s="6" t="s">
        <v>89</v>
      </c>
      <c r="AA56" s="53"/>
      <c r="AB56" s="54"/>
      <c r="AC56" s="49">
        <f>SUM(AC3:AC55)</f>
        <v>7202172</v>
      </c>
    </row>
    <row r="57">
      <c r="A57" s="55"/>
      <c r="B57" s="5" t="s">
        <v>303</v>
      </c>
      <c r="C57" s="6" t="s">
        <v>2</v>
      </c>
      <c r="D57" s="6" t="s">
        <v>3</v>
      </c>
      <c r="E57" s="6" t="s">
        <v>4</v>
      </c>
      <c r="F57" s="6" t="s">
        <v>5</v>
      </c>
      <c r="G57" s="6" t="s">
        <v>6</v>
      </c>
      <c r="H57" s="6" t="s">
        <v>7</v>
      </c>
      <c r="I57" s="7" t="s">
        <v>8</v>
      </c>
      <c r="J57" s="7" t="s">
        <v>9</v>
      </c>
      <c r="K57" s="8" t="s">
        <v>10</v>
      </c>
      <c r="L57" s="8" t="s">
        <v>11</v>
      </c>
      <c r="M57" s="9" t="s">
        <v>12</v>
      </c>
      <c r="N57" s="10" t="s">
        <v>13</v>
      </c>
      <c r="O57" s="6" t="s">
        <v>14</v>
      </c>
      <c r="P57" s="10" t="s">
        <v>15</v>
      </c>
      <c r="Q57" s="6" t="s">
        <v>16</v>
      </c>
      <c r="R57" s="6" t="s">
        <v>17</v>
      </c>
      <c r="S57" s="9" t="s">
        <v>18</v>
      </c>
      <c r="T57" s="5" t="s">
        <v>19</v>
      </c>
      <c r="U57" s="5" t="s">
        <v>91</v>
      </c>
      <c r="V57" s="6" t="s">
        <v>21</v>
      </c>
      <c r="W57" s="6" t="s">
        <v>22</v>
      </c>
      <c r="X57" s="12" t="s">
        <v>23</v>
      </c>
      <c r="Y57" s="12" t="s">
        <v>24</v>
      </c>
      <c r="Z57" s="6" t="s">
        <v>25</v>
      </c>
      <c r="AA57" s="6" t="s">
        <v>26</v>
      </c>
      <c r="AB57" s="6" t="s">
        <v>27</v>
      </c>
      <c r="AC57" s="6" t="s">
        <v>28</v>
      </c>
    </row>
    <row r="58">
      <c r="A58" s="56" t="s">
        <v>29</v>
      </c>
      <c r="B58" s="57">
        <f>I71/E132</f>
        <v>0.05980690937</v>
      </c>
      <c r="C58" s="14">
        <f>I58/E132</f>
        <v>0</v>
      </c>
      <c r="D58" s="16" t="s">
        <v>304</v>
      </c>
      <c r="E58" s="16" t="s">
        <v>305</v>
      </c>
      <c r="F58" s="17">
        <v>7.1</v>
      </c>
      <c r="G58" s="85">
        <v>2000.0</v>
      </c>
      <c r="H58" s="19">
        <f t="shared" ref="H58:H70" si="21">J58*G58</f>
        <v>80420</v>
      </c>
      <c r="I58" s="20">
        <v>0.0</v>
      </c>
      <c r="J58" s="21">
        <v>40.21</v>
      </c>
      <c r="K58" s="22">
        <f>IFERROR(__xludf.DUMMYFUNCTION("GOOGLEFINANCE(E58,""changepct"")"),-0.97)</f>
        <v>-0.97</v>
      </c>
      <c r="L58" s="24">
        <f>IFERROR(__xludf.DUMMYFUNCTION("googlefinance(E58,""price"")"),33.62)</f>
        <v>33.62</v>
      </c>
      <c r="M58" s="21">
        <v>42.5</v>
      </c>
      <c r="N58" s="24">
        <f t="shared" ref="N58:N70" si="22">L58-J58</f>
        <v>-6.59</v>
      </c>
      <c r="O58" s="25">
        <f t="shared" ref="O58:O62" si="23">M58/J58-1</f>
        <v>0.05695100721</v>
      </c>
      <c r="P58" s="19">
        <f t="shared" ref="P58:P70" si="24">H58*O58</f>
        <v>4580</v>
      </c>
      <c r="Q58" s="34"/>
      <c r="R58" s="29"/>
      <c r="S58" s="24"/>
      <c r="T58" s="29"/>
      <c r="U58" s="16"/>
      <c r="V58" s="15" t="s">
        <v>305</v>
      </c>
      <c r="W58" s="41">
        <v>45489.0</v>
      </c>
      <c r="X58" s="21">
        <v>42.5</v>
      </c>
      <c r="Y58" s="20">
        <v>85000.0</v>
      </c>
      <c r="Z58" s="16"/>
      <c r="AA58" s="32"/>
      <c r="AB58" s="31"/>
      <c r="AC58" s="29"/>
    </row>
    <row r="59">
      <c r="A59" s="38"/>
      <c r="B59" s="32"/>
      <c r="C59" s="14">
        <f>I59/E132</f>
        <v>0</v>
      </c>
      <c r="D59" s="264" t="s">
        <v>306</v>
      </c>
      <c r="E59" s="264" t="s">
        <v>307</v>
      </c>
      <c r="F59" s="17">
        <v>7.0</v>
      </c>
      <c r="G59" s="85">
        <v>7500.0</v>
      </c>
      <c r="H59" s="19">
        <f t="shared" si="21"/>
        <v>99900</v>
      </c>
      <c r="I59" s="20">
        <v>0.0</v>
      </c>
      <c r="J59" s="21">
        <v>13.32</v>
      </c>
      <c r="K59" s="22">
        <f>IFERROR(__xludf.DUMMYFUNCTION("GOOGLEFINANCE(E59,""changepct"")"),-0.87)</f>
        <v>-0.87</v>
      </c>
      <c r="L59" s="24">
        <f>IFERROR(__xludf.DUMMYFUNCTION("googlefinance(E59,""price"")"),11.43)</f>
        <v>11.43</v>
      </c>
      <c r="M59" s="21">
        <v>13.85</v>
      </c>
      <c r="N59" s="24">
        <f t="shared" si="22"/>
        <v>-1.89</v>
      </c>
      <c r="O59" s="25">
        <f t="shared" si="23"/>
        <v>0.03978978979</v>
      </c>
      <c r="P59" s="19">
        <f t="shared" si="24"/>
        <v>3975</v>
      </c>
      <c r="Q59" s="14"/>
      <c r="R59" s="19"/>
      <c r="S59" s="31"/>
      <c r="T59" s="29"/>
      <c r="U59" s="16"/>
      <c r="V59" s="15" t="s">
        <v>307</v>
      </c>
      <c r="W59" s="36">
        <v>45489.0</v>
      </c>
      <c r="X59" s="37">
        <v>13.85</v>
      </c>
      <c r="Y59" s="27">
        <v>103875.0</v>
      </c>
      <c r="Z59" s="16"/>
      <c r="AA59" s="30"/>
      <c r="AB59" s="31"/>
      <c r="AC59" s="29"/>
    </row>
    <row r="60">
      <c r="A60" s="63"/>
      <c r="B60" s="45"/>
      <c r="C60" s="58">
        <f>I60/E132</f>
        <v>0</v>
      </c>
      <c r="D60" s="59" t="s">
        <v>308</v>
      </c>
      <c r="E60" s="59" t="s">
        <v>309</v>
      </c>
      <c r="F60" s="17">
        <v>7.8</v>
      </c>
      <c r="G60" s="60">
        <v>10000.0</v>
      </c>
      <c r="H60" s="19">
        <f t="shared" si="21"/>
        <v>194500</v>
      </c>
      <c r="I60" s="20">
        <v>0.0</v>
      </c>
      <c r="J60" s="61">
        <v>19.45</v>
      </c>
      <c r="K60" s="22">
        <f>IFERROR(__xludf.DUMMYFUNCTION("GOOGLEFINANCE(E60,""changepct"")"),0.28)</f>
        <v>0.28</v>
      </c>
      <c r="L60" s="24">
        <f>IFERROR(__xludf.DUMMYFUNCTION("googlefinance(E60,""price"")"),14.51)</f>
        <v>14.51</v>
      </c>
      <c r="M60" s="61">
        <v>18.35</v>
      </c>
      <c r="N60" s="24">
        <f t="shared" si="22"/>
        <v>-4.94</v>
      </c>
      <c r="O60" s="25">
        <f t="shared" si="23"/>
        <v>-0.05655526992</v>
      </c>
      <c r="P60" s="19">
        <f t="shared" si="24"/>
        <v>-11000</v>
      </c>
      <c r="Q60" s="62">
        <v>0.02</v>
      </c>
      <c r="R60" s="64"/>
      <c r="S60" s="65"/>
      <c r="T60" s="66"/>
      <c r="U60" s="45"/>
      <c r="V60" s="42" t="s">
        <v>309</v>
      </c>
      <c r="W60" s="67">
        <v>45497.0</v>
      </c>
      <c r="X60" s="39">
        <v>18.35</v>
      </c>
      <c r="Y60" s="68">
        <v>183500.0</v>
      </c>
      <c r="Z60" s="42" t="s">
        <v>309</v>
      </c>
      <c r="AA60" s="67">
        <v>45490.0</v>
      </c>
      <c r="AB60" s="39">
        <v>19.45</v>
      </c>
      <c r="AC60" s="68">
        <v>194500.0</v>
      </c>
    </row>
    <row r="61">
      <c r="A61" s="63"/>
      <c r="B61" s="45"/>
      <c r="C61" s="58">
        <f>I61/E132</f>
        <v>0</v>
      </c>
      <c r="D61" s="59" t="s">
        <v>96</v>
      </c>
      <c r="E61" s="59" t="s">
        <v>97</v>
      </c>
      <c r="F61" s="17">
        <v>7.9</v>
      </c>
      <c r="G61" s="60">
        <v>5000.0</v>
      </c>
      <c r="H61" s="19">
        <f t="shared" si="21"/>
        <v>155600</v>
      </c>
      <c r="I61" s="20">
        <v>0.0</v>
      </c>
      <c r="J61" s="61">
        <v>31.12</v>
      </c>
      <c r="K61" s="22">
        <f>IFERROR(__xludf.DUMMYFUNCTION("GOOGLEFINANCE(E61,""changepct"")"),1.49)</f>
        <v>1.49</v>
      </c>
      <c r="L61" s="24">
        <f>IFERROR(__xludf.DUMMYFUNCTION("googlefinance(E61,""price"")"),22.42)</f>
        <v>22.42</v>
      </c>
      <c r="M61" s="61">
        <v>31.36</v>
      </c>
      <c r="N61" s="24">
        <f t="shared" si="22"/>
        <v>-8.7</v>
      </c>
      <c r="O61" s="25">
        <f t="shared" si="23"/>
        <v>0.007712082262</v>
      </c>
      <c r="P61" s="19">
        <f t="shared" si="24"/>
        <v>1200</v>
      </c>
      <c r="Q61" s="62">
        <v>0.04</v>
      </c>
      <c r="R61" s="64"/>
      <c r="S61" s="65"/>
      <c r="T61" s="66"/>
      <c r="U61" s="45"/>
      <c r="V61" s="42" t="s">
        <v>97</v>
      </c>
      <c r="W61" s="67">
        <v>45498.0</v>
      </c>
      <c r="X61" s="39">
        <v>31.36</v>
      </c>
      <c r="Y61" s="68">
        <v>156800.0</v>
      </c>
      <c r="Z61" s="42" t="s">
        <v>97</v>
      </c>
      <c r="AA61" s="67">
        <v>45489.0</v>
      </c>
      <c r="AB61" s="39">
        <v>31.12</v>
      </c>
      <c r="AC61" s="68">
        <v>155600.0</v>
      </c>
    </row>
    <row r="62">
      <c r="A62" s="63"/>
      <c r="B62" s="45"/>
      <c r="C62" s="58">
        <f>I62/E132</f>
        <v>0</v>
      </c>
      <c r="D62" s="59" t="s">
        <v>94</v>
      </c>
      <c r="E62" s="59" t="s">
        <v>95</v>
      </c>
      <c r="F62" s="17">
        <v>8.0</v>
      </c>
      <c r="G62" s="60">
        <v>5000.0</v>
      </c>
      <c r="H62" s="19">
        <f t="shared" si="21"/>
        <v>238400</v>
      </c>
      <c r="I62" s="20">
        <v>0.0</v>
      </c>
      <c r="J62" s="61">
        <v>47.68</v>
      </c>
      <c r="K62" s="22">
        <f>IFERROR(__xludf.DUMMYFUNCTION("GOOGLEFINANCE(E62,""changepct"")"),0.03)</f>
        <v>0.03</v>
      </c>
      <c r="L62" s="24">
        <f>IFERROR(__xludf.DUMMYFUNCTION("googlefinance(E62,""price"")"),37.81)</f>
        <v>37.81</v>
      </c>
      <c r="M62" s="61">
        <v>48.3</v>
      </c>
      <c r="N62" s="24">
        <f t="shared" si="22"/>
        <v>-9.87</v>
      </c>
      <c r="O62" s="25">
        <f t="shared" si="23"/>
        <v>0.0130033557</v>
      </c>
      <c r="P62" s="19">
        <f t="shared" si="24"/>
        <v>3100</v>
      </c>
      <c r="Q62" s="62">
        <v>0.026</v>
      </c>
      <c r="R62" s="64"/>
      <c r="S62" s="65"/>
      <c r="T62" s="66"/>
      <c r="U62" s="45"/>
      <c r="V62" s="42" t="s">
        <v>95</v>
      </c>
      <c r="W62" s="67">
        <v>45498.0</v>
      </c>
      <c r="X62" s="39">
        <v>48.3</v>
      </c>
      <c r="Y62" s="68">
        <v>241500.0</v>
      </c>
      <c r="Z62" s="42" t="s">
        <v>95</v>
      </c>
      <c r="AA62" s="67">
        <v>45489.0</v>
      </c>
      <c r="AB62" s="39">
        <v>47.68</v>
      </c>
      <c r="AC62" s="68">
        <v>238400.0</v>
      </c>
    </row>
    <row r="63">
      <c r="A63" s="63"/>
      <c r="B63" s="45"/>
      <c r="C63" s="58">
        <f>I63/E132</f>
        <v>0.009147403967</v>
      </c>
      <c r="D63" s="59" t="s">
        <v>94</v>
      </c>
      <c r="E63" s="59" t="s">
        <v>95</v>
      </c>
      <c r="F63" s="17">
        <v>8.0</v>
      </c>
      <c r="G63" s="60">
        <v>6000.0</v>
      </c>
      <c r="H63" s="19">
        <f t="shared" si="21"/>
        <v>237720</v>
      </c>
      <c r="I63" s="20">
        <f t="shared" ref="I63:I68" si="25">H63+P63</f>
        <v>226860</v>
      </c>
      <c r="J63" s="61">
        <v>39.62</v>
      </c>
      <c r="K63" s="22">
        <f>IFERROR(__xludf.DUMMYFUNCTION("GOOGLEFINANCE(E63,""changepct"")"),0.03)</f>
        <v>0.03</v>
      </c>
      <c r="L63" s="24">
        <f>IFERROR(__xludf.DUMMYFUNCTION("googlefinance(E63,""price"")"),37.81)</f>
        <v>37.81</v>
      </c>
      <c r="M63" s="61"/>
      <c r="N63" s="24">
        <f t="shared" si="22"/>
        <v>-1.81</v>
      </c>
      <c r="O63" s="25">
        <f t="shared" ref="O63:O68" si="26">L63/J63-1</f>
        <v>-0.04568399798</v>
      </c>
      <c r="P63" s="19">
        <f t="shared" si="24"/>
        <v>-10860</v>
      </c>
      <c r="Q63" s="62">
        <v>0.026</v>
      </c>
      <c r="R63" s="64"/>
      <c r="S63" s="65"/>
      <c r="T63" s="66"/>
      <c r="U63" s="45"/>
      <c r="V63" s="42"/>
      <c r="W63" s="67"/>
      <c r="X63" s="39"/>
      <c r="Y63" s="68"/>
      <c r="Z63" s="42" t="s">
        <v>95</v>
      </c>
      <c r="AA63" s="67">
        <v>45547.0</v>
      </c>
      <c r="AB63" s="39">
        <v>39.62</v>
      </c>
      <c r="AC63" s="68">
        <v>237720.0</v>
      </c>
    </row>
    <row r="64">
      <c r="A64" s="63"/>
      <c r="B64" s="45"/>
      <c r="C64" s="58">
        <f>I64/E132</f>
        <v>0.009147403967</v>
      </c>
      <c r="D64" s="59" t="s">
        <v>94</v>
      </c>
      <c r="E64" s="59" t="s">
        <v>95</v>
      </c>
      <c r="F64" s="17">
        <v>8.0</v>
      </c>
      <c r="G64" s="60">
        <v>6000.0</v>
      </c>
      <c r="H64" s="19">
        <f t="shared" si="21"/>
        <v>250440</v>
      </c>
      <c r="I64" s="20">
        <f t="shared" si="25"/>
        <v>226860</v>
      </c>
      <c r="J64" s="61">
        <v>41.74</v>
      </c>
      <c r="K64" s="22">
        <f>IFERROR(__xludf.DUMMYFUNCTION("GOOGLEFINANCE(E64,""changepct"")"),0.03)</f>
        <v>0.03</v>
      </c>
      <c r="L64" s="24">
        <f>IFERROR(__xludf.DUMMYFUNCTION("googlefinance(E64,""price"")"),37.81)</f>
        <v>37.81</v>
      </c>
      <c r="M64" s="61"/>
      <c r="N64" s="24">
        <f t="shared" si="22"/>
        <v>-3.93</v>
      </c>
      <c r="O64" s="25">
        <f t="shared" si="26"/>
        <v>-0.09415428845</v>
      </c>
      <c r="P64" s="19">
        <f t="shared" si="24"/>
        <v>-23580</v>
      </c>
      <c r="Q64" s="62">
        <v>0.026</v>
      </c>
      <c r="R64" s="64"/>
      <c r="S64" s="65"/>
      <c r="T64" s="66"/>
      <c r="U64" s="45"/>
      <c r="V64" s="42"/>
      <c r="W64" s="67"/>
      <c r="X64" s="39"/>
      <c r="Y64" s="68"/>
      <c r="Z64" s="42" t="s">
        <v>95</v>
      </c>
      <c r="AA64" s="67">
        <v>45561.0</v>
      </c>
      <c r="AB64" s="39">
        <v>41.74</v>
      </c>
      <c r="AC64" s="68">
        <v>250440.0</v>
      </c>
    </row>
    <row r="65">
      <c r="A65" s="63"/>
      <c r="B65" s="45"/>
      <c r="C65" s="58">
        <f>I65/E132</f>
        <v>0.009944162772</v>
      </c>
      <c r="D65" s="59" t="s">
        <v>96</v>
      </c>
      <c r="E65" s="59" t="s">
        <v>97</v>
      </c>
      <c r="F65" s="17">
        <v>7.9</v>
      </c>
      <c r="G65" s="60">
        <v>11000.0</v>
      </c>
      <c r="H65" s="19">
        <f t="shared" si="21"/>
        <v>263120</v>
      </c>
      <c r="I65" s="20">
        <f t="shared" si="25"/>
        <v>246620</v>
      </c>
      <c r="J65" s="61">
        <v>23.92</v>
      </c>
      <c r="K65" s="22">
        <f>IFERROR(__xludf.DUMMYFUNCTION("GOOGLEFINANCE(E65,""changepct"")"),1.49)</f>
        <v>1.49</v>
      </c>
      <c r="L65" s="24">
        <f>IFERROR(__xludf.DUMMYFUNCTION("googlefinance(E65,""price"")"),22.42)</f>
        <v>22.42</v>
      </c>
      <c r="M65" s="61"/>
      <c r="N65" s="24">
        <f t="shared" si="22"/>
        <v>-1.5</v>
      </c>
      <c r="O65" s="25">
        <f t="shared" si="26"/>
        <v>-0.0627090301</v>
      </c>
      <c r="P65" s="19">
        <f t="shared" si="24"/>
        <v>-16500</v>
      </c>
      <c r="Q65" s="62">
        <v>0.04</v>
      </c>
      <c r="R65" s="64"/>
      <c r="S65" s="65"/>
      <c r="T65" s="66"/>
      <c r="U65" s="45"/>
      <c r="V65" s="42"/>
      <c r="W65" s="67"/>
      <c r="X65" s="39"/>
      <c r="Y65" s="68"/>
      <c r="Z65" s="42" t="s">
        <v>97</v>
      </c>
      <c r="AA65" s="67">
        <v>45561.0</v>
      </c>
      <c r="AB65" s="39">
        <v>23.92</v>
      </c>
      <c r="AC65" s="68">
        <v>263120.0</v>
      </c>
    </row>
    <row r="66">
      <c r="A66" s="63"/>
      <c r="B66" s="45"/>
      <c r="C66" s="58">
        <f>I66/E132</f>
        <v>0.008136133177</v>
      </c>
      <c r="D66" s="59" t="s">
        <v>96</v>
      </c>
      <c r="E66" s="59" t="s">
        <v>97</v>
      </c>
      <c r="F66" s="17">
        <v>7.9</v>
      </c>
      <c r="G66" s="60">
        <v>9000.0</v>
      </c>
      <c r="H66" s="19">
        <f t="shared" si="21"/>
        <v>211050</v>
      </c>
      <c r="I66" s="20">
        <f t="shared" si="25"/>
        <v>201780</v>
      </c>
      <c r="J66" s="61">
        <v>23.45</v>
      </c>
      <c r="K66" s="22">
        <f>IFERROR(__xludf.DUMMYFUNCTION("GOOGLEFINANCE(E66,""changepct"")"),1.49)</f>
        <v>1.49</v>
      </c>
      <c r="L66" s="24">
        <f>IFERROR(__xludf.DUMMYFUNCTION("googlefinance(E66,""price"")"),22.42)</f>
        <v>22.42</v>
      </c>
      <c r="M66" s="61"/>
      <c r="N66" s="24">
        <f t="shared" si="22"/>
        <v>-1.03</v>
      </c>
      <c r="O66" s="25">
        <f t="shared" si="26"/>
        <v>-0.04392324094</v>
      </c>
      <c r="P66" s="19">
        <f t="shared" si="24"/>
        <v>-9270</v>
      </c>
      <c r="Q66" s="62">
        <v>0.04</v>
      </c>
      <c r="R66" s="64"/>
      <c r="S66" s="65"/>
      <c r="T66" s="66"/>
      <c r="U66" s="45"/>
      <c r="V66" s="42"/>
      <c r="W66" s="67"/>
      <c r="X66" s="39"/>
      <c r="Y66" s="68"/>
      <c r="Z66" s="42" t="s">
        <v>97</v>
      </c>
      <c r="AA66" s="67">
        <v>45547.0</v>
      </c>
      <c r="AB66" s="39">
        <v>23.45</v>
      </c>
      <c r="AC66" s="68">
        <v>211050.0</v>
      </c>
    </row>
    <row r="67">
      <c r="A67" s="63"/>
      <c r="B67" s="45"/>
      <c r="C67" s="58">
        <f>I67/E132</f>
        <v>0.01054092544</v>
      </c>
      <c r="D67" s="59" t="s">
        <v>98</v>
      </c>
      <c r="E67" s="59" t="s">
        <v>99</v>
      </c>
      <c r="F67" s="17">
        <v>8.0</v>
      </c>
      <c r="G67" s="60">
        <v>2000.0</v>
      </c>
      <c r="H67" s="19">
        <f t="shared" si="21"/>
        <v>252120</v>
      </c>
      <c r="I67" s="20">
        <f t="shared" si="25"/>
        <v>261420</v>
      </c>
      <c r="J67" s="61">
        <v>126.06</v>
      </c>
      <c r="K67" s="22">
        <f>IFERROR(__xludf.DUMMYFUNCTION("GOOGLEFINANCE(E67,""changepct"")"),0.1)</f>
        <v>0.1</v>
      </c>
      <c r="L67" s="24">
        <f>IFERROR(__xludf.DUMMYFUNCTION("googlefinance(E67,""price"")"),130.71)</f>
        <v>130.71</v>
      </c>
      <c r="M67" s="61"/>
      <c r="N67" s="24">
        <f t="shared" si="22"/>
        <v>4.65</v>
      </c>
      <c r="O67" s="25">
        <f t="shared" si="26"/>
        <v>0.03688719657</v>
      </c>
      <c r="P67" s="19">
        <f t="shared" si="24"/>
        <v>9300</v>
      </c>
      <c r="Q67" s="62">
        <v>0.015</v>
      </c>
      <c r="R67" s="68">
        <v>1000.0</v>
      </c>
      <c r="S67" s="65"/>
      <c r="T67" s="66"/>
      <c r="U67" s="45"/>
      <c r="V67" s="42"/>
      <c r="W67" s="67"/>
      <c r="X67" s="39"/>
      <c r="Y67" s="68"/>
      <c r="Z67" s="42" t="s">
        <v>99</v>
      </c>
      <c r="AA67" s="67">
        <v>45547.0</v>
      </c>
      <c r="AB67" s="39">
        <v>126.06</v>
      </c>
      <c r="AC67" s="68">
        <v>252120.0</v>
      </c>
    </row>
    <row r="68">
      <c r="A68" s="63"/>
      <c r="B68" s="45"/>
      <c r="C68" s="58">
        <f>I68/E132</f>
        <v>0.01289088005</v>
      </c>
      <c r="D68" s="59" t="s">
        <v>92</v>
      </c>
      <c r="E68" s="59" t="s">
        <v>93</v>
      </c>
      <c r="F68" s="17">
        <v>7.9</v>
      </c>
      <c r="G68" s="60">
        <v>10000.0</v>
      </c>
      <c r="H68" s="19">
        <f t="shared" si="21"/>
        <v>384900</v>
      </c>
      <c r="I68" s="20">
        <f t="shared" si="25"/>
        <v>319700</v>
      </c>
      <c r="J68" s="61">
        <v>38.49</v>
      </c>
      <c r="K68" s="22">
        <f>IFERROR(__xludf.DUMMYFUNCTION("GOOGLEFINANCE(E68,""changepct"")"),2.47)</f>
        <v>2.47</v>
      </c>
      <c r="L68" s="24">
        <f>IFERROR(__xludf.DUMMYFUNCTION("googlefinance(E68,""price"")"),31.97)</f>
        <v>31.97</v>
      </c>
      <c r="M68" s="61"/>
      <c r="N68" s="24">
        <f t="shared" si="22"/>
        <v>-6.52</v>
      </c>
      <c r="O68" s="25">
        <f t="shared" si="26"/>
        <v>-0.169394648</v>
      </c>
      <c r="P68" s="19">
        <f t="shared" si="24"/>
        <v>-65200</v>
      </c>
      <c r="Q68" s="62">
        <v>0.052</v>
      </c>
      <c r="R68" s="64"/>
      <c r="S68" s="65"/>
      <c r="T68" s="66"/>
      <c r="U68" s="45"/>
      <c r="V68" s="42"/>
      <c r="W68" s="67"/>
      <c r="X68" s="39"/>
      <c r="Y68" s="68"/>
      <c r="Z68" s="42" t="s">
        <v>93</v>
      </c>
      <c r="AA68" s="67">
        <v>45562.0</v>
      </c>
      <c r="AB68" s="39">
        <v>38.49</v>
      </c>
      <c r="AC68" s="68">
        <v>384900.0</v>
      </c>
    </row>
    <row r="69">
      <c r="A69" s="63"/>
      <c r="B69" s="45"/>
      <c r="C69" s="58">
        <f>I69/E132</f>
        <v>0</v>
      </c>
      <c r="D69" s="59" t="s">
        <v>310</v>
      </c>
      <c r="E69" s="59" t="s">
        <v>311</v>
      </c>
      <c r="F69" s="17">
        <v>7.4</v>
      </c>
      <c r="G69" s="60">
        <v>1000.0</v>
      </c>
      <c r="H69" s="19">
        <f t="shared" si="21"/>
        <v>99710</v>
      </c>
      <c r="I69" s="20">
        <v>0.0</v>
      </c>
      <c r="J69" s="61">
        <v>99.71</v>
      </c>
      <c r="K69" s="22">
        <f>IFERROR(__xludf.DUMMYFUNCTION("GOOGLEFINANCE(E69,""changepct"")"),-2.69)</f>
        <v>-2.69</v>
      </c>
      <c r="L69" s="24">
        <f>IFERROR(__xludf.DUMMYFUNCTION("googlefinance(E69,""price"")"),70.19)</f>
        <v>70.19</v>
      </c>
      <c r="M69" s="61">
        <v>109.6</v>
      </c>
      <c r="N69" s="24">
        <f t="shared" si="22"/>
        <v>-29.52</v>
      </c>
      <c r="O69" s="25">
        <f t="shared" ref="O69:O70" si="27">M69/J69-1</f>
        <v>0.09918764417</v>
      </c>
      <c r="P69" s="19">
        <f t="shared" si="24"/>
        <v>9890</v>
      </c>
      <c r="Q69" s="58"/>
      <c r="R69" s="64"/>
      <c r="S69" s="65"/>
      <c r="T69" s="66"/>
      <c r="U69" s="45"/>
      <c r="V69" s="42" t="s">
        <v>311</v>
      </c>
      <c r="W69" s="67">
        <v>45491.0</v>
      </c>
      <c r="X69" s="39">
        <v>109.6</v>
      </c>
      <c r="Y69" s="68">
        <v>109600.0</v>
      </c>
      <c r="Z69" s="42"/>
      <c r="AA69" s="67"/>
      <c r="AB69" s="39"/>
      <c r="AC69" s="68"/>
    </row>
    <row r="70">
      <c r="A70" s="63"/>
      <c r="B70" s="45"/>
      <c r="C70" s="58">
        <f>I70/E132</f>
        <v>0</v>
      </c>
      <c r="D70" s="59" t="s">
        <v>310</v>
      </c>
      <c r="E70" s="59" t="s">
        <v>311</v>
      </c>
      <c r="F70" s="17">
        <v>7.4</v>
      </c>
      <c r="G70" s="60">
        <v>1000.0</v>
      </c>
      <c r="H70" s="19">
        <f t="shared" si="21"/>
        <v>99710</v>
      </c>
      <c r="I70" s="20">
        <v>0.0</v>
      </c>
      <c r="J70" s="61">
        <v>99.71</v>
      </c>
      <c r="K70" s="22">
        <f>IFERROR(__xludf.DUMMYFUNCTION("GOOGLEFINANCE(E70,""changepct"")"),-2.69)</f>
        <v>-2.69</v>
      </c>
      <c r="L70" s="24">
        <f>IFERROR(__xludf.DUMMYFUNCTION("googlefinance(E70,""price"")"),70.19)</f>
        <v>70.19</v>
      </c>
      <c r="M70" s="61">
        <v>106.0</v>
      </c>
      <c r="N70" s="24">
        <f t="shared" si="22"/>
        <v>-29.52</v>
      </c>
      <c r="O70" s="25">
        <f t="shared" si="27"/>
        <v>0.06308294053</v>
      </c>
      <c r="P70" s="19">
        <f t="shared" si="24"/>
        <v>6290</v>
      </c>
      <c r="Q70" s="58"/>
      <c r="R70" s="64"/>
      <c r="S70" s="65"/>
      <c r="T70" s="66">
        <v>-3370.0</v>
      </c>
      <c r="U70" s="45"/>
      <c r="V70" s="42" t="s">
        <v>311</v>
      </c>
      <c r="W70" s="67">
        <v>45495.0</v>
      </c>
      <c r="X70" s="39">
        <v>106.0</v>
      </c>
      <c r="Y70" s="68">
        <v>106000.0</v>
      </c>
      <c r="Z70" s="42"/>
      <c r="AA70" s="67"/>
      <c r="AB70" s="39"/>
      <c r="AC70" s="68"/>
    </row>
    <row r="71">
      <c r="A71" s="48"/>
      <c r="B71" s="6"/>
      <c r="C71" s="6" t="s">
        <v>89</v>
      </c>
      <c r="D71" s="6"/>
      <c r="E71" s="6"/>
      <c r="F71" s="6"/>
      <c r="G71" s="69"/>
      <c r="H71" s="49">
        <f t="shared" ref="H71:I71" si="28">SUM(H58:H70)</f>
        <v>2567590</v>
      </c>
      <c r="I71" s="50">
        <f t="shared" si="28"/>
        <v>1483240</v>
      </c>
      <c r="J71" s="8"/>
      <c r="K71" s="8"/>
      <c r="L71" s="8"/>
      <c r="M71" s="10"/>
      <c r="N71" s="10"/>
      <c r="O71" s="51">
        <f>P71/H71</f>
        <v>0.0288539058</v>
      </c>
      <c r="P71" s="263">
        <v>74085.0</v>
      </c>
      <c r="Q71" s="6"/>
      <c r="R71" s="49">
        <f>SUM(R58:R70)</f>
        <v>1000</v>
      </c>
      <c r="S71" s="10"/>
      <c r="T71" s="11">
        <f>SUM(T58:T70)</f>
        <v>-3370</v>
      </c>
      <c r="U71" s="6"/>
      <c r="V71" s="6" t="s">
        <v>89</v>
      </c>
      <c r="W71" s="53"/>
      <c r="X71" s="54"/>
      <c r="Y71" s="49">
        <f>SUM(Y58:Y70)</f>
        <v>986275</v>
      </c>
      <c r="Z71" s="6" t="s">
        <v>89</v>
      </c>
      <c r="AA71" s="53"/>
      <c r="AB71" s="54"/>
      <c r="AC71" s="49">
        <f>SUM(AC58:AC70)</f>
        <v>2187850</v>
      </c>
    </row>
    <row r="72">
      <c r="A72" s="55"/>
      <c r="B72" s="5" t="s">
        <v>312</v>
      </c>
      <c r="C72" s="6" t="s">
        <v>2</v>
      </c>
      <c r="D72" s="5" t="s">
        <v>3</v>
      </c>
      <c r="E72" s="6" t="s">
        <v>4</v>
      </c>
      <c r="F72" s="6" t="s">
        <v>5</v>
      </c>
      <c r="G72" s="6" t="s">
        <v>6</v>
      </c>
      <c r="H72" s="6" t="s">
        <v>7</v>
      </c>
      <c r="I72" s="7" t="s">
        <v>8</v>
      </c>
      <c r="J72" s="7" t="s">
        <v>9</v>
      </c>
      <c r="K72" s="8" t="s">
        <v>10</v>
      </c>
      <c r="L72" s="8" t="s">
        <v>11</v>
      </c>
      <c r="M72" s="9" t="s">
        <v>12</v>
      </c>
      <c r="N72" s="10" t="s">
        <v>13</v>
      </c>
      <c r="O72" s="6" t="s">
        <v>14</v>
      </c>
      <c r="P72" s="10" t="s">
        <v>15</v>
      </c>
      <c r="Q72" s="6" t="s">
        <v>16</v>
      </c>
      <c r="R72" s="6" t="s">
        <v>17</v>
      </c>
      <c r="S72" s="9" t="s">
        <v>18</v>
      </c>
      <c r="T72" s="5" t="s">
        <v>19</v>
      </c>
      <c r="U72" s="5" t="s">
        <v>91</v>
      </c>
      <c r="V72" s="6" t="s">
        <v>21</v>
      </c>
      <c r="W72" s="6" t="s">
        <v>22</v>
      </c>
      <c r="X72" s="12" t="s">
        <v>23</v>
      </c>
      <c r="Y72" s="12" t="s">
        <v>24</v>
      </c>
      <c r="Z72" s="6" t="s">
        <v>25</v>
      </c>
      <c r="AA72" s="6" t="s">
        <v>26</v>
      </c>
      <c r="AB72" s="6" t="s">
        <v>27</v>
      </c>
      <c r="AC72" s="6" t="s">
        <v>28</v>
      </c>
    </row>
    <row r="73">
      <c r="A73" s="56" t="s">
        <v>29</v>
      </c>
      <c r="B73" s="265">
        <f>I79/E132</f>
        <v>0</v>
      </c>
      <c r="C73" s="58">
        <f>I73/E132</f>
        <v>0</v>
      </c>
      <c r="D73" s="42" t="s">
        <v>313</v>
      </c>
      <c r="E73" s="42" t="s">
        <v>106</v>
      </c>
      <c r="F73" s="42">
        <v>7.8</v>
      </c>
      <c r="G73" s="60">
        <v>5000.0</v>
      </c>
      <c r="H73" s="72">
        <f t="shared" ref="H73:H78" si="29">G73*J73</f>
        <v>138400</v>
      </c>
      <c r="I73" s="79">
        <v>0.0</v>
      </c>
      <c r="J73" s="74">
        <v>27.68</v>
      </c>
      <c r="K73" s="266">
        <f>IFERROR(__xludf.DUMMYFUNCTION("GOOGLEFINANCE(E73,""changepct"")"),-0.75)</f>
        <v>-0.75</v>
      </c>
      <c r="L73" s="75">
        <f>IFERROR(__xludf.DUMMYFUNCTION("googlefinance(E73,""price"")"),26.42)</f>
        <v>26.42</v>
      </c>
      <c r="M73" s="61">
        <v>29.65</v>
      </c>
      <c r="N73" s="75">
        <f t="shared" ref="N73:N78" si="30">L73-J73</f>
        <v>-1.26</v>
      </c>
      <c r="O73" s="267">
        <f t="shared" ref="O73:O78" si="31">M73/J73-1</f>
        <v>0.07117052023</v>
      </c>
      <c r="P73" s="73">
        <f t="shared" ref="P73:P78" si="32">H73*O73</f>
        <v>9850</v>
      </c>
      <c r="Q73" s="62">
        <v>0.06</v>
      </c>
      <c r="R73" s="66"/>
      <c r="S73" s="268"/>
      <c r="T73" s="269"/>
      <c r="U73" s="270"/>
      <c r="V73" s="42" t="s">
        <v>106</v>
      </c>
      <c r="W73" s="67">
        <v>45497.0</v>
      </c>
      <c r="X73" s="39">
        <v>29.65</v>
      </c>
      <c r="Y73" s="66">
        <v>148250.0</v>
      </c>
      <c r="Z73" s="42" t="s">
        <v>106</v>
      </c>
      <c r="AA73" s="67">
        <v>45482.0</v>
      </c>
      <c r="AB73" s="39">
        <v>27.68</v>
      </c>
      <c r="AC73" s="66">
        <v>138500.0</v>
      </c>
    </row>
    <row r="74">
      <c r="A74" s="78"/>
      <c r="B74" s="45"/>
      <c r="C74" s="58">
        <f>I74/E132</f>
        <v>0</v>
      </c>
      <c r="D74" s="42" t="s">
        <v>103</v>
      </c>
      <c r="E74" s="42" t="s">
        <v>104</v>
      </c>
      <c r="F74" s="42">
        <v>7.9</v>
      </c>
      <c r="G74" s="60">
        <v>1000.0</v>
      </c>
      <c r="H74" s="72">
        <f t="shared" si="29"/>
        <v>313500</v>
      </c>
      <c r="I74" s="79">
        <v>0.0</v>
      </c>
      <c r="J74" s="74">
        <v>313.5</v>
      </c>
      <c r="K74" s="266">
        <f>IFERROR(__xludf.DUMMYFUNCTION("GOOGLEFINANCE(E74,""changepct"")"),-1.28)</f>
        <v>-1.28</v>
      </c>
      <c r="L74" s="75">
        <f>IFERROR(__xludf.DUMMYFUNCTION("googlefinance(E74,""price"")"),259.3)</f>
        <v>259.3</v>
      </c>
      <c r="M74" s="61">
        <v>336.86</v>
      </c>
      <c r="N74" s="75">
        <f t="shared" si="30"/>
        <v>-54.2</v>
      </c>
      <c r="O74" s="267">
        <f t="shared" si="31"/>
        <v>0.07451355662</v>
      </c>
      <c r="P74" s="73">
        <f t="shared" si="32"/>
        <v>23360</v>
      </c>
      <c r="Q74" s="62">
        <v>0.029</v>
      </c>
      <c r="R74" s="66"/>
      <c r="S74" s="271"/>
      <c r="T74" s="269"/>
      <c r="U74" s="270"/>
      <c r="V74" s="42" t="s">
        <v>104</v>
      </c>
      <c r="W74" s="272">
        <v>45497.0</v>
      </c>
      <c r="X74" s="39">
        <v>336.86</v>
      </c>
      <c r="Y74" s="66">
        <v>336860.0</v>
      </c>
      <c r="Z74" s="42" t="s">
        <v>104</v>
      </c>
      <c r="AA74" s="67">
        <v>45482.0</v>
      </c>
      <c r="AB74" s="39">
        <v>313.5</v>
      </c>
      <c r="AC74" s="66">
        <v>313520.0</v>
      </c>
    </row>
    <row r="75">
      <c r="A75" s="78"/>
      <c r="B75" s="45"/>
      <c r="C75" s="58">
        <f>I75/E132</f>
        <v>0</v>
      </c>
      <c r="D75" s="42" t="s">
        <v>314</v>
      </c>
      <c r="E75" s="42" t="s">
        <v>315</v>
      </c>
      <c r="F75" s="42">
        <v>7.9</v>
      </c>
      <c r="G75" s="60">
        <v>3000.0</v>
      </c>
      <c r="H75" s="72">
        <f t="shared" si="29"/>
        <v>202080</v>
      </c>
      <c r="I75" s="79">
        <v>0.0</v>
      </c>
      <c r="J75" s="74">
        <v>67.36</v>
      </c>
      <c r="K75" s="266">
        <f>IFERROR(__xludf.DUMMYFUNCTION("GOOGLEFINANCE(E75,""changepct"")"),-2.23)</f>
        <v>-2.23</v>
      </c>
      <c r="L75" s="75">
        <f>IFERROR(__xludf.DUMMYFUNCTION("googlefinance(E75,""price"")"),92.01)</f>
        <v>92.01</v>
      </c>
      <c r="M75" s="61">
        <v>76.38</v>
      </c>
      <c r="N75" s="75">
        <f t="shared" si="30"/>
        <v>24.65</v>
      </c>
      <c r="O75" s="267">
        <f t="shared" si="31"/>
        <v>0.1339073634</v>
      </c>
      <c r="P75" s="73">
        <f t="shared" si="32"/>
        <v>27060</v>
      </c>
      <c r="Q75" s="62">
        <v>0.046</v>
      </c>
      <c r="R75" s="66"/>
      <c r="S75" s="271"/>
      <c r="T75" s="269"/>
      <c r="U75" s="270"/>
      <c r="V75" s="42" t="s">
        <v>315</v>
      </c>
      <c r="W75" s="272">
        <v>45498.0</v>
      </c>
      <c r="X75" s="39">
        <v>76.38</v>
      </c>
      <c r="Y75" s="66">
        <v>229140.0</v>
      </c>
      <c r="Z75" s="42" t="s">
        <v>315</v>
      </c>
      <c r="AA75" s="67">
        <v>45482.0</v>
      </c>
      <c r="AB75" s="39">
        <v>67.36</v>
      </c>
      <c r="AC75" s="66">
        <v>202260.0</v>
      </c>
    </row>
    <row r="76">
      <c r="A76" s="78"/>
      <c r="B76" s="45"/>
      <c r="C76" s="58">
        <f>I76/E132</f>
        <v>0</v>
      </c>
      <c r="D76" s="42" t="s">
        <v>316</v>
      </c>
      <c r="E76" s="42" t="s">
        <v>317</v>
      </c>
      <c r="F76" s="42">
        <v>7.9</v>
      </c>
      <c r="G76" s="60">
        <v>10000.0</v>
      </c>
      <c r="H76" s="72">
        <f t="shared" si="29"/>
        <v>405200</v>
      </c>
      <c r="I76" s="79">
        <v>0.0</v>
      </c>
      <c r="J76" s="74">
        <v>40.52</v>
      </c>
      <c r="K76" s="266">
        <f>IFERROR(__xludf.DUMMYFUNCTION("GOOGLEFINANCE(E76,""changepct"")"),-2.81)</f>
        <v>-2.81</v>
      </c>
      <c r="L76" s="75">
        <f>IFERROR(__xludf.DUMMYFUNCTION("googlefinance(E76,""price"")"),56.06)</f>
        <v>56.06</v>
      </c>
      <c r="M76" s="61">
        <v>45.28</v>
      </c>
      <c r="N76" s="75">
        <f t="shared" si="30"/>
        <v>15.54</v>
      </c>
      <c r="O76" s="267">
        <f t="shared" si="31"/>
        <v>0.1174728529</v>
      </c>
      <c r="P76" s="73">
        <f t="shared" si="32"/>
        <v>47600</v>
      </c>
      <c r="Q76" s="62">
        <v>0.06</v>
      </c>
      <c r="R76" s="66"/>
      <c r="S76" s="271"/>
      <c r="T76" s="269"/>
      <c r="U76" s="270"/>
      <c r="V76" s="42" t="s">
        <v>317</v>
      </c>
      <c r="W76" s="272">
        <v>45498.0</v>
      </c>
      <c r="X76" s="39">
        <v>45.28</v>
      </c>
      <c r="Y76" s="66">
        <v>452800.0</v>
      </c>
      <c r="Z76" s="42" t="s">
        <v>317</v>
      </c>
      <c r="AA76" s="67">
        <v>45482.0</v>
      </c>
      <c r="AB76" s="39">
        <v>40.52</v>
      </c>
      <c r="AC76" s="66">
        <v>405200.0</v>
      </c>
    </row>
    <row r="77">
      <c r="A77" s="78"/>
      <c r="B77" s="45"/>
      <c r="C77" s="58">
        <f>I77/E132</f>
        <v>0</v>
      </c>
      <c r="D77" s="42" t="s">
        <v>111</v>
      </c>
      <c r="E77" s="42" t="s">
        <v>112</v>
      </c>
      <c r="F77" s="42">
        <v>7.8</v>
      </c>
      <c r="G77" s="60">
        <v>1000.0</v>
      </c>
      <c r="H77" s="72">
        <f t="shared" si="29"/>
        <v>168000</v>
      </c>
      <c r="I77" s="79">
        <v>0.0</v>
      </c>
      <c r="J77" s="74">
        <v>168.0</v>
      </c>
      <c r="K77" s="266">
        <f>IFERROR(__xludf.DUMMYFUNCTION("GOOGLEFINANCE(E77,""changepct"")"),-1.02)</f>
        <v>-1.02</v>
      </c>
      <c r="L77" s="75">
        <f>IFERROR(__xludf.DUMMYFUNCTION("googlefinance(E77,""price"")"),176.2)</f>
        <v>176.2</v>
      </c>
      <c r="M77" s="61">
        <v>176.5</v>
      </c>
      <c r="N77" s="75">
        <f t="shared" si="30"/>
        <v>8.2</v>
      </c>
      <c r="O77" s="267">
        <f t="shared" si="31"/>
        <v>0.0505952381</v>
      </c>
      <c r="P77" s="73">
        <f t="shared" si="32"/>
        <v>8500</v>
      </c>
      <c r="Q77" s="62">
        <v>0.037</v>
      </c>
      <c r="R77" s="66"/>
      <c r="S77" s="271"/>
      <c r="T77" s="269"/>
      <c r="U77" s="270"/>
      <c r="V77" s="42" t="s">
        <v>112</v>
      </c>
      <c r="W77" s="272">
        <v>45497.0</v>
      </c>
      <c r="X77" s="39">
        <v>176.5</v>
      </c>
      <c r="Y77" s="66">
        <v>176500.0</v>
      </c>
      <c r="Z77" s="42" t="s">
        <v>112</v>
      </c>
      <c r="AA77" s="67">
        <v>45482.0</v>
      </c>
      <c r="AB77" s="39">
        <v>168.0</v>
      </c>
      <c r="AC77" s="66">
        <v>168000.0</v>
      </c>
    </row>
    <row r="78">
      <c r="A78" s="78"/>
      <c r="B78" s="45"/>
      <c r="C78" s="58">
        <f>I78/E132</f>
        <v>0</v>
      </c>
      <c r="D78" s="42" t="s">
        <v>318</v>
      </c>
      <c r="E78" s="42" t="s">
        <v>319</v>
      </c>
      <c r="F78" s="42">
        <v>7.6</v>
      </c>
      <c r="G78" s="60">
        <v>8000.0</v>
      </c>
      <c r="H78" s="72">
        <f t="shared" si="29"/>
        <v>176400</v>
      </c>
      <c r="I78" s="79">
        <v>0.0</v>
      </c>
      <c r="J78" s="74">
        <v>22.05</v>
      </c>
      <c r="K78" s="266">
        <f>IFERROR(__xludf.DUMMYFUNCTION("GOOGLEFINANCE(E78,""changepct"")"),-0.33)</f>
        <v>-0.33</v>
      </c>
      <c r="L78" s="75">
        <f>IFERROR(__xludf.DUMMYFUNCTION("googlefinance(E78,""price"")"),33.7)</f>
        <v>33.7</v>
      </c>
      <c r="M78" s="61">
        <v>22.53</v>
      </c>
      <c r="N78" s="75">
        <f t="shared" si="30"/>
        <v>11.65</v>
      </c>
      <c r="O78" s="267">
        <f t="shared" si="31"/>
        <v>0.02176870748</v>
      </c>
      <c r="P78" s="73">
        <f t="shared" si="32"/>
        <v>3840</v>
      </c>
      <c r="Q78" s="62"/>
      <c r="R78" s="66"/>
      <c r="S78" s="271"/>
      <c r="T78" s="269"/>
      <c r="U78" s="270"/>
      <c r="V78" s="42" t="s">
        <v>319</v>
      </c>
      <c r="W78" s="272">
        <v>45497.0</v>
      </c>
      <c r="X78" s="39">
        <v>22.53</v>
      </c>
      <c r="Y78" s="66">
        <v>180240.0</v>
      </c>
      <c r="Z78" s="42" t="s">
        <v>319</v>
      </c>
      <c r="AA78" s="67">
        <v>45482.0</v>
      </c>
      <c r="AB78" s="39">
        <v>22.05</v>
      </c>
      <c r="AC78" s="66">
        <v>176400.0</v>
      </c>
    </row>
    <row r="79">
      <c r="A79" s="55"/>
      <c r="B79" s="6"/>
      <c r="C79" s="5" t="s">
        <v>89</v>
      </c>
      <c r="D79" s="6"/>
      <c r="E79" s="6"/>
      <c r="F79" s="6"/>
      <c r="G79" s="6"/>
      <c r="H79" s="11">
        <f t="shared" ref="H79:I79" si="33">SUM(H73:H78)</f>
        <v>1403580</v>
      </c>
      <c r="I79" s="70">
        <f t="shared" si="33"/>
        <v>0</v>
      </c>
      <c r="J79" s="7"/>
      <c r="K79" s="8"/>
      <c r="L79" s="8"/>
      <c r="M79" s="9"/>
      <c r="N79" s="10"/>
      <c r="O79" s="71">
        <f>P79/H79</f>
        <v>0.0856452785</v>
      </c>
      <c r="P79" s="273">
        <v>120210.0</v>
      </c>
      <c r="Q79" s="6"/>
      <c r="R79" s="11">
        <f>SUM(R58:R78)</f>
        <v>2000</v>
      </c>
      <c r="S79" s="9"/>
      <c r="T79" s="5"/>
      <c r="U79" s="5"/>
      <c r="V79" s="5" t="s">
        <v>89</v>
      </c>
      <c r="W79" s="6"/>
      <c r="X79" s="12"/>
      <c r="Y79" s="192">
        <f>SUM(Y73:Y78)</f>
        <v>1523790</v>
      </c>
      <c r="Z79" s="6"/>
      <c r="AA79" s="6"/>
      <c r="AB79" s="6"/>
      <c r="AC79" s="11">
        <f>SUM(AC73:AC78)</f>
        <v>1403880</v>
      </c>
    </row>
    <row r="80">
      <c r="A80" s="55"/>
      <c r="B80" s="5" t="s">
        <v>320</v>
      </c>
      <c r="C80" s="6" t="s">
        <v>2</v>
      </c>
      <c r="D80" s="6" t="s">
        <v>3</v>
      </c>
      <c r="E80" s="6" t="s">
        <v>4</v>
      </c>
      <c r="F80" s="6" t="s">
        <v>5</v>
      </c>
      <c r="G80" s="6" t="s">
        <v>6</v>
      </c>
      <c r="H80" s="6" t="s">
        <v>7</v>
      </c>
      <c r="I80" s="7" t="s">
        <v>8</v>
      </c>
      <c r="J80" s="7" t="s">
        <v>9</v>
      </c>
      <c r="K80" s="8" t="s">
        <v>10</v>
      </c>
      <c r="L80" s="8" t="s">
        <v>11</v>
      </c>
      <c r="M80" s="9" t="s">
        <v>12</v>
      </c>
      <c r="N80" s="10" t="s">
        <v>13</v>
      </c>
      <c r="O80" s="6" t="s">
        <v>14</v>
      </c>
      <c r="P80" s="10" t="s">
        <v>15</v>
      </c>
      <c r="Q80" s="6" t="s">
        <v>16</v>
      </c>
      <c r="R80" s="6" t="s">
        <v>17</v>
      </c>
      <c r="S80" s="9" t="s">
        <v>18</v>
      </c>
      <c r="T80" s="5" t="s">
        <v>19</v>
      </c>
      <c r="U80" s="5" t="s">
        <v>91</v>
      </c>
      <c r="V80" s="6" t="s">
        <v>21</v>
      </c>
      <c r="W80" s="6" t="s">
        <v>22</v>
      </c>
      <c r="X80" s="12" t="s">
        <v>23</v>
      </c>
      <c r="Y80" s="12" t="s">
        <v>24</v>
      </c>
      <c r="Z80" s="6" t="s">
        <v>25</v>
      </c>
      <c r="AA80" s="6" t="s">
        <v>26</v>
      </c>
      <c r="AB80" s="6" t="s">
        <v>27</v>
      </c>
      <c r="AC80" s="6" t="s">
        <v>28</v>
      </c>
    </row>
    <row r="81">
      <c r="A81" s="82" t="s">
        <v>29</v>
      </c>
      <c r="B81" s="83">
        <f>I85/E132</f>
        <v>0.09382480072</v>
      </c>
      <c r="C81" s="14">
        <f>I81/E132</f>
        <v>0.04663216384</v>
      </c>
      <c r="D81" s="76" t="s">
        <v>126</v>
      </c>
      <c r="E81" s="15" t="s">
        <v>127</v>
      </c>
      <c r="F81" s="17">
        <v>7.8</v>
      </c>
      <c r="G81" s="18">
        <v>225000.0</v>
      </c>
      <c r="H81" s="19">
        <f t="shared" ref="H81:H84" si="34">G81*J81</f>
        <v>756000</v>
      </c>
      <c r="I81" s="19">
        <f t="shared" ref="I81:I84" si="35">H81+P81</f>
        <v>1156500</v>
      </c>
      <c r="J81" s="21">
        <v>3.36</v>
      </c>
      <c r="K81" s="22">
        <f>IFERROR(__xludf.DUMMYFUNCTION("GOOGLEFINANCE(E81,""changepct"")"),0.19)</f>
        <v>0.19</v>
      </c>
      <c r="L81" s="24">
        <f>IFERROR(__xludf.DUMMYFUNCTION("googlefinance(E81,""price"")"),5.14)</f>
        <v>5.14</v>
      </c>
      <c r="M81" s="21"/>
      <c r="N81" s="24">
        <f t="shared" ref="N81:N84" si="36">L81-J81</f>
        <v>1.78</v>
      </c>
      <c r="O81" s="25">
        <f t="shared" ref="O81:O84" si="37">L81/J81-1</f>
        <v>0.5297619048</v>
      </c>
      <c r="P81" s="84">
        <f t="shared" ref="P81:P84" si="38">H81*O81</f>
        <v>400500</v>
      </c>
      <c r="Q81" s="32"/>
      <c r="R81" s="29"/>
      <c r="S81" s="21"/>
      <c r="T81" s="27"/>
      <c r="U81" s="27"/>
      <c r="V81" s="15"/>
      <c r="W81" s="41"/>
      <c r="X81" s="21"/>
      <c r="Y81" s="20"/>
      <c r="Z81" s="15"/>
      <c r="AA81" s="36"/>
      <c r="AB81" s="37"/>
      <c r="AC81" s="27"/>
    </row>
    <row r="82">
      <c r="A82" s="38"/>
      <c r="B82" s="32"/>
      <c r="C82" s="14">
        <f>I82/E132</f>
        <v>0.01512067569</v>
      </c>
      <c r="D82" s="76" t="s">
        <v>143</v>
      </c>
      <c r="E82" s="15" t="s">
        <v>144</v>
      </c>
      <c r="F82" s="17">
        <v>7.6</v>
      </c>
      <c r="G82" s="18">
        <v>125000.0</v>
      </c>
      <c r="H82" s="19">
        <f t="shared" si="34"/>
        <v>335000</v>
      </c>
      <c r="I82" s="19">
        <f t="shared" si="35"/>
        <v>375000</v>
      </c>
      <c r="J82" s="21">
        <v>2.68</v>
      </c>
      <c r="K82" s="22">
        <f>IFERROR(__xludf.DUMMYFUNCTION("GOOGLEFINANCE(E82,""changepct"")"),-2.91)</f>
        <v>-2.91</v>
      </c>
      <c r="L82" s="24">
        <f>IFERROR(__xludf.DUMMYFUNCTION("googlefinance(E82,""price"")"),3.0)</f>
        <v>3</v>
      </c>
      <c r="M82" s="21"/>
      <c r="N82" s="24">
        <f t="shared" si="36"/>
        <v>0.32</v>
      </c>
      <c r="O82" s="25">
        <f t="shared" si="37"/>
        <v>0.1194029851</v>
      </c>
      <c r="P82" s="84">
        <f t="shared" si="38"/>
        <v>40000</v>
      </c>
      <c r="Q82" s="47"/>
      <c r="R82" s="20"/>
      <c r="S82" s="37"/>
      <c r="T82" s="27"/>
      <c r="U82" s="29"/>
      <c r="V82" s="15"/>
      <c r="W82" s="36"/>
      <c r="X82" s="37"/>
      <c r="Y82" s="27"/>
      <c r="Z82" s="15"/>
      <c r="AA82" s="41"/>
      <c r="AB82" s="21"/>
      <c r="AC82" s="20"/>
    </row>
    <row r="83">
      <c r="A83" s="38"/>
      <c r="B83" s="32"/>
      <c r="C83" s="14">
        <f>I83/E132</f>
        <v>0.01470536113</v>
      </c>
      <c r="D83" s="76" t="s">
        <v>145</v>
      </c>
      <c r="E83" s="15" t="s">
        <v>146</v>
      </c>
      <c r="F83" s="17">
        <v>7.7</v>
      </c>
      <c r="G83" s="18">
        <v>10000.0</v>
      </c>
      <c r="H83" s="19">
        <f t="shared" si="34"/>
        <v>407500</v>
      </c>
      <c r="I83" s="19">
        <f t="shared" si="35"/>
        <v>364700</v>
      </c>
      <c r="J83" s="21">
        <v>40.75</v>
      </c>
      <c r="K83" s="22">
        <f>IFERROR(__xludf.DUMMYFUNCTION("GOOGLEFINANCE(E83,""changepct"")"),-2.33)</f>
        <v>-2.33</v>
      </c>
      <c r="L83" s="24">
        <f>IFERROR(__xludf.DUMMYFUNCTION("googlefinance(E83,""price"")"),36.47)</f>
        <v>36.47</v>
      </c>
      <c r="M83" s="21"/>
      <c r="N83" s="24">
        <f t="shared" si="36"/>
        <v>-4.28</v>
      </c>
      <c r="O83" s="25">
        <f t="shared" si="37"/>
        <v>-0.1050306748</v>
      </c>
      <c r="P83" s="84">
        <f t="shared" si="38"/>
        <v>-42800</v>
      </c>
      <c r="Q83" s="47"/>
      <c r="R83" s="20"/>
      <c r="S83" s="37"/>
      <c r="T83" s="27"/>
      <c r="U83" s="29"/>
      <c r="V83" s="15"/>
      <c r="W83" s="36"/>
      <c r="X83" s="37"/>
      <c r="Y83" s="27"/>
      <c r="Z83" s="15"/>
      <c r="AA83" s="41"/>
      <c r="AB83" s="21"/>
      <c r="AC83" s="20"/>
    </row>
    <row r="84">
      <c r="A84" s="38"/>
      <c r="B84" s="32"/>
      <c r="C84" s="14">
        <f>I84/E132</f>
        <v>0.01736660006</v>
      </c>
      <c r="D84" s="76" t="s">
        <v>147</v>
      </c>
      <c r="E84" s="15" t="s">
        <v>148</v>
      </c>
      <c r="F84" s="17">
        <v>7.8</v>
      </c>
      <c r="G84" s="18">
        <v>5000.0</v>
      </c>
      <c r="H84" s="19">
        <f t="shared" si="34"/>
        <v>477600</v>
      </c>
      <c r="I84" s="19">
        <f t="shared" si="35"/>
        <v>430700</v>
      </c>
      <c r="J84" s="21">
        <v>95.52</v>
      </c>
      <c r="K84" s="22">
        <f>IFERROR(__xludf.DUMMYFUNCTION("GOOGLEFINANCE(E84,""changepct"")"),-2.44)</f>
        <v>-2.44</v>
      </c>
      <c r="L84" s="24">
        <f>IFERROR(__xludf.DUMMYFUNCTION("googlefinance(E84,""price"")"),86.14)</f>
        <v>86.14</v>
      </c>
      <c r="M84" s="21"/>
      <c r="N84" s="24">
        <f t="shared" si="36"/>
        <v>-9.38</v>
      </c>
      <c r="O84" s="25">
        <f t="shared" si="37"/>
        <v>-0.09819932998</v>
      </c>
      <c r="P84" s="84">
        <f t="shared" si="38"/>
        <v>-46900</v>
      </c>
      <c r="Q84" s="47">
        <v>0.015</v>
      </c>
      <c r="R84" s="20"/>
      <c r="S84" s="37"/>
      <c r="T84" s="27"/>
      <c r="U84" s="29"/>
      <c r="V84" s="15"/>
      <c r="W84" s="36"/>
      <c r="X84" s="37"/>
      <c r="Y84" s="27"/>
      <c r="Z84" s="15"/>
      <c r="AA84" s="41"/>
      <c r="AB84" s="21"/>
      <c r="AC84" s="20"/>
    </row>
    <row r="85">
      <c r="A85" s="48"/>
      <c r="B85" s="6"/>
      <c r="C85" s="6" t="s">
        <v>89</v>
      </c>
      <c r="D85" s="6"/>
      <c r="E85" s="6"/>
      <c r="F85" s="6"/>
      <c r="G85" s="69"/>
      <c r="H85" s="49">
        <f t="shared" ref="H85:I85" si="39">SUM(H81:H84)</f>
        <v>1976100</v>
      </c>
      <c r="I85" s="50">
        <f t="shared" si="39"/>
        <v>2326900</v>
      </c>
      <c r="J85" s="8"/>
      <c r="K85" s="8"/>
      <c r="L85" s="8"/>
      <c r="M85" s="10"/>
      <c r="N85" s="10"/>
      <c r="O85" s="51">
        <f>(P85+T85+U85+R85)/H85</f>
        <v>-0.05414705734</v>
      </c>
      <c r="P85" s="263">
        <v>-107000.0</v>
      </c>
      <c r="Q85" s="6"/>
      <c r="R85" s="49">
        <f>SUM(R81:R84)</f>
        <v>0</v>
      </c>
      <c r="S85" s="10"/>
      <c r="T85" s="11">
        <f t="shared" ref="T85:U85" si="40">SUM(T81:T84)</f>
        <v>0</v>
      </c>
      <c r="U85" s="11">
        <f t="shared" si="40"/>
        <v>0</v>
      </c>
      <c r="V85" s="6" t="s">
        <v>89</v>
      </c>
      <c r="W85" s="53"/>
      <c r="X85" s="54"/>
      <c r="Y85" s="49">
        <f>SUM(Y81:Y84)</f>
        <v>0</v>
      </c>
      <c r="Z85" s="6" t="s">
        <v>89</v>
      </c>
      <c r="AA85" s="53"/>
      <c r="AB85" s="54"/>
      <c r="AC85" s="49">
        <f>SUM(AC81:AC84)</f>
        <v>0</v>
      </c>
    </row>
    <row r="86">
      <c r="A86" s="55"/>
      <c r="B86" s="5" t="s">
        <v>149</v>
      </c>
      <c r="C86" s="6" t="s">
        <v>2</v>
      </c>
      <c r="D86" s="6" t="s">
        <v>150</v>
      </c>
      <c r="E86" s="6" t="s">
        <v>4</v>
      </c>
      <c r="F86" s="6" t="s">
        <v>5</v>
      </c>
      <c r="G86" s="6" t="s">
        <v>6</v>
      </c>
      <c r="H86" s="6" t="s">
        <v>7</v>
      </c>
      <c r="I86" s="7" t="s">
        <v>8</v>
      </c>
      <c r="J86" s="7" t="s">
        <v>9</v>
      </c>
      <c r="K86" s="8" t="s">
        <v>10</v>
      </c>
      <c r="L86" s="8" t="s">
        <v>11</v>
      </c>
      <c r="M86" s="9" t="s">
        <v>12</v>
      </c>
      <c r="N86" s="10" t="s">
        <v>13</v>
      </c>
      <c r="O86" s="6" t="s">
        <v>14</v>
      </c>
      <c r="P86" s="10" t="s">
        <v>15</v>
      </c>
      <c r="Q86" s="6" t="s">
        <v>16</v>
      </c>
      <c r="R86" s="6" t="s">
        <v>17</v>
      </c>
      <c r="S86" s="9" t="s">
        <v>18</v>
      </c>
      <c r="T86" s="5" t="s">
        <v>19</v>
      </c>
      <c r="U86" s="5" t="s">
        <v>91</v>
      </c>
      <c r="V86" s="6" t="s">
        <v>21</v>
      </c>
      <c r="W86" s="6" t="s">
        <v>22</v>
      </c>
      <c r="X86" s="12" t="s">
        <v>23</v>
      </c>
      <c r="Y86" s="12" t="s">
        <v>24</v>
      </c>
      <c r="Z86" s="6" t="s">
        <v>25</v>
      </c>
      <c r="AA86" s="6" t="s">
        <v>26</v>
      </c>
      <c r="AB86" s="6" t="s">
        <v>27</v>
      </c>
      <c r="AC86" s="6" t="s">
        <v>28</v>
      </c>
    </row>
    <row r="87">
      <c r="A87" s="56" t="s">
        <v>29</v>
      </c>
      <c r="B87" s="57">
        <f>I103/E132</f>
        <v>0.1175322057</v>
      </c>
      <c r="C87" s="14">
        <f>I87/E132</f>
        <v>0.02663255012</v>
      </c>
      <c r="D87" s="16" t="s">
        <v>151</v>
      </c>
      <c r="E87" s="16" t="s">
        <v>152</v>
      </c>
      <c r="F87" s="17">
        <v>8.5</v>
      </c>
      <c r="G87" s="85">
        <v>250.0</v>
      </c>
      <c r="H87" s="19">
        <f t="shared" ref="H87:H102" si="41">G87*J87</f>
        <v>581500</v>
      </c>
      <c r="I87" s="19">
        <f t="shared" ref="I87:I96" si="42">H87+P87</f>
        <v>660500</v>
      </c>
      <c r="J87" s="21">
        <v>2326.0</v>
      </c>
      <c r="K87" s="86"/>
      <c r="L87" s="87">
        <v>2642.0</v>
      </c>
      <c r="M87" s="88"/>
      <c r="N87" s="88">
        <f t="shared" ref="N87:N102" si="43">L87-J87</f>
        <v>316</v>
      </c>
      <c r="O87" s="25">
        <f t="shared" ref="O87:O96" si="44">L87/J87-1</f>
        <v>0.135855546</v>
      </c>
      <c r="P87" s="84">
        <f t="shared" ref="P87:P102" si="45">H87*O87</f>
        <v>79000</v>
      </c>
      <c r="Q87" s="34"/>
      <c r="R87" s="29"/>
      <c r="S87" s="37"/>
      <c r="T87" s="29"/>
      <c r="U87" s="16"/>
      <c r="V87" s="16"/>
      <c r="W87" s="32"/>
      <c r="X87" s="31"/>
      <c r="Y87" s="29"/>
      <c r="Z87" s="16"/>
      <c r="AA87" s="32"/>
      <c r="AB87" s="31"/>
      <c r="AC87" s="29"/>
    </row>
    <row r="88">
      <c r="A88" s="89" t="s">
        <v>153</v>
      </c>
      <c r="B88" s="90">
        <f>I87+I88</f>
        <v>975900</v>
      </c>
      <c r="C88" s="14">
        <f>I88/E132</f>
        <v>0.0127174963</v>
      </c>
      <c r="D88" s="16" t="s">
        <v>154</v>
      </c>
      <c r="E88" s="16" t="s">
        <v>155</v>
      </c>
      <c r="F88" s="17">
        <v>8.3</v>
      </c>
      <c r="G88" s="85">
        <v>10000.0</v>
      </c>
      <c r="H88" s="19">
        <f t="shared" si="41"/>
        <v>291300</v>
      </c>
      <c r="I88" s="19">
        <f t="shared" si="42"/>
        <v>315400</v>
      </c>
      <c r="J88" s="21">
        <v>29.13</v>
      </c>
      <c r="K88" s="86"/>
      <c r="L88" s="91">
        <v>31.54</v>
      </c>
      <c r="M88" s="24"/>
      <c r="N88" s="24">
        <f t="shared" si="43"/>
        <v>2.41</v>
      </c>
      <c r="O88" s="25">
        <f t="shared" si="44"/>
        <v>0.0827325781</v>
      </c>
      <c r="P88" s="19">
        <f t="shared" si="45"/>
        <v>24100</v>
      </c>
      <c r="Q88" s="34"/>
      <c r="R88" s="29"/>
      <c r="S88" s="37"/>
      <c r="T88" s="29"/>
      <c r="U88" s="16"/>
      <c r="V88" s="16"/>
      <c r="W88" s="32"/>
      <c r="X88" s="31"/>
      <c r="Y88" s="29"/>
      <c r="Z88" s="16"/>
      <c r="AA88" s="32"/>
      <c r="AB88" s="31"/>
      <c r="AC88" s="29"/>
    </row>
    <row r="89">
      <c r="A89" s="89" t="s">
        <v>156</v>
      </c>
      <c r="B89" s="92">
        <f>B88/E132</f>
        <v>0.03935004642</v>
      </c>
      <c r="C89" s="14">
        <f>I89/E132</f>
        <v>0.01021250436</v>
      </c>
      <c r="D89" s="15" t="s">
        <v>157</v>
      </c>
      <c r="E89" s="16" t="s">
        <v>158</v>
      </c>
      <c r="F89" s="17">
        <v>7.9</v>
      </c>
      <c r="G89" s="18">
        <v>7500.0</v>
      </c>
      <c r="H89" s="19">
        <f t="shared" si="41"/>
        <v>254475</v>
      </c>
      <c r="I89" s="19">
        <f t="shared" si="42"/>
        <v>253275</v>
      </c>
      <c r="J89" s="21">
        <v>33.93</v>
      </c>
      <c r="K89" s="93">
        <f>IFERROR(__xludf.DUMMYFUNCTION("GOOGLEFINANCE(E89,""changepct"")"),-1.43)</f>
        <v>-1.43</v>
      </c>
      <c r="L89" s="23">
        <f>IFERROR(__xludf.DUMMYFUNCTION("googlefinance(E89,""price"")"),33.77)</f>
        <v>33.77</v>
      </c>
      <c r="M89" s="24"/>
      <c r="N89" s="24">
        <f t="shared" si="43"/>
        <v>-0.16</v>
      </c>
      <c r="O89" s="25">
        <f t="shared" si="44"/>
        <v>-0.004715590922</v>
      </c>
      <c r="P89" s="19">
        <f t="shared" si="45"/>
        <v>-1200</v>
      </c>
      <c r="Q89" s="47">
        <v>0.016</v>
      </c>
      <c r="R89" s="20"/>
      <c r="S89" s="31"/>
      <c r="T89" s="29"/>
      <c r="U89" s="16"/>
      <c r="V89" s="16"/>
      <c r="W89" s="30"/>
      <c r="X89" s="31"/>
      <c r="Y89" s="29"/>
      <c r="Z89" s="16"/>
      <c r="AA89" s="32"/>
      <c r="AB89" s="31"/>
      <c r="AC89" s="29"/>
    </row>
    <row r="90">
      <c r="A90" s="89" t="s">
        <v>159</v>
      </c>
      <c r="B90" s="90">
        <f>I90+I89+I96+I93+I92+I91+I94+I95</f>
        <v>1938955</v>
      </c>
      <c r="C90" s="14">
        <f>I90/E132</f>
        <v>0.006825674617</v>
      </c>
      <c r="D90" s="16" t="s">
        <v>160</v>
      </c>
      <c r="E90" s="16" t="s">
        <v>161</v>
      </c>
      <c r="F90" s="17">
        <v>7.8</v>
      </c>
      <c r="G90" s="18">
        <v>4000.0</v>
      </c>
      <c r="H90" s="19">
        <f t="shared" si="41"/>
        <v>168480</v>
      </c>
      <c r="I90" s="19">
        <f t="shared" si="42"/>
        <v>169280</v>
      </c>
      <c r="J90" s="21">
        <v>42.12</v>
      </c>
      <c r="K90" s="93">
        <f>IFERROR(__xludf.DUMMYFUNCTION("GOOGLEFINANCE(E90,""changepct"")"),-1.7)</f>
        <v>-1.7</v>
      </c>
      <c r="L90" s="23">
        <f>IFERROR(__xludf.DUMMYFUNCTION("googlefinance(E90,""price"")"),42.32)</f>
        <v>42.32</v>
      </c>
      <c r="M90" s="24"/>
      <c r="N90" s="24">
        <f t="shared" si="43"/>
        <v>0.2</v>
      </c>
      <c r="O90" s="25">
        <f t="shared" si="44"/>
        <v>0.004748338082</v>
      </c>
      <c r="P90" s="19">
        <f t="shared" si="45"/>
        <v>800</v>
      </c>
      <c r="Q90" s="47"/>
      <c r="R90" s="20"/>
      <c r="S90" s="31"/>
      <c r="T90" s="29"/>
      <c r="U90" s="16"/>
      <c r="V90" s="16"/>
      <c r="W90" s="30"/>
      <c r="X90" s="31"/>
      <c r="Y90" s="29"/>
      <c r="Z90" s="16"/>
      <c r="AA90" s="32"/>
      <c r="AB90" s="31"/>
      <c r="AC90" s="29"/>
    </row>
    <row r="91">
      <c r="A91" s="89" t="s">
        <v>162</v>
      </c>
      <c r="B91" s="92">
        <f>B90/E132</f>
        <v>0.0781821593</v>
      </c>
      <c r="C91" s="14">
        <f>I91/E132</f>
        <v>0.01569526137</v>
      </c>
      <c r="D91" s="15" t="s">
        <v>163</v>
      </c>
      <c r="E91" s="16" t="s">
        <v>164</v>
      </c>
      <c r="F91" s="17">
        <v>8.0</v>
      </c>
      <c r="G91" s="18">
        <v>5000.0</v>
      </c>
      <c r="H91" s="19">
        <f t="shared" si="41"/>
        <v>327000</v>
      </c>
      <c r="I91" s="19">
        <f t="shared" si="42"/>
        <v>389250</v>
      </c>
      <c r="J91" s="21">
        <v>65.4</v>
      </c>
      <c r="K91" s="93">
        <f>IFERROR(__xludf.DUMMYFUNCTION("GOOGLEFINANCE(E91,""changepct"")"),-1.02)</f>
        <v>-1.02</v>
      </c>
      <c r="L91" s="23">
        <f>IFERROR(__xludf.DUMMYFUNCTION("googlefinance(E91,""price"")"),77.85)</f>
        <v>77.85</v>
      </c>
      <c r="M91" s="24"/>
      <c r="N91" s="24">
        <f t="shared" si="43"/>
        <v>12.45</v>
      </c>
      <c r="O91" s="25">
        <f t="shared" si="44"/>
        <v>0.1903669725</v>
      </c>
      <c r="P91" s="19">
        <f t="shared" si="45"/>
        <v>62250</v>
      </c>
      <c r="Q91" s="47">
        <v>0.032</v>
      </c>
      <c r="R91" s="20"/>
      <c r="S91" s="31"/>
      <c r="T91" s="29"/>
      <c r="U91" s="16"/>
      <c r="V91" s="16"/>
      <c r="W91" s="32"/>
      <c r="X91" s="31"/>
      <c r="Y91" s="29"/>
      <c r="Z91" s="15"/>
      <c r="AA91" s="36"/>
      <c r="AB91" s="37"/>
      <c r="AC91" s="27"/>
    </row>
    <row r="92">
      <c r="A92" s="38"/>
      <c r="B92" s="32"/>
      <c r="C92" s="14">
        <f>I92/E132</f>
        <v>0.009243773074</v>
      </c>
      <c r="D92" s="16" t="s">
        <v>166</v>
      </c>
      <c r="E92" s="16" t="s">
        <v>167</v>
      </c>
      <c r="F92" s="17">
        <v>7.9</v>
      </c>
      <c r="G92" s="18">
        <v>25000.0</v>
      </c>
      <c r="H92" s="19">
        <f t="shared" si="41"/>
        <v>208000</v>
      </c>
      <c r="I92" s="19">
        <f t="shared" si="42"/>
        <v>229250</v>
      </c>
      <c r="J92" s="21">
        <v>8.32</v>
      </c>
      <c r="K92" s="93">
        <f>IFERROR(__xludf.DUMMYFUNCTION("GOOGLEFINANCE(E92,""changepct"")"),-1.5)</f>
        <v>-1.5</v>
      </c>
      <c r="L92" s="23">
        <f>IFERROR(__xludf.DUMMYFUNCTION("googlefinance(E92,""price"")"),9.17)</f>
        <v>9.17</v>
      </c>
      <c r="M92" s="24"/>
      <c r="N92" s="24">
        <f t="shared" si="43"/>
        <v>0.85</v>
      </c>
      <c r="O92" s="25">
        <f t="shared" si="44"/>
        <v>0.1021634615</v>
      </c>
      <c r="P92" s="19">
        <f t="shared" si="45"/>
        <v>21250</v>
      </c>
      <c r="Q92" s="47">
        <v>0.028</v>
      </c>
      <c r="R92" s="20">
        <v>750.0</v>
      </c>
      <c r="S92" s="31"/>
      <c r="T92" s="29"/>
      <c r="U92" s="16"/>
      <c r="V92" s="16"/>
      <c r="W92" s="32"/>
      <c r="X92" s="31"/>
      <c r="Y92" s="29"/>
      <c r="Z92" s="15"/>
      <c r="AA92" s="36"/>
      <c r="AB92" s="37"/>
      <c r="AC92" s="27"/>
    </row>
    <row r="93">
      <c r="A93" s="38"/>
      <c r="B93" s="32"/>
      <c r="C93" s="14">
        <f>I93/E132</f>
        <v>0.01246750113</v>
      </c>
      <c r="D93" s="15" t="s">
        <v>321</v>
      </c>
      <c r="E93" s="16" t="s">
        <v>172</v>
      </c>
      <c r="F93" s="17">
        <v>8.0</v>
      </c>
      <c r="G93" s="18">
        <v>20000.0</v>
      </c>
      <c r="H93" s="19">
        <f t="shared" si="41"/>
        <v>340000</v>
      </c>
      <c r="I93" s="19">
        <f t="shared" si="42"/>
        <v>309200</v>
      </c>
      <c r="J93" s="21">
        <v>17.0</v>
      </c>
      <c r="K93" s="93">
        <f>IFERROR(__xludf.DUMMYFUNCTION("GOOGLEFINANCE(E93,""changepct"")"),-1.4)</f>
        <v>-1.4</v>
      </c>
      <c r="L93" s="23">
        <f>IFERROR(__xludf.DUMMYFUNCTION("googlefinance(E93,""price"")"),15.46)</f>
        <v>15.46</v>
      </c>
      <c r="M93" s="24"/>
      <c r="N93" s="24">
        <f t="shared" si="43"/>
        <v>-1.54</v>
      </c>
      <c r="O93" s="25">
        <f t="shared" si="44"/>
        <v>-0.09058823529</v>
      </c>
      <c r="P93" s="19">
        <f t="shared" si="45"/>
        <v>-30800</v>
      </c>
      <c r="Q93" s="47">
        <v>0.03</v>
      </c>
      <c r="R93" s="20">
        <v>2000.0</v>
      </c>
      <c r="S93" s="31"/>
      <c r="T93" s="29"/>
      <c r="U93" s="16"/>
      <c r="V93" s="16"/>
      <c r="W93" s="30"/>
      <c r="X93" s="31"/>
      <c r="Y93" s="29"/>
      <c r="Z93" s="15"/>
      <c r="AA93" s="41"/>
      <c r="AB93" s="21"/>
      <c r="AC93" s="20"/>
    </row>
    <row r="94">
      <c r="A94" s="38"/>
      <c r="B94" s="32"/>
      <c r="C94" s="14">
        <f>I94/E132</f>
        <v>0.008040167289</v>
      </c>
      <c r="D94" s="15" t="s">
        <v>173</v>
      </c>
      <c r="E94" s="16" t="s">
        <v>174</v>
      </c>
      <c r="F94" s="17">
        <v>7.8</v>
      </c>
      <c r="G94" s="18">
        <v>10000.0</v>
      </c>
      <c r="H94" s="19">
        <f t="shared" si="41"/>
        <v>198800</v>
      </c>
      <c r="I94" s="19">
        <f t="shared" si="42"/>
        <v>199400</v>
      </c>
      <c r="J94" s="21">
        <v>19.88</v>
      </c>
      <c r="K94" s="93">
        <f>IFERROR(__xludf.DUMMYFUNCTION("GOOGLEFINANCE(E94,""changepct"")"),-3.11)</f>
        <v>-3.11</v>
      </c>
      <c r="L94" s="23">
        <f>IFERROR(__xludf.DUMMYFUNCTION("googlefinance(E94,""price"")"),19.94)</f>
        <v>19.94</v>
      </c>
      <c r="M94" s="24"/>
      <c r="N94" s="24">
        <f t="shared" si="43"/>
        <v>0.06</v>
      </c>
      <c r="O94" s="25">
        <f t="shared" si="44"/>
        <v>0.003018108652</v>
      </c>
      <c r="P94" s="19">
        <f t="shared" si="45"/>
        <v>600</v>
      </c>
      <c r="Q94" s="47">
        <v>0.03</v>
      </c>
      <c r="R94" s="20">
        <v>1000.0</v>
      </c>
      <c r="S94" s="31"/>
      <c r="T94" s="29"/>
      <c r="U94" s="16"/>
      <c r="V94" s="16"/>
      <c r="W94" s="30"/>
      <c r="X94" s="31"/>
      <c r="Y94" s="29"/>
      <c r="Z94" s="16"/>
      <c r="AA94" s="94"/>
      <c r="AB94" s="24"/>
      <c r="AC94" s="19"/>
    </row>
    <row r="95">
      <c r="A95" s="38"/>
      <c r="B95" s="32"/>
      <c r="C95" s="14">
        <f>I95/E132</f>
        <v>0.008778056263</v>
      </c>
      <c r="D95" s="76" t="s">
        <v>175</v>
      </c>
      <c r="E95" s="15" t="s">
        <v>176</v>
      </c>
      <c r="F95" s="17">
        <v>7.7</v>
      </c>
      <c r="G95" s="18">
        <v>35000.0</v>
      </c>
      <c r="H95" s="19">
        <f t="shared" si="41"/>
        <v>169750</v>
      </c>
      <c r="I95" s="19">
        <f t="shared" si="42"/>
        <v>217700</v>
      </c>
      <c r="J95" s="21">
        <v>4.85</v>
      </c>
      <c r="K95" s="93">
        <f>IFERROR(__xludf.DUMMYFUNCTION("GOOGLEFINANCE(E95,""changepct"")"),-2.99)</f>
        <v>-2.99</v>
      </c>
      <c r="L95" s="91">
        <v>6.22</v>
      </c>
      <c r="M95" s="24"/>
      <c r="N95" s="24">
        <f t="shared" si="43"/>
        <v>1.37</v>
      </c>
      <c r="O95" s="25">
        <f t="shared" si="44"/>
        <v>0.2824742268</v>
      </c>
      <c r="P95" s="19">
        <f t="shared" si="45"/>
        <v>47950</v>
      </c>
      <c r="Q95" s="47">
        <v>0.0045</v>
      </c>
      <c r="R95" s="20">
        <v>350.0</v>
      </c>
      <c r="S95" s="31"/>
      <c r="T95" s="29"/>
      <c r="U95" s="16"/>
      <c r="V95" s="16"/>
      <c r="W95" s="30"/>
      <c r="X95" s="31"/>
      <c r="Y95" s="29"/>
      <c r="Z95" s="15"/>
      <c r="AA95" s="41"/>
      <c r="AB95" s="21"/>
      <c r="AC95" s="20"/>
    </row>
    <row r="96">
      <c r="A96" s="38"/>
      <c r="B96" s="32"/>
      <c r="C96" s="14">
        <f>I96/E132</f>
        <v>0.006919221197</v>
      </c>
      <c r="D96" s="95" t="s">
        <v>179</v>
      </c>
      <c r="E96" s="16" t="s">
        <v>180</v>
      </c>
      <c r="F96" s="17">
        <v>7.8</v>
      </c>
      <c r="G96" s="18">
        <v>15000.0</v>
      </c>
      <c r="H96" s="19">
        <f t="shared" si="41"/>
        <v>172350</v>
      </c>
      <c r="I96" s="19">
        <f t="shared" si="42"/>
        <v>171600</v>
      </c>
      <c r="J96" s="21">
        <v>11.49</v>
      </c>
      <c r="K96" s="93">
        <f>IFERROR(__xludf.DUMMYFUNCTION("GOOGLEFINANCE(E96,""changepct"")"),-2.8)</f>
        <v>-2.8</v>
      </c>
      <c r="L96" s="23">
        <f>IFERROR(__xludf.DUMMYFUNCTION("googlefinance(E96,""price"")"),11.44)</f>
        <v>11.44</v>
      </c>
      <c r="M96" s="24"/>
      <c r="N96" s="24">
        <f t="shared" si="43"/>
        <v>-0.05</v>
      </c>
      <c r="O96" s="25">
        <f t="shared" si="44"/>
        <v>-0.004351610096</v>
      </c>
      <c r="P96" s="19">
        <f t="shared" si="45"/>
        <v>-750</v>
      </c>
      <c r="Q96" s="47"/>
      <c r="R96" s="20"/>
      <c r="S96" s="31"/>
      <c r="T96" s="29"/>
      <c r="U96" s="16"/>
      <c r="V96" s="16"/>
      <c r="W96" s="30"/>
      <c r="X96" s="31"/>
      <c r="Y96" s="29"/>
      <c r="Z96" s="16"/>
      <c r="AA96" s="94"/>
      <c r="AB96" s="24"/>
      <c r="AC96" s="19"/>
    </row>
    <row r="97">
      <c r="A97" s="78"/>
      <c r="B97" s="270"/>
      <c r="C97" s="14">
        <f>I97/E132</f>
        <v>0</v>
      </c>
      <c r="D97" s="15" t="s">
        <v>165</v>
      </c>
      <c r="E97" s="16" t="s">
        <v>164</v>
      </c>
      <c r="F97" s="17">
        <v>8.0</v>
      </c>
      <c r="G97" s="60">
        <v>2000.0</v>
      </c>
      <c r="H97" s="19">
        <f t="shared" si="41"/>
        <v>130800</v>
      </c>
      <c r="I97" s="20">
        <v>0.0</v>
      </c>
      <c r="J97" s="21">
        <v>65.4</v>
      </c>
      <c r="K97" s="93">
        <f>IFERROR(__xludf.DUMMYFUNCTION("GOOGLEFINANCE(E97,""changepct"")"),-1.02)</f>
        <v>-1.02</v>
      </c>
      <c r="L97" s="23">
        <f>IFERROR(__xludf.DUMMYFUNCTION("googlefinance(E97,""price"")"),77.85)</f>
        <v>77.85</v>
      </c>
      <c r="M97" s="21">
        <v>84.22</v>
      </c>
      <c r="N97" s="24">
        <f t="shared" si="43"/>
        <v>12.45</v>
      </c>
      <c r="O97" s="25">
        <f t="shared" ref="O97:O102" si="46">M97/J97-1</f>
        <v>0.2877675841</v>
      </c>
      <c r="P97" s="19">
        <f t="shared" si="45"/>
        <v>37640</v>
      </c>
      <c r="Q97" s="47"/>
      <c r="R97" s="274"/>
      <c r="S97" s="95"/>
      <c r="T97" s="45"/>
      <c r="U97" s="42"/>
      <c r="V97" s="42" t="s">
        <v>164</v>
      </c>
      <c r="W97" s="67">
        <v>45561.0</v>
      </c>
      <c r="X97" s="39">
        <v>84.22</v>
      </c>
      <c r="Y97" s="68">
        <v>168440.0</v>
      </c>
      <c r="Z97" s="45"/>
      <c r="AA97" s="270"/>
      <c r="AB97" s="270"/>
      <c r="AC97" s="274"/>
    </row>
    <row r="98">
      <c r="A98" s="78"/>
      <c r="B98" s="270"/>
      <c r="C98" s="14">
        <f>I98/E132</f>
        <v>0</v>
      </c>
      <c r="D98" s="95" t="s">
        <v>179</v>
      </c>
      <c r="E98" s="16" t="s">
        <v>180</v>
      </c>
      <c r="F98" s="17">
        <v>7.8</v>
      </c>
      <c r="G98" s="60">
        <v>10000.0</v>
      </c>
      <c r="H98" s="19">
        <f t="shared" si="41"/>
        <v>114900</v>
      </c>
      <c r="I98" s="20">
        <v>0.0</v>
      </c>
      <c r="J98" s="21">
        <v>11.49</v>
      </c>
      <c r="K98" s="93">
        <f>IFERROR(__xludf.DUMMYFUNCTION("GOOGLEFINANCE(E98,""changepct"")"),-2.8)</f>
        <v>-2.8</v>
      </c>
      <c r="L98" s="23">
        <f>IFERROR(__xludf.DUMMYFUNCTION("googlefinance(E98,""price"")"),11.44)</f>
        <v>11.44</v>
      </c>
      <c r="M98" s="21">
        <v>12.77</v>
      </c>
      <c r="N98" s="24">
        <f t="shared" si="43"/>
        <v>-0.05</v>
      </c>
      <c r="O98" s="25">
        <f t="shared" si="46"/>
        <v>0.1114012185</v>
      </c>
      <c r="P98" s="19">
        <f t="shared" si="45"/>
        <v>12800</v>
      </c>
      <c r="Q98" s="47"/>
      <c r="R98" s="274"/>
      <c r="S98" s="95"/>
      <c r="T98" s="45"/>
      <c r="U98" s="42"/>
      <c r="V98" s="42" t="s">
        <v>180</v>
      </c>
      <c r="W98" s="67">
        <v>45492.0</v>
      </c>
      <c r="X98" s="39">
        <v>12.77</v>
      </c>
      <c r="Y98" s="68">
        <v>127700.0</v>
      </c>
      <c r="Z98" s="45"/>
      <c r="AA98" s="270"/>
      <c r="AB98" s="270"/>
      <c r="AC98" s="274"/>
    </row>
    <row r="99">
      <c r="A99" s="78"/>
      <c r="B99" s="270"/>
      <c r="C99" s="14">
        <f>I99/E132</f>
        <v>0</v>
      </c>
      <c r="D99" s="15" t="s">
        <v>157</v>
      </c>
      <c r="E99" s="16" t="s">
        <v>158</v>
      </c>
      <c r="F99" s="17">
        <v>7.9</v>
      </c>
      <c r="G99" s="60">
        <v>2500.0</v>
      </c>
      <c r="H99" s="19">
        <f t="shared" si="41"/>
        <v>84825</v>
      </c>
      <c r="I99" s="20">
        <v>0.0</v>
      </c>
      <c r="J99" s="21">
        <v>33.93</v>
      </c>
      <c r="K99" s="93">
        <f>IFERROR(__xludf.DUMMYFUNCTION("GOOGLEFINANCE(E99,""changepct"")"),-1.43)</f>
        <v>-1.43</v>
      </c>
      <c r="L99" s="23">
        <f>IFERROR(__xludf.DUMMYFUNCTION("googlefinance(E99,""price"")"),33.77)</f>
        <v>33.77</v>
      </c>
      <c r="M99" s="21">
        <v>38.52</v>
      </c>
      <c r="N99" s="24">
        <f t="shared" si="43"/>
        <v>-0.16</v>
      </c>
      <c r="O99" s="25">
        <f t="shared" si="46"/>
        <v>0.1352785146</v>
      </c>
      <c r="P99" s="19">
        <f t="shared" si="45"/>
        <v>11475</v>
      </c>
      <c r="Q99" s="47"/>
      <c r="R99" s="274"/>
      <c r="S99" s="95"/>
      <c r="T99" s="45"/>
      <c r="U99" s="42"/>
      <c r="V99" s="42" t="s">
        <v>158</v>
      </c>
      <c r="W99" s="67">
        <v>45491.0</v>
      </c>
      <c r="X99" s="39">
        <v>38.52</v>
      </c>
      <c r="Y99" s="68">
        <v>96300.0</v>
      </c>
      <c r="Z99" s="45"/>
      <c r="AA99" s="270"/>
      <c r="AB99" s="270"/>
      <c r="AC99" s="274"/>
    </row>
    <row r="100">
      <c r="A100" s="78"/>
      <c r="B100" s="270"/>
      <c r="C100" s="14">
        <f>I100/E132</f>
        <v>0</v>
      </c>
      <c r="D100" s="16" t="s">
        <v>160</v>
      </c>
      <c r="E100" s="16" t="s">
        <v>161</v>
      </c>
      <c r="F100" s="17">
        <v>7.8</v>
      </c>
      <c r="G100" s="60">
        <v>1000.0</v>
      </c>
      <c r="H100" s="19">
        <f t="shared" si="41"/>
        <v>42120</v>
      </c>
      <c r="I100" s="20">
        <v>0.0</v>
      </c>
      <c r="J100" s="21">
        <v>42.12</v>
      </c>
      <c r="K100" s="93">
        <f>IFERROR(__xludf.DUMMYFUNCTION("GOOGLEFINANCE(E100,""changepct"")"),-1.7)</f>
        <v>-1.7</v>
      </c>
      <c r="L100" s="23">
        <f>IFERROR(__xludf.DUMMYFUNCTION("googlefinance(E100,""price"")"),42.32)</f>
        <v>42.32</v>
      </c>
      <c r="M100" s="21">
        <v>47.7</v>
      </c>
      <c r="N100" s="24">
        <f t="shared" si="43"/>
        <v>0.2</v>
      </c>
      <c r="O100" s="25">
        <f t="shared" si="46"/>
        <v>0.1324786325</v>
      </c>
      <c r="P100" s="19">
        <f t="shared" si="45"/>
        <v>5580</v>
      </c>
      <c r="Q100" s="47"/>
      <c r="R100" s="274"/>
      <c r="S100" s="95"/>
      <c r="T100" s="45"/>
      <c r="U100" s="42"/>
      <c r="V100" s="42" t="s">
        <v>161</v>
      </c>
      <c r="W100" s="67">
        <v>45491.0</v>
      </c>
      <c r="X100" s="39">
        <v>47.7</v>
      </c>
      <c r="Y100" s="68">
        <v>47700.0</v>
      </c>
      <c r="Z100" s="45"/>
      <c r="AA100" s="270"/>
      <c r="AB100" s="270"/>
      <c r="AC100" s="274"/>
    </row>
    <row r="101">
      <c r="A101" s="78"/>
      <c r="B101" s="270"/>
      <c r="C101" s="14">
        <f>I101/E132</f>
        <v>0</v>
      </c>
      <c r="D101" s="16" t="s">
        <v>166</v>
      </c>
      <c r="E101" s="16" t="s">
        <v>167</v>
      </c>
      <c r="F101" s="17">
        <v>7.9</v>
      </c>
      <c r="G101" s="60">
        <v>15000.0</v>
      </c>
      <c r="H101" s="19">
        <f t="shared" si="41"/>
        <v>124800</v>
      </c>
      <c r="I101" s="20">
        <v>0.0</v>
      </c>
      <c r="J101" s="21">
        <v>8.32</v>
      </c>
      <c r="K101" s="93">
        <f>IFERROR(__xludf.DUMMYFUNCTION("GOOGLEFINANCE(E101,""changepct"")"),-1.5)</f>
        <v>-1.5</v>
      </c>
      <c r="L101" s="23">
        <f>IFERROR(__xludf.DUMMYFUNCTION("googlefinance(E101,""price"")"),9.17)</f>
        <v>9.17</v>
      </c>
      <c r="M101" s="21">
        <v>9.06</v>
      </c>
      <c r="N101" s="24">
        <f t="shared" si="43"/>
        <v>0.85</v>
      </c>
      <c r="O101" s="25">
        <f t="shared" si="46"/>
        <v>0.08894230769</v>
      </c>
      <c r="P101" s="19">
        <f t="shared" si="45"/>
        <v>11100</v>
      </c>
      <c r="Q101" s="47"/>
      <c r="R101" s="274"/>
      <c r="S101" s="95"/>
      <c r="T101" s="45"/>
      <c r="U101" s="42"/>
      <c r="V101" s="42" t="s">
        <v>167</v>
      </c>
      <c r="W101" s="67">
        <v>45491.0</v>
      </c>
      <c r="X101" s="39">
        <v>9.06</v>
      </c>
      <c r="Y101" s="68">
        <v>135900.0</v>
      </c>
      <c r="Z101" s="45"/>
      <c r="AA101" s="270"/>
      <c r="AB101" s="270"/>
      <c r="AC101" s="274"/>
    </row>
    <row r="102">
      <c r="A102" s="78"/>
      <c r="B102" s="270"/>
      <c r="C102" s="14">
        <f>I102/E132</f>
        <v>0</v>
      </c>
      <c r="D102" s="15" t="s">
        <v>171</v>
      </c>
      <c r="E102" s="16" t="s">
        <v>172</v>
      </c>
      <c r="F102" s="17">
        <v>8.0</v>
      </c>
      <c r="G102" s="60">
        <v>10000.0</v>
      </c>
      <c r="H102" s="19">
        <f t="shared" si="41"/>
        <v>170000</v>
      </c>
      <c r="I102" s="20">
        <v>0.0</v>
      </c>
      <c r="J102" s="21">
        <v>17.0</v>
      </c>
      <c r="K102" s="93">
        <f>IFERROR(__xludf.DUMMYFUNCTION("GOOGLEFINANCE(E102,""changepct"")"),-1.4)</f>
        <v>-1.4</v>
      </c>
      <c r="L102" s="23">
        <f>IFERROR(__xludf.DUMMYFUNCTION("googlefinance(E102,""price"")"),15.46)</f>
        <v>15.46</v>
      </c>
      <c r="M102" s="21">
        <v>18.92</v>
      </c>
      <c r="N102" s="24">
        <f t="shared" si="43"/>
        <v>-1.54</v>
      </c>
      <c r="O102" s="25">
        <f t="shared" si="46"/>
        <v>0.1129411765</v>
      </c>
      <c r="P102" s="19">
        <f t="shared" si="45"/>
        <v>19200</v>
      </c>
      <c r="Q102" s="47"/>
      <c r="R102" s="274"/>
      <c r="S102" s="95"/>
      <c r="T102" s="45"/>
      <c r="U102" s="42"/>
      <c r="V102" s="42" t="s">
        <v>172</v>
      </c>
      <c r="W102" s="67">
        <v>45491.0</v>
      </c>
      <c r="X102" s="39">
        <v>18.92</v>
      </c>
      <c r="Y102" s="68">
        <v>189200.0</v>
      </c>
      <c r="Z102" s="45"/>
      <c r="AA102" s="270"/>
      <c r="AB102" s="270"/>
      <c r="AC102" s="274"/>
    </row>
    <row r="103">
      <c r="A103" s="55"/>
      <c r="B103" s="53"/>
      <c r="C103" s="6" t="s">
        <v>89</v>
      </c>
      <c r="D103" s="6"/>
      <c r="E103" s="6"/>
      <c r="F103" s="6"/>
      <c r="G103" s="11"/>
      <c r="H103" s="49">
        <f>SUM(H87:H96)</f>
        <v>2711655</v>
      </c>
      <c r="I103" s="50">
        <f>SUM(I87:I102)</f>
        <v>2914855</v>
      </c>
      <c r="J103" s="8"/>
      <c r="K103" s="8"/>
      <c r="L103" s="10"/>
      <c r="M103" s="10"/>
      <c r="N103" s="10"/>
      <c r="O103" s="51">
        <f>P103/(I103+R103+T103)</f>
        <v>0.1767173526</v>
      </c>
      <c r="P103" s="263">
        <v>515830.0</v>
      </c>
      <c r="Q103" s="6"/>
      <c r="R103" s="49">
        <f>SUM(R87:R96)</f>
        <v>4100</v>
      </c>
      <c r="S103" s="10"/>
      <c r="T103" s="11">
        <f>SUM(T87:T96)</f>
        <v>0</v>
      </c>
      <c r="U103" s="5"/>
      <c r="V103" s="6" t="s">
        <v>89</v>
      </c>
      <c r="W103" s="53"/>
      <c r="X103" s="54"/>
      <c r="Y103" s="49">
        <f>SUM(Y87:Y102)</f>
        <v>765240</v>
      </c>
      <c r="Z103" s="6" t="s">
        <v>89</v>
      </c>
      <c r="AA103" s="53"/>
      <c r="AB103" s="53"/>
      <c r="AC103" s="49">
        <f>SUM(AC87:AC96)</f>
        <v>0</v>
      </c>
    </row>
    <row r="104">
      <c r="A104" s="55"/>
      <c r="B104" s="6" t="s">
        <v>181</v>
      </c>
      <c r="C104" s="6" t="s">
        <v>2</v>
      </c>
      <c r="D104" s="6" t="s">
        <v>182</v>
      </c>
      <c r="E104" s="6" t="s">
        <v>4</v>
      </c>
      <c r="F104" s="6" t="s">
        <v>5</v>
      </c>
      <c r="G104" s="5" t="s">
        <v>183</v>
      </c>
      <c r="H104" s="6" t="s">
        <v>7</v>
      </c>
      <c r="I104" s="7" t="s">
        <v>8</v>
      </c>
      <c r="J104" s="7" t="s">
        <v>9</v>
      </c>
      <c r="K104" s="8" t="s">
        <v>10</v>
      </c>
      <c r="L104" s="8" t="s">
        <v>11</v>
      </c>
      <c r="M104" s="9" t="s">
        <v>12</v>
      </c>
      <c r="N104" s="10" t="s">
        <v>13</v>
      </c>
      <c r="O104" s="6" t="s">
        <v>14</v>
      </c>
      <c r="P104" s="10" t="s">
        <v>15</v>
      </c>
      <c r="Q104" s="5" t="s">
        <v>128</v>
      </c>
      <c r="R104" s="6" t="s">
        <v>17</v>
      </c>
      <c r="S104" s="9" t="s">
        <v>18</v>
      </c>
      <c r="T104" s="5" t="s">
        <v>19</v>
      </c>
      <c r="U104" s="5" t="s">
        <v>19</v>
      </c>
      <c r="V104" s="6" t="s">
        <v>21</v>
      </c>
      <c r="W104" s="6" t="s">
        <v>22</v>
      </c>
      <c r="X104" s="12" t="s">
        <v>23</v>
      </c>
      <c r="Y104" s="12" t="s">
        <v>24</v>
      </c>
      <c r="Z104" s="6" t="s">
        <v>25</v>
      </c>
      <c r="AA104" s="6" t="s">
        <v>26</v>
      </c>
      <c r="AB104" s="6" t="s">
        <v>27</v>
      </c>
      <c r="AC104" s="6" t="s">
        <v>28</v>
      </c>
    </row>
    <row r="105">
      <c r="A105" s="56" t="s">
        <v>29</v>
      </c>
      <c r="B105" s="57">
        <f>I125/E132</f>
        <v>0.08398769233</v>
      </c>
      <c r="C105" s="14">
        <f>I105/E132</f>
        <v>0.01285196951</v>
      </c>
      <c r="D105" s="96" t="s">
        <v>184</v>
      </c>
      <c r="E105" s="16" t="s">
        <v>185</v>
      </c>
      <c r="F105" s="17">
        <v>7.9</v>
      </c>
      <c r="G105" s="97">
        <v>5.0</v>
      </c>
      <c r="H105" s="19">
        <f t="shared" ref="H105:H124" si="47">G105*J105</f>
        <v>308525</v>
      </c>
      <c r="I105" s="20">
        <f t="shared" ref="I105:I107" si="48">H105+P105</f>
        <v>318735</v>
      </c>
      <c r="J105" s="20">
        <v>61705.0</v>
      </c>
      <c r="K105" s="98"/>
      <c r="L105" s="99">
        <v>63747.0</v>
      </c>
      <c r="M105" s="100"/>
      <c r="N105" s="100">
        <f t="shared" ref="N105:N124" si="49">L105-J105</f>
        <v>2042</v>
      </c>
      <c r="O105" s="101">
        <f t="shared" ref="O105:O107" si="50">L105/J105-1</f>
        <v>0.03309294223</v>
      </c>
      <c r="P105" s="102">
        <f t="shared" ref="P105:P124" si="51">H105*O105</f>
        <v>10210</v>
      </c>
      <c r="Q105" s="32"/>
      <c r="R105" s="32"/>
      <c r="S105" s="103"/>
      <c r="T105" s="15"/>
      <c r="U105" s="15"/>
      <c r="V105" s="15"/>
      <c r="W105" s="41"/>
      <c r="X105" s="20"/>
      <c r="Y105" s="20"/>
      <c r="Z105" s="104"/>
      <c r="AA105" s="105"/>
      <c r="AB105" s="106"/>
      <c r="AC105" s="106"/>
    </row>
    <row r="106">
      <c r="A106" s="38"/>
      <c r="B106" s="32"/>
      <c r="C106" s="14">
        <f>I106/E132</f>
        <v>0.01064495569</v>
      </c>
      <c r="D106" s="15" t="s">
        <v>187</v>
      </c>
      <c r="E106" s="45" t="s">
        <v>188</v>
      </c>
      <c r="F106" s="17">
        <v>7.9</v>
      </c>
      <c r="G106" s="97">
        <v>100.0</v>
      </c>
      <c r="H106" s="19">
        <f t="shared" si="47"/>
        <v>341200</v>
      </c>
      <c r="I106" s="20">
        <f t="shared" si="48"/>
        <v>264000</v>
      </c>
      <c r="J106" s="27">
        <v>3412.0</v>
      </c>
      <c r="K106" s="98"/>
      <c r="L106" s="99">
        <v>2640.0</v>
      </c>
      <c r="M106" s="100"/>
      <c r="N106" s="100">
        <f t="shared" si="49"/>
        <v>-772</v>
      </c>
      <c r="O106" s="101">
        <f t="shared" si="50"/>
        <v>-0.2262602579</v>
      </c>
      <c r="P106" s="102">
        <f t="shared" si="51"/>
        <v>-77200</v>
      </c>
      <c r="Q106" s="32"/>
      <c r="R106" s="32"/>
      <c r="S106" s="27"/>
      <c r="T106" s="15"/>
      <c r="U106" s="15"/>
      <c r="V106" s="15"/>
      <c r="W106" s="36"/>
      <c r="X106" s="27"/>
      <c r="Y106" s="27"/>
      <c r="Z106" s="104"/>
      <c r="AA106" s="108"/>
      <c r="AB106" s="109"/>
      <c r="AC106" s="20"/>
    </row>
    <row r="107">
      <c r="A107" s="38"/>
      <c r="B107" s="32"/>
      <c r="C107" s="14">
        <f>I107/E132</f>
        <v>0.004757972618</v>
      </c>
      <c r="D107" s="15" t="s">
        <v>190</v>
      </c>
      <c r="E107" s="15" t="s">
        <v>191</v>
      </c>
      <c r="F107" s="17">
        <v>7.5</v>
      </c>
      <c r="G107" s="97">
        <v>1000000.0</v>
      </c>
      <c r="H107" s="19">
        <f t="shared" si="47"/>
        <v>123000</v>
      </c>
      <c r="I107" s="20">
        <f t="shared" si="48"/>
        <v>118000</v>
      </c>
      <c r="J107" s="111">
        <v>0.123</v>
      </c>
      <c r="K107" s="98"/>
      <c r="L107" s="112">
        <v>0.118</v>
      </c>
      <c r="M107" s="113"/>
      <c r="N107" s="100">
        <f t="shared" si="49"/>
        <v>-0.005</v>
      </c>
      <c r="O107" s="101">
        <f t="shared" si="50"/>
        <v>-0.0406504065</v>
      </c>
      <c r="P107" s="102">
        <f t="shared" si="51"/>
        <v>-5000</v>
      </c>
      <c r="Q107" s="32"/>
      <c r="R107" s="32"/>
      <c r="S107" s="21"/>
      <c r="T107" s="15"/>
      <c r="U107" s="15"/>
      <c r="V107" s="15"/>
      <c r="W107" s="41"/>
      <c r="X107" s="21"/>
      <c r="Y107" s="20"/>
      <c r="Z107" s="104"/>
      <c r="AA107" s="105"/>
      <c r="AB107" s="110"/>
      <c r="AC107" s="20"/>
    </row>
    <row r="108">
      <c r="A108" s="114"/>
      <c r="B108" s="115"/>
      <c r="C108" s="116">
        <f>I108/E132</f>
        <v>0</v>
      </c>
      <c r="D108" s="15" t="s">
        <v>190</v>
      </c>
      <c r="E108" s="15" t="s">
        <v>191</v>
      </c>
      <c r="F108" s="17">
        <v>7.5</v>
      </c>
      <c r="G108" s="119">
        <v>1000000.0</v>
      </c>
      <c r="H108" s="19">
        <f t="shared" si="47"/>
        <v>102300</v>
      </c>
      <c r="I108" s="20">
        <v>0.0</v>
      </c>
      <c r="J108" s="134">
        <v>0.1023</v>
      </c>
      <c r="K108" s="121"/>
      <c r="L108" s="112">
        <v>0.118</v>
      </c>
      <c r="M108" s="113">
        <v>0.1254</v>
      </c>
      <c r="N108" s="100">
        <f t="shared" si="49"/>
        <v>0.0157</v>
      </c>
      <c r="O108" s="101">
        <f>M108/J108-1</f>
        <v>0.2258064516</v>
      </c>
      <c r="P108" s="102">
        <f t="shared" si="51"/>
        <v>23100</v>
      </c>
      <c r="Q108" s="124"/>
      <c r="R108" s="125"/>
      <c r="S108" s="126"/>
      <c r="T108" s="125"/>
      <c r="U108" s="125"/>
      <c r="V108" s="127" t="s">
        <v>192</v>
      </c>
      <c r="W108" s="128">
        <v>45490.0</v>
      </c>
      <c r="X108" s="113">
        <v>0.1254</v>
      </c>
      <c r="Y108" s="129">
        <v>125400.0</v>
      </c>
      <c r="Z108" s="130" t="s">
        <v>192</v>
      </c>
      <c r="AA108" s="131">
        <v>45478.0</v>
      </c>
      <c r="AB108" s="136">
        <v>0.1023</v>
      </c>
      <c r="AC108" s="133">
        <v>102300.0</v>
      </c>
    </row>
    <row r="109">
      <c r="A109" s="114"/>
      <c r="B109" s="115"/>
      <c r="C109" s="116">
        <f>I109/E132</f>
        <v>0.001822545444</v>
      </c>
      <c r="D109" s="117" t="s">
        <v>194</v>
      </c>
      <c r="E109" s="117" t="s">
        <v>195</v>
      </c>
      <c r="F109" s="118">
        <v>7.6</v>
      </c>
      <c r="G109" s="119">
        <v>10000.0</v>
      </c>
      <c r="H109" s="19">
        <f t="shared" si="47"/>
        <v>61400</v>
      </c>
      <c r="I109" s="20">
        <f t="shared" ref="I109:I110" si="52">H109+P109</f>
        <v>45200</v>
      </c>
      <c r="J109" s="120">
        <v>6.14</v>
      </c>
      <c r="K109" s="121"/>
      <c r="L109" s="122">
        <v>4.52</v>
      </c>
      <c r="M109" s="123"/>
      <c r="N109" s="100">
        <f t="shared" si="49"/>
        <v>-1.62</v>
      </c>
      <c r="O109" s="101">
        <f t="shared" ref="O109:O110" si="53">L109/J109-1</f>
        <v>-0.2638436482</v>
      </c>
      <c r="P109" s="102">
        <f t="shared" si="51"/>
        <v>-16200</v>
      </c>
      <c r="Q109" s="124"/>
      <c r="R109" s="125"/>
      <c r="S109" s="126"/>
      <c r="T109" s="125"/>
      <c r="U109" s="125"/>
      <c r="V109" s="127"/>
      <c r="W109" s="128"/>
      <c r="X109" s="123"/>
      <c r="Y109" s="129"/>
      <c r="Z109" s="130"/>
      <c r="AA109" s="131"/>
      <c r="AB109" s="132"/>
      <c r="AC109" s="133"/>
    </row>
    <row r="110">
      <c r="A110" s="114"/>
      <c r="B110" s="115"/>
      <c r="C110" s="116">
        <f>I110/E132</f>
        <v>0.001887060327</v>
      </c>
      <c r="D110" s="117" t="s">
        <v>197</v>
      </c>
      <c r="E110" s="117" t="s">
        <v>198</v>
      </c>
      <c r="F110" s="118">
        <v>7.4</v>
      </c>
      <c r="G110" s="119">
        <v>3000000.0</v>
      </c>
      <c r="H110" s="19">
        <f t="shared" si="47"/>
        <v>52260</v>
      </c>
      <c r="I110" s="20">
        <f t="shared" si="52"/>
        <v>46800</v>
      </c>
      <c r="J110" s="134">
        <v>0.01742</v>
      </c>
      <c r="K110" s="121"/>
      <c r="L110" s="112">
        <v>0.0156</v>
      </c>
      <c r="M110" s="135"/>
      <c r="N110" s="100">
        <f t="shared" si="49"/>
        <v>-0.00182</v>
      </c>
      <c r="O110" s="101">
        <f t="shared" si="53"/>
        <v>-0.1044776119</v>
      </c>
      <c r="P110" s="102">
        <f t="shared" si="51"/>
        <v>-5460</v>
      </c>
      <c r="Q110" s="124"/>
      <c r="R110" s="125"/>
      <c r="S110" s="126"/>
      <c r="T110" s="125"/>
      <c r="U110" s="125"/>
      <c r="V110" s="127"/>
      <c r="W110" s="128"/>
      <c r="X110" s="135"/>
      <c r="Y110" s="129"/>
      <c r="Z110" s="130"/>
      <c r="AA110" s="131"/>
      <c r="AB110" s="136"/>
      <c r="AC110" s="133"/>
    </row>
    <row r="111">
      <c r="A111" s="114"/>
      <c r="B111" s="115"/>
      <c r="C111" s="116">
        <f>I111/E132</f>
        <v>0</v>
      </c>
      <c r="D111" s="117" t="s">
        <v>197</v>
      </c>
      <c r="E111" s="117" t="s">
        <v>198</v>
      </c>
      <c r="F111" s="118">
        <v>7.4</v>
      </c>
      <c r="G111" s="119">
        <v>2000000.0</v>
      </c>
      <c r="H111" s="19">
        <f t="shared" si="47"/>
        <v>28980</v>
      </c>
      <c r="I111" s="20">
        <v>0.0</v>
      </c>
      <c r="J111" s="134">
        <v>0.01449</v>
      </c>
      <c r="K111" s="121"/>
      <c r="L111" s="112">
        <v>0.0156</v>
      </c>
      <c r="M111" s="140">
        <v>0.0176</v>
      </c>
      <c r="N111" s="100">
        <f t="shared" si="49"/>
        <v>0.00111</v>
      </c>
      <c r="O111" s="101">
        <f>M111/J111-1</f>
        <v>0.2146307798</v>
      </c>
      <c r="P111" s="102">
        <f t="shared" si="51"/>
        <v>6220</v>
      </c>
      <c r="Q111" s="124"/>
      <c r="R111" s="125"/>
      <c r="S111" s="126"/>
      <c r="T111" s="125"/>
      <c r="U111" s="125"/>
      <c r="V111" s="127" t="s">
        <v>199</v>
      </c>
      <c r="W111" s="128">
        <v>45491.0</v>
      </c>
      <c r="X111" s="140">
        <v>0.0176</v>
      </c>
      <c r="Y111" s="129">
        <v>35200.0</v>
      </c>
      <c r="Z111" s="130" t="s">
        <v>199</v>
      </c>
      <c r="AA111" s="131">
        <v>45478.0</v>
      </c>
      <c r="AB111" s="136">
        <v>0.01449</v>
      </c>
      <c r="AC111" s="133">
        <v>28980.0</v>
      </c>
    </row>
    <row r="112">
      <c r="A112" s="114"/>
      <c r="B112" s="115"/>
      <c r="C112" s="116">
        <f>I112/E132</f>
        <v>0.004999903429</v>
      </c>
      <c r="D112" s="15" t="s">
        <v>200</v>
      </c>
      <c r="E112" s="42" t="s">
        <v>201</v>
      </c>
      <c r="F112" s="17">
        <v>7.7</v>
      </c>
      <c r="G112" s="119">
        <v>200000.0</v>
      </c>
      <c r="H112" s="19">
        <f t="shared" si="47"/>
        <v>117400</v>
      </c>
      <c r="I112" s="20">
        <f>H112+P112</f>
        <v>124000</v>
      </c>
      <c r="J112" s="134">
        <v>0.587</v>
      </c>
      <c r="K112" s="121"/>
      <c r="L112" s="145">
        <v>0.62</v>
      </c>
      <c r="M112" s="140"/>
      <c r="N112" s="100">
        <f t="shared" si="49"/>
        <v>0.033</v>
      </c>
      <c r="O112" s="139">
        <f>L112/J112-1</f>
        <v>0.05621805792</v>
      </c>
      <c r="P112" s="102">
        <f t="shared" si="51"/>
        <v>6600</v>
      </c>
      <c r="Q112" s="124"/>
      <c r="R112" s="125"/>
      <c r="S112" s="126"/>
      <c r="T112" s="125"/>
      <c r="U112" s="125"/>
      <c r="V112" s="127"/>
      <c r="W112" s="128"/>
      <c r="X112" s="140"/>
      <c r="Y112" s="129"/>
      <c r="Z112" s="130"/>
      <c r="AA112" s="131"/>
      <c r="AB112" s="136"/>
      <c r="AC112" s="133"/>
    </row>
    <row r="113">
      <c r="A113" s="114"/>
      <c r="B113" s="115"/>
      <c r="C113" s="116">
        <f>I113/E132</f>
        <v>0</v>
      </c>
      <c r="D113" s="15" t="s">
        <v>200</v>
      </c>
      <c r="E113" s="42" t="s">
        <v>201</v>
      </c>
      <c r="F113" s="17">
        <v>7.7</v>
      </c>
      <c r="G113" s="119">
        <v>150000.0</v>
      </c>
      <c r="H113" s="19">
        <f t="shared" si="47"/>
        <v>71130</v>
      </c>
      <c r="I113" s="20">
        <v>0.0</v>
      </c>
      <c r="J113" s="134">
        <v>0.4742</v>
      </c>
      <c r="K113" s="121"/>
      <c r="L113" s="145">
        <v>0.62</v>
      </c>
      <c r="M113" s="140">
        <v>0.6075</v>
      </c>
      <c r="N113" s="100">
        <f t="shared" si="49"/>
        <v>0.1458</v>
      </c>
      <c r="O113" s="143">
        <f>M113/J113-1</f>
        <v>0.281105019</v>
      </c>
      <c r="P113" s="102">
        <f t="shared" si="51"/>
        <v>19995</v>
      </c>
      <c r="Q113" s="124"/>
      <c r="R113" s="125"/>
      <c r="S113" s="126"/>
      <c r="T113" s="125"/>
      <c r="U113" s="125"/>
      <c r="V113" s="127" t="s">
        <v>202</v>
      </c>
      <c r="W113" s="128">
        <v>45490.0</v>
      </c>
      <c r="X113" s="140">
        <v>0.0675</v>
      </c>
      <c r="Y113" s="129">
        <v>91125.0</v>
      </c>
      <c r="Z113" s="130"/>
      <c r="AA113" s="131"/>
      <c r="AB113" s="136"/>
      <c r="AC113" s="133"/>
    </row>
    <row r="114">
      <c r="A114" s="114"/>
      <c r="B114" s="115"/>
      <c r="C114" s="116">
        <f>I114/E132</f>
        <v>0.002741882526</v>
      </c>
      <c r="D114" s="15" t="s">
        <v>203</v>
      </c>
      <c r="E114" s="42" t="s">
        <v>204</v>
      </c>
      <c r="F114" s="17">
        <v>7.7</v>
      </c>
      <c r="G114" s="119">
        <v>1000.0</v>
      </c>
      <c r="H114" s="19">
        <f t="shared" si="47"/>
        <v>74400</v>
      </c>
      <c r="I114" s="20">
        <f>H114+P114</f>
        <v>68000</v>
      </c>
      <c r="J114" s="141">
        <v>74.4</v>
      </c>
      <c r="K114" s="121"/>
      <c r="L114" s="142">
        <v>68.0</v>
      </c>
      <c r="M114" s="123"/>
      <c r="N114" s="100">
        <f t="shared" si="49"/>
        <v>-6.4</v>
      </c>
      <c r="O114" s="143">
        <f>L114/J114-1</f>
        <v>-0.08602150538</v>
      </c>
      <c r="P114" s="102">
        <f t="shared" si="51"/>
        <v>-6400</v>
      </c>
      <c r="Q114" s="124"/>
      <c r="R114" s="125"/>
      <c r="S114" s="126"/>
      <c r="T114" s="125"/>
      <c r="U114" s="125"/>
      <c r="V114" s="127"/>
      <c r="W114" s="128"/>
      <c r="X114" s="123"/>
      <c r="Y114" s="129"/>
      <c r="Z114" s="130"/>
      <c r="AA114" s="131"/>
      <c r="AB114" s="144"/>
      <c r="AC114" s="133"/>
    </row>
    <row r="115">
      <c r="A115" s="114"/>
      <c r="B115" s="115"/>
      <c r="C115" s="116">
        <f>I115/E132</f>
        <v>0</v>
      </c>
      <c r="D115" s="15" t="s">
        <v>203</v>
      </c>
      <c r="E115" s="42" t="s">
        <v>204</v>
      </c>
      <c r="F115" s="17">
        <v>7.7</v>
      </c>
      <c r="G115" s="119">
        <v>1000.0</v>
      </c>
      <c r="H115" s="19">
        <f t="shared" si="47"/>
        <v>59700</v>
      </c>
      <c r="I115" s="20">
        <v>0.0</v>
      </c>
      <c r="J115" s="141">
        <v>59.7</v>
      </c>
      <c r="K115" s="121"/>
      <c r="L115" s="142">
        <v>68.0</v>
      </c>
      <c r="M115" s="123">
        <v>72.25</v>
      </c>
      <c r="N115" s="100">
        <f t="shared" si="49"/>
        <v>8.3</v>
      </c>
      <c r="O115" s="143">
        <f>M115/J115-1</f>
        <v>0.2102177554</v>
      </c>
      <c r="P115" s="102">
        <f t="shared" si="51"/>
        <v>12550</v>
      </c>
      <c r="Q115" s="124"/>
      <c r="R115" s="125"/>
      <c r="S115" s="126"/>
      <c r="T115" s="125"/>
      <c r="U115" s="125"/>
      <c r="V115" s="127" t="s">
        <v>205</v>
      </c>
      <c r="W115" s="128">
        <v>45491.0</v>
      </c>
      <c r="X115" s="123">
        <v>72.25</v>
      </c>
      <c r="Y115" s="129">
        <v>72250.0</v>
      </c>
      <c r="Z115" s="130"/>
      <c r="AA115" s="131"/>
      <c r="AB115" s="144"/>
      <c r="AC115" s="133"/>
    </row>
    <row r="116">
      <c r="A116" s="114"/>
      <c r="B116" s="115"/>
      <c r="C116" s="116">
        <f>I116/E132</f>
        <v>0.004161209951</v>
      </c>
      <c r="D116" s="117" t="s">
        <v>206</v>
      </c>
      <c r="E116" s="117" t="s">
        <v>207</v>
      </c>
      <c r="F116" s="118">
        <v>7.7</v>
      </c>
      <c r="G116" s="119">
        <v>300.0</v>
      </c>
      <c r="H116" s="19">
        <f t="shared" si="47"/>
        <v>101670</v>
      </c>
      <c r="I116" s="20">
        <f>H116+P116</f>
        <v>103200</v>
      </c>
      <c r="J116" s="141">
        <v>338.9</v>
      </c>
      <c r="K116" s="121"/>
      <c r="L116" s="142">
        <v>344.0</v>
      </c>
      <c r="M116" s="123"/>
      <c r="N116" s="100">
        <f t="shared" si="49"/>
        <v>5.1</v>
      </c>
      <c r="O116" s="143">
        <f>L116/J116-1</f>
        <v>0.01504868693</v>
      </c>
      <c r="P116" s="102">
        <f t="shared" si="51"/>
        <v>1530</v>
      </c>
      <c r="Q116" s="124"/>
      <c r="R116" s="125"/>
      <c r="S116" s="126"/>
      <c r="T116" s="125"/>
      <c r="U116" s="125"/>
      <c r="V116" s="127"/>
      <c r="W116" s="128"/>
      <c r="X116" s="123"/>
      <c r="Y116" s="129"/>
      <c r="Z116" s="130" t="s">
        <v>208</v>
      </c>
      <c r="AA116" s="131">
        <v>45520.0</v>
      </c>
      <c r="AB116" s="144">
        <v>338.9</v>
      </c>
      <c r="AC116" s="133">
        <v>101670.0</v>
      </c>
    </row>
    <row r="117">
      <c r="A117" s="114"/>
      <c r="B117" s="115"/>
      <c r="C117" s="116">
        <f>I117/E132</f>
        <v>0</v>
      </c>
      <c r="D117" s="117" t="s">
        <v>206</v>
      </c>
      <c r="E117" s="117" t="s">
        <v>207</v>
      </c>
      <c r="F117" s="118">
        <v>7.7</v>
      </c>
      <c r="G117" s="119">
        <v>500.0</v>
      </c>
      <c r="H117" s="19">
        <f t="shared" si="47"/>
        <v>194000</v>
      </c>
      <c r="I117" s="20">
        <v>0.0</v>
      </c>
      <c r="J117" s="141">
        <v>388.0</v>
      </c>
      <c r="K117" s="121"/>
      <c r="L117" s="142">
        <v>344.0</v>
      </c>
      <c r="M117" s="123">
        <v>368.0</v>
      </c>
      <c r="N117" s="100">
        <f t="shared" si="49"/>
        <v>-44</v>
      </c>
      <c r="O117" s="143">
        <f>M117/J117-1</f>
        <v>-0.05154639175</v>
      </c>
      <c r="P117" s="102">
        <f t="shared" si="51"/>
        <v>-10000</v>
      </c>
      <c r="Q117" s="124"/>
      <c r="R117" s="125"/>
      <c r="S117" s="126"/>
      <c r="T117" s="125"/>
      <c r="U117" s="125"/>
      <c r="V117" s="127" t="s">
        <v>208</v>
      </c>
      <c r="W117" s="128">
        <v>45497.0</v>
      </c>
      <c r="X117" s="123">
        <v>368.0</v>
      </c>
      <c r="Y117" s="129">
        <v>184000.0</v>
      </c>
      <c r="Z117" s="130" t="s">
        <v>205</v>
      </c>
      <c r="AA117" s="131">
        <v>45478.0</v>
      </c>
      <c r="AB117" s="144">
        <v>59.7</v>
      </c>
      <c r="AC117" s="133">
        <v>59700.0</v>
      </c>
    </row>
    <row r="118">
      <c r="A118" s="114"/>
      <c r="B118" s="115"/>
      <c r="C118" s="116">
        <f>I118/E132</f>
        <v>0.004216854037</v>
      </c>
      <c r="D118" s="117" t="s">
        <v>221</v>
      </c>
      <c r="E118" s="117" t="s">
        <v>222</v>
      </c>
      <c r="F118" s="118">
        <v>7.8</v>
      </c>
      <c r="G118" s="119">
        <v>2000.0</v>
      </c>
      <c r="H118" s="19">
        <f t="shared" si="47"/>
        <v>101420</v>
      </c>
      <c r="I118" s="20">
        <f t="shared" ref="I118:I120" si="54">H118+P118</f>
        <v>104580</v>
      </c>
      <c r="J118" s="141">
        <v>50.71</v>
      </c>
      <c r="K118" s="152">
        <f>IFERROR(__xludf.DUMMYFUNCTION("GOOGLEFINANCE(E118,""changepct"")"),-3.44)</f>
        <v>-3.44</v>
      </c>
      <c r="L118" s="153">
        <f>IFERROR(__xludf.DUMMYFUNCTION("googlefinance(E118,""price"")"),52.29)</f>
        <v>52.29</v>
      </c>
      <c r="M118" s="123"/>
      <c r="N118" s="100">
        <f t="shared" si="49"/>
        <v>1.58</v>
      </c>
      <c r="O118" s="143">
        <f t="shared" ref="O118:O120" si="55">L118/J118-1</f>
        <v>0.03115756261</v>
      </c>
      <c r="P118" s="102">
        <f t="shared" si="51"/>
        <v>3160</v>
      </c>
      <c r="Q118" s="124"/>
      <c r="R118" s="125"/>
      <c r="S118" s="126"/>
      <c r="T118" s="125"/>
      <c r="U118" s="125"/>
      <c r="V118" s="127"/>
      <c r="W118" s="128"/>
      <c r="X118" s="123"/>
      <c r="Y118" s="129"/>
      <c r="Z118" s="130"/>
      <c r="AA118" s="131"/>
      <c r="AB118" s="144"/>
      <c r="AC118" s="133"/>
    </row>
    <row r="119">
      <c r="A119" s="114"/>
      <c r="B119" s="115"/>
      <c r="C119" s="116">
        <f>I119/E132</f>
        <v>0.005735776313</v>
      </c>
      <c r="D119" s="117" t="s">
        <v>223</v>
      </c>
      <c r="E119" s="117" t="s">
        <v>224</v>
      </c>
      <c r="F119" s="118">
        <v>7.9</v>
      </c>
      <c r="G119" s="119">
        <v>5000.0</v>
      </c>
      <c r="H119" s="19">
        <f t="shared" si="47"/>
        <v>166350</v>
      </c>
      <c r="I119" s="154">
        <f t="shared" si="54"/>
        <v>142250</v>
      </c>
      <c r="J119" s="141">
        <v>33.27</v>
      </c>
      <c r="K119" s="152">
        <f>IFERROR(__xludf.DUMMYFUNCTION("GOOGLEFINANCE(E119,""changepct"")"),1.75)</f>
        <v>1.75</v>
      </c>
      <c r="L119" s="153">
        <f>IFERROR(__xludf.DUMMYFUNCTION("googlefinance(E119,""price"")"),28.45)</f>
        <v>28.45</v>
      </c>
      <c r="M119" s="123"/>
      <c r="N119" s="100">
        <f t="shared" si="49"/>
        <v>-4.82</v>
      </c>
      <c r="O119" s="143">
        <f t="shared" si="55"/>
        <v>-0.144875263</v>
      </c>
      <c r="P119" s="155">
        <f t="shared" si="51"/>
        <v>-24100</v>
      </c>
      <c r="Q119" s="124"/>
      <c r="R119" s="125"/>
      <c r="S119" s="126"/>
      <c r="T119" s="125"/>
      <c r="U119" s="125"/>
      <c r="V119" s="127"/>
      <c r="W119" s="128"/>
      <c r="X119" s="123"/>
      <c r="Y119" s="129"/>
      <c r="Z119" s="130"/>
      <c r="AA119" s="131"/>
      <c r="AB119" s="144"/>
      <c r="AC119" s="154"/>
    </row>
    <row r="120">
      <c r="A120" s="114"/>
      <c r="B120" s="115"/>
      <c r="C120" s="116">
        <f>I120/E132</f>
        <v>0.005735776313</v>
      </c>
      <c r="D120" s="117" t="s">
        <v>223</v>
      </c>
      <c r="E120" s="117" t="s">
        <v>224</v>
      </c>
      <c r="F120" s="118">
        <v>7.9</v>
      </c>
      <c r="G120" s="119">
        <v>5000.0</v>
      </c>
      <c r="H120" s="19">
        <f t="shared" si="47"/>
        <v>110500</v>
      </c>
      <c r="I120" s="154">
        <f t="shared" si="54"/>
        <v>142250</v>
      </c>
      <c r="J120" s="141">
        <v>22.1</v>
      </c>
      <c r="K120" s="152">
        <f>IFERROR(__xludf.DUMMYFUNCTION("GOOGLEFINANCE(E120,""changepct"")"),1.75)</f>
        <v>1.75</v>
      </c>
      <c r="L120" s="153">
        <f>IFERROR(__xludf.DUMMYFUNCTION("googlefinance(E120,""price"")"),28.45)</f>
        <v>28.45</v>
      </c>
      <c r="M120" s="123"/>
      <c r="N120" s="100">
        <f t="shared" si="49"/>
        <v>6.35</v>
      </c>
      <c r="O120" s="143">
        <f t="shared" si="55"/>
        <v>0.2873303167</v>
      </c>
      <c r="P120" s="155">
        <f t="shared" si="51"/>
        <v>31750</v>
      </c>
      <c r="Q120" s="124"/>
      <c r="R120" s="125"/>
      <c r="S120" s="123"/>
      <c r="T120" s="129"/>
      <c r="U120" s="125"/>
      <c r="V120" s="127"/>
      <c r="W120" s="128"/>
      <c r="X120" s="123"/>
      <c r="Y120" s="129"/>
      <c r="Z120" s="130" t="s">
        <v>224</v>
      </c>
      <c r="AA120" s="131">
        <v>45520.0</v>
      </c>
      <c r="AB120" s="144">
        <v>22.1</v>
      </c>
      <c r="AC120" s="154">
        <v>110500.0</v>
      </c>
    </row>
    <row r="121">
      <c r="A121" s="114"/>
      <c r="B121" s="115"/>
      <c r="C121" s="116">
        <f>I121/E132</f>
        <v>0</v>
      </c>
      <c r="D121" s="117" t="s">
        <v>223</v>
      </c>
      <c r="E121" s="117" t="s">
        <v>224</v>
      </c>
      <c r="F121" s="118">
        <v>7.9</v>
      </c>
      <c r="G121" s="119">
        <v>5000.0</v>
      </c>
      <c r="H121" s="19">
        <f t="shared" si="47"/>
        <v>139000</v>
      </c>
      <c r="I121" s="154">
        <v>0.0</v>
      </c>
      <c r="J121" s="141">
        <v>27.8</v>
      </c>
      <c r="K121" s="152">
        <f>IFERROR(__xludf.DUMMYFUNCTION("GOOGLEFINANCE(E121,""changepct"")"),1.75)</f>
        <v>1.75</v>
      </c>
      <c r="L121" s="153">
        <f>IFERROR(__xludf.DUMMYFUNCTION("googlefinance(E121,""price"")"),28.45)</f>
        <v>28.45</v>
      </c>
      <c r="M121" s="123">
        <v>29.35</v>
      </c>
      <c r="N121" s="100">
        <f t="shared" si="49"/>
        <v>0.65</v>
      </c>
      <c r="O121" s="143">
        <f t="shared" ref="O121:O123" si="56">M121/J121-1</f>
        <v>0.05575539568</v>
      </c>
      <c r="P121" s="155">
        <f t="shared" si="51"/>
        <v>7750</v>
      </c>
      <c r="Q121" s="124"/>
      <c r="R121" s="125"/>
      <c r="S121" s="123"/>
      <c r="T121" s="129"/>
      <c r="U121" s="125"/>
      <c r="V121" s="127" t="s">
        <v>224</v>
      </c>
      <c r="W121" s="128">
        <v>45497.0</v>
      </c>
      <c r="X121" s="123">
        <v>29.35</v>
      </c>
      <c r="Y121" s="129">
        <v>146750.0</v>
      </c>
      <c r="Z121" s="130" t="s">
        <v>224</v>
      </c>
      <c r="AA121" s="131">
        <v>45478.0</v>
      </c>
      <c r="AB121" s="144">
        <v>27.8</v>
      </c>
      <c r="AC121" s="154">
        <v>139000.0</v>
      </c>
    </row>
    <row r="122">
      <c r="A122" s="114"/>
      <c r="B122" s="115"/>
      <c r="C122" s="116">
        <f>I122/E132</f>
        <v>0</v>
      </c>
      <c r="D122" s="117" t="s">
        <v>322</v>
      </c>
      <c r="E122" s="117" t="s">
        <v>189</v>
      </c>
      <c r="F122" s="118">
        <v>7.8</v>
      </c>
      <c r="G122" s="119">
        <v>10000.0</v>
      </c>
      <c r="H122" s="19">
        <f t="shared" si="47"/>
        <v>32600</v>
      </c>
      <c r="I122" s="154">
        <v>0.0</v>
      </c>
      <c r="J122" s="141">
        <v>3.26</v>
      </c>
      <c r="K122" s="152">
        <f>IFERROR(__xludf.DUMMYFUNCTION("GOOGLEFINANCE(E122,""changepct"")"),1.88)</f>
        <v>1.88</v>
      </c>
      <c r="L122" s="153">
        <f>IFERROR(__xludf.DUMMYFUNCTION("googlefinance(E122,""price"")"),32.01)</f>
        <v>32.01</v>
      </c>
      <c r="M122" s="123">
        <v>3.2</v>
      </c>
      <c r="N122" s="100">
        <f t="shared" si="49"/>
        <v>28.75</v>
      </c>
      <c r="O122" s="143">
        <f t="shared" si="56"/>
        <v>-0.01840490798</v>
      </c>
      <c r="P122" s="155">
        <f t="shared" si="51"/>
        <v>-600</v>
      </c>
      <c r="Q122" s="124"/>
      <c r="R122" s="125"/>
      <c r="S122" s="158"/>
      <c r="T122" s="129"/>
      <c r="U122" s="125"/>
      <c r="V122" s="127" t="s">
        <v>189</v>
      </c>
      <c r="W122" s="128">
        <v>45497.0</v>
      </c>
      <c r="X122" s="123">
        <v>3.2</v>
      </c>
      <c r="Y122" s="129">
        <v>32000.0</v>
      </c>
      <c r="Z122" s="159"/>
      <c r="AA122" s="160"/>
      <c r="AB122" s="161"/>
      <c r="AC122" s="155"/>
    </row>
    <row r="123">
      <c r="A123" s="114"/>
      <c r="B123" s="115"/>
      <c r="C123" s="116">
        <f>I123/E132</f>
        <v>0</v>
      </c>
      <c r="D123" s="156" t="s">
        <v>225</v>
      </c>
      <c r="E123" s="156" t="s">
        <v>226</v>
      </c>
      <c r="F123" s="157">
        <v>7.5</v>
      </c>
      <c r="G123" s="119">
        <v>2000.0</v>
      </c>
      <c r="H123" s="19">
        <f t="shared" si="47"/>
        <v>263400</v>
      </c>
      <c r="I123" s="154">
        <v>0.0</v>
      </c>
      <c r="J123" s="141">
        <v>131.7</v>
      </c>
      <c r="K123" s="152">
        <f>IFERROR(__xludf.DUMMYFUNCTION("GOOGLEFINANCE(E123,""changepct"")"),-8.19)</f>
        <v>-8.19</v>
      </c>
      <c r="L123" s="153">
        <f>IFERROR(__xludf.DUMMYFUNCTION("googlefinance(E123,""price"")"),302.96)</f>
        <v>302.96</v>
      </c>
      <c r="M123" s="123">
        <v>177.4</v>
      </c>
      <c r="N123" s="161">
        <f t="shared" si="49"/>
        <v>171.26</v>
      </c>
      <c r="O123" s="143">
        <f t="shared" si="56"/>
        <v>0.3470007593</v>
      </c>
      <c r="P123" s="155">
        <f t="shared" si="51"/>
        <v>91400</v>
      </c>
      <c r="Q123" s="124"/>
      <c r="R123" s="125"/>
      <c r="S123" s="158"/>
      <c r="T123" s="129"/>
      <c r="U123" s="125"/>
      <c r="V123" s="127" t="s">
        <v>226</v>
      </c>
      <c r="W123" s="128">
        <v>45562.0</v>
      </c>
      <c r="X123" s="123">
        <v>177.4</v>
      </c>
      <c r="Y123" s="129">
        <v>354800.0</v>
      </c>
      <c r="Z123" s="130" t="s">
        <v>226</v>
      </c>
      <c r="AA123" s="131">
        <v>45520.0</v>
      </c>
      <c r="AB123" s="144">
        <v>131.7</v>
      </c>
      <c r="AC123" s="154">
        <v>263400.0</v>
      </c>
    </row>
    <row r="124">
      <c r="A124" s="162"/>
      <c r="B124" s="163"/>
      <c r="C124" s="164">
        <f>I124/E132</f>
        <v>0.02443178618</v>
      </c>
      <c r="D124" s="156" t="s">
        <v>225</v>
      </c>
      <c r="E124" s="156" t="s">
        <v>226</v>
      </c>
      <c r="F124" s="157">
        <v>7.5</v>
      </c>
      <c r="G124" s="165">
        <v>2000.0</v>
      </c>
      <c r="H124" s="155">
        <f t="shared" si="47"/>
        <v>275500</v>
      </c>
      <c r="I124" s="155">
        <f>H124+P124</f>
        <v>605920</v>
      </c>
      <c r="J124" s="144">
        <v>137.75</v>
      </c>
      <c r="K124" s="152">
        <f>IFERROR(__xludf.DUMMYFUNCTION("GOOGLEFINANCE(E124,""changepct"")"),-8.19)</f>
        <v>-8.19</v>
      </c>
      <c r="L124" s="153">
        <f>IFERROR(__xludf.DUMMYFUNCTION("googlefinance(E124,""price"")"),302.96)</f>
        <v>302.96</v>
      </c>
      <c r="M124" s="166"/>
      <c r="N124" s="161">
        <f t="shared" si="49"/>
        <v>165.21</v>
      </c>
      <c r="O124" s="143">
        <f>L124/J124-1</f>
        <v>1.199346642</v>
      </c>
      <c r="P124" s="155">
        <f t="shared" si="51"/>
        <v>330420</v>
      </c>
      <c r="Q124" s="167"/>
      <c r="R124" s="168"/>
      <c r="S124" s="169"/>
      <c r="T124" s="170">
        <v>11000.0</v>
      </c>
      <c r="U124" s="168"/>
      <c r="V124" s="163"/>
      <c r="W124" s="275"/>
      <c r="X124" s="276"/>
      <c r="Y124" s="168"/>
      <c r="Z124" s="159"/>
      <c r="AA124" s="160"/>
      <c r="AB124" s="161"/>
      <c r="AC124" s="155"/>
    </row>
    <row r="125">
      <c r="A125" s="48"/>
      <c r="B125" s="6"/>
      <c r="C125" s="6" t="s">
        <v>89</v>
      </c>
      <c r="D125" s="53"/>
      <c r="E125" s="53"/>
      <c r="F125" s="53"/>
      <c r="G125" s="11"/>
      <c r="H125" s="49">
        <f t="shared" ref="H125:I125" si="57">SUM(H105:H124)</f>
        <v>2724735</v>
      </c>
      <c r="I125" s="49">
        <f t="shared" si="57"/>
        <v>2082935</v>
      </c>
      <c r="J125" s="54"/>
      <c r="K125" s="53"/>
      <c r="L125" s="6"/>
      <c r="M125" s="53"/>
      <c r="N125" s="53"/>
      <c r="O125" s="71">
        <f>F130</f>
        <v>0.03110196187</v>
      </c>
      <c r="P125" s="191">
        <v>55025.0</v>
      </c>
      <c r="Q125" s="53"/>
      <c r="R125" s="53"/>
      <c r="S125" s="173"/>
      <c r="T125" s="11">
        <f>SUM(T105:T124)</f>
        <v>11000</v>
      </c>
      <c r="U125" s="6"/>
      <c r="V125" s="6" t="s">
        <v>89</v>
      </c>
      <c r="W125" s="53"/>
      <c r="X125" s="54"/>
      <c r="Y125" s="49">
        <f>SUM(Y105:Y124)</f>
        <v>1041525</v>
      </c>
      <c r="Z125" s="6" t="s">
        <v>89</v>
      </c>
      <c r="AA125" s="53"/>
      <c r="AB125" s="174"/>
      <c r="AC125" s="49">
        <f>SUM(AC105:AC124)</f>
        <v>805550</v>
      </c>
    </row>
    <row r="126">
      <c r="A126" s="48" t="s">
        <v>227</v>
      </c>
      <c r="B126" s="6" t="s">
        <v>228</v>
      </c>
      <c r="C126" s="6" t="s">
        <v>229</v>
      </c>
      <c r="D126" s="5" t="s">
        <v>230</v>
      </c>
      <c r="E126" s="5" t="s">
        <v>323</v>
      </c>
      <c r="F126" s="6" t="s">
        <v>14</v>
      </c>
      <c r="G126" s="5" t="s">
        <v>232</v>
      </c>
      <c r="H126" s="6" t="s">
        <v>233</v>
      </c>
      <c r="I126" s="5" t="s">
        <v>234</v>
      </c>
      <c r="J126" s="5" t="s">
        <v>235</v>
      </c>
      <c r="K126" s="5" t="s">
        <v>236</v>
      </c>
      <c r="L126" s="53"/>
      <c r="M126" s="53"/>
      <c r="N126" s="53"/>
      <c r="O126" s="53"/>
      <c r="P126" s="53"/>
      <c r="Q126" s="53"/>
      <c r="R126" s="175"/>
      <c r="S126" s="176"/>
      <c r="T126" s="177"/>
      <c r="U126" s="175"/>
      <c r="V126" s="175"/>
      <c r="W126" s="175"/>
      <c r="X126" s="175"/>
      <c r="Y126" s="175"/>
      <c r="Z126" s="175"/>
      <c r="AA126" s="175"/>
      <c r="AB126" s="175"/>
      <c r="AC126" s="175"/>
    </row>
    <row r="127">
      <c r="A127" s="178" t="s">
        <v>237</v>
      </c>
      <c r="B127" s="14">
        <f>B4</f>
        <v>0.9009265507</v>
      </c>
      <c r="C127" s="20">
        <v>2.1526037E7</v>
      </c>
      <c r="D127" s="277">
        <v>1.4323865E7</v>
      </c>
      <c r="E127" s="20">
        <v>1.588601E7</v>
      </c>
      <c r="F127" s="25">
        <f>O56</f>
        <v>0.09203125217</v>
      </c>
      <c r="G127" s="180">
        <v>2040292.0</v>
      </c>
      <c r="H127" s="180">
        <f>T103+T85+T56+T71+T125+AB144</f>
        <v>31118</v>
      </c>
      <c r="I127" s="179">
        <f>R103+R85+R56</f>
        <v>8260</v>
      </c>
      <c r="J127" s="180">
        <f>AB144</f>
        <v>11648</v>
      </c>
      <c r="K127" s="179">
        <f>G127+H127+G129+I127+J127+G128</f>
        <v>2694443</v>
      </c>
      <c r="L127" s="32"/>
      <c r="M127" s="32"/>
      <c r="N127" s="32"/>
      <c r="O127" s="32"/>
      <c r="P127" s="32"/>
      <c r="Q127" s="32"/>
      <c r="R127" s="175"/>
      <c r="S127" s="176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</row>
    <row r="128">
      <c r="A128" s="181" t="s">
        <v>238</v>
      </c>
      <c r="B128" s="14">
        <f>(I71+I85+I79)/E132</f>
        <v>0.1536317101</v>
      </c>
      <c r="C128" s="20">
        <v>5947270.0</v>
      </c>
      <c r="D128" s="20">
        <v>2355840.0</v>
      </c>
      <c r="E128" s="20">
        <v>3524500.0</v>
      </c>
      <c r="F128" s="25">
        <f>G128/E128</f>
        <v>0.02476805221</v>
      </c>
      <c r="G128" s="180">
        <v>87295.0</v>
      </c>
      <c r="H128" s="182"/>
      <c r="I128" s="182"/>
      <c r="J128" s="182"/>
      <c r="K128" s="183">
        <f>K127/(D128+D129+D127)</f>
        <v>0.1343271945</v>
      </c>
      <c r="L128" s="32"/>
      <c r="M128" s="32"/>
      <c r="N128" s="32"/>
      <c r="O128" s="32"/>
      <c r="P128" s="32"/>
      <c r="Q128" s="32"/>
      <c r="R128" s="175"/>
      <c r="S128" s="176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</row>
    <row r="129">
      <c r="A129" s="178" t="s">
        <v>239</v>
      </c>
      <c r="B129" s="14">
        <f>E129/E132</f>
        <v>0.12619474</v>
      </c>
      <c r="C129" s="20">
        <v>2711655.0</v>
      </c>
      <c r="D129" s="20">
        <v>3379100.0</v>
      </c>
      <c r="E129" s="20">
        <v>3129690.0</v>
      </c>
      <c r="F129" s="25">
        <f>O103</f>
        <v>0.1767173526</v>
      </c>
      <c r="G129" s="180">
        <v>515830.0</v>
      </c>
      <c r="H129" s="184"/>
      <c r="I129" s="184"/>
      <c r="J129" s="184"/>
      <c r="K129" s="185"/>
      <c r="L129" s="32"/>
      <c r="M129" s="32"/>
      <c r="N129" s="32"/>
      <c r="O129" s="32"/>
      <c r="P129" s="32"/>
      <c r="Q129" s="32"/>
      <c r="R129" s="175"/>
      <c r="S129" s="176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</row>
    <row r="130">
      <c r="A130" s="89" t="s">
        <v>240</v>
      </c>
      <c r="B130" s="14">
        <f>E130/E132</f>
        <v>0.07008876724</v>
      </c>
      <c r="C130" s="20">
        <v>2724735.0</v>
      </c>
      <c r="D130" s="20">
        <v>1769181.0</v>
      </c>
      <c r="E130" s="20">
        <v>1738235.0</v>
      </c>
      <c r="F130" s="25">
        <f>G130/D130</f>
        <v>0.03110196187</v>
      </c>
      <c r="G130" s="180">
        <v>55025.0</v>
      </c>
      <c r="H130" s="186"/>
      <c r="I130" s="187"/>
      <c r="J130" s="186"/>
      <c r="K130" s="186"/>
      <c r="L130" s="32"/>
      <c r="M130" s="32"/>
      <c r="N130" s="32"/>
      <c r="O130" s="32"/>
      <c r="P130" s="32"/>
      <c r="Q130" s="32"/>
      <c r="R130" s="175"/>
      <c r="S130" s="176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</row>
    <row r="131">
      <c r="A131" s="178" t="s">
        <v>241</v>
      </c>
      <c r="B131" s="14">
        <f>E131/E132</f>
        <v>0.02104975472</v>
      </c>
      <c r="C131" s="29" t="s">
        <v>128</v>
      </c>
      <c r="D131" s="20">
        <v>73321.0</v>
      </c>
      <c r="E131" s="20">
        <v>522044.0</v>
      </c>
      <c r="F131" s="188" t="s">
        <v>128</v>
      </c>
      <c r="G131" s="180">
        <v>51026.0</v>
      </c>
      <c r="H131" s="189" t="s">
        <v>242</v>
      </c>
      <c r="I131" s="189" t="s">
        <v>324</v>
      </c>
      <c r="J131" s="189" t="s">
        <v>325</v>
      </c>
      <c r="K131" s="189" t="s">
        <v>326</v>
      </c>
      <c r="L131" s="32"/>
      <c r="M131" s="32"/>
      <c r="N131" s="32"/>
      <c r="O131" s="32"/>
      <c r="P131" s="32"/>
      <c r="Q131" s="32"/>
      <c r="R131" s="175"/>
      <c r="S131" s="176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</row>
    <row r="132">
      <c r="A132" s="48" t="s">
        <v>246</v>
      </c>
      <c r="B132" s="190">
        <v>1.0</v>
      </c>
      <c r="C132" s="49" t="s">
        <v>128</v>
      </c>
      <c r="D132" s="191">
        <f>SUM(D127:D131)</f>
        <v>21901307</v>
      </c>
      <c r="E132" s="191">
        <v>2.4800479E7</v>
      </c>
      <c r="F132" s="25">
        <f>G132/D132</f>
        <v>0.1255389918</v>
      </c>
      <c r="G132" s="191">
        <v>2749468.0</v>
      </c>
      <c r="H132" s="192">
        <v>1.7035387E7</v>
      </c>
      <c r="I132" s="193">
        <f>E132</f>
        <v>24800479</v>
      </c>
      <c r="J132" s="11">
        <f>I132-H132</f>
        <v>7765092</v>
      </c>
      <c r="K132" s="182">
        <f>J132/H132</f>
        <v>0.4558212854</v>
      </c>
      <c r="L132" s="53"/>
      <c r="M132" s="53"/>
      <c r="N132" s="53"/>
      <c r="O132" s="53"/>
      <c r="P132" s="53"/>
      <c r="Q132" s="53"/>
      <c r="R132" s="175"/>
      <c r="S132" s="176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</row>
    <row r="133">
      <c r="A133" s="194" t="s">
        <v>247</v>
      </c>
      <c r="B133" s="195"/>
      <c r="C133" s="196"/>
      <c r="D133" s="196"/>
      <c r="E133" s="196"/>
      <c r="F133" s="196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97"/>
      <c r="T133" s="197"/>
      <c r="U133" s="197"/>
      <c r="V133" s="197"/>
      <c r="W133" s="197"/>
      <c r="X133" s="197"/>
      <c r="Y133" s="197"/>
      <c r="Z133" s="197"/>
      <c r="AA133" s="197"/>
      <c r="AB133" s="197"/>
      <c r="AC133" s="175"/>
    </row>
    <row r="134">
      <c r="A134" s="198" t="s">
        <v>248</v>
      </c>
      <c r="B134" s="199"/>
      <c r="C134" s="200" t="s">
        <v>327</v>
      </c>
      <c r="D134" s="200" t="s">
        <v>328</v>
      </c>
      <c r="E134" s="200" t="s">
        <v>329</v>
      </c>
      <c r="F134" s="201" t="s">
        <v>252</v>
      </c>
      <c r="G134" s="202"/>
      <c r="H134" s="203" t="s">
        <v>253</v>
      </c>
      <c r="I134" s="203" t="s">
        <v>254</v>
      </c>
      <c r="J134" s="203" t="s">
        <v>255</v>
      </c>
      <c r="K134" s="203" t="s">
        <v>256</v>
      </c>
      <c r="L134" s="203" t="s">
        <v>257</v>
      </c>
      <c r="M134" s="203" t="s">
        <v>258</v>
      </c>
      <c r="N134" s="203" t="s">
        <v>259</v>
      </c>
      <c r="O134" s="203" t="s">
        <v>260</v>
      </c>
      <c r="P134" s="203" t="s">
        <v>261</v>
      </c>
      <c r="Q134" s="203" t="s">
        <v>262</v>
      </c>
      <c r="R134" s="175"/>
      <c r="S134" s="203" t="s">
        <v>263</v>
      </c>
      <c r="T134" s="203" t="s">
        <v>254</v>
      </c>
      <c r="U134" s="203" t="s">
        <v>264</v>
      </c>
      <c r="V134" s="203" t="s">
        <v>256</v>
      </c>
      <c r="W134" s="203" t="s">
        <v>257</v>
      </c>
      <c r="X134" s="203" t="s">
        <v>258</v>
      </c>
      <c r="Y134" s="203" t="s">
        <v>259</v>
      </c>
      <c r="Z134" s="203" t="s">
        <v>260</v>
      </c>
      <c r="AA134" s="203" t="s">
        <v>261</v>
      </c>
      <c r="AB134" s="203" t="s">
        <v>262</v>
      </c>
      <c r="AC134" s="175"/>
    </row>
    <row r="135">
      <c r="A135" s="89" t="s">
        <v>265</v>
      </c>
      <c r="B135" s="16" t="s">
        <v>266</v>
      </c>
      <c r="C135" s="204">
        <v>39119.0</v>
      </c>
      <c r="D135" s="204">
        <v>42330.0</v>
      </c>
      <c r="E135" s="206">
        <f t="shared" ref="E135:E139" si="58">D135-C135</f>
        <v>3211</v>
      </c>
      <c r="F135" s="207">
        <f t="shared" ref="F135:F139" si="59">D135/C135-1</f>
        <v>0.08208287533</v>
      </c>
      <c r="G135" s="208"/>
      <c r="H135" s="209">
        <v>15000.0</v>
      </c>
      <c r="I135" s="210" t="s">
        <v>87</v>
      </c>
      <c r="J135" s="211">
        <v>45461.0</v>
      </c>
      <c r="K135" s="211">
        <v>45492.0</v>
      </c>
      <c r="L135" s="212">
        <v>16.0</v>
      </c>
      <c r="M135" s="212">
        <v>0.78</v>
      </c>
      <c r="N135" s="213">
        <v>11700.0</v>
      </c>
      <c r="O135" s="211">
        <v>45474.0</v>
      </c>
      <c r="P135" s="212">
        <v>0.52</v>
      </c>
      <c r="Q135" s="213">
        <v>3900.0</v>
      </c>
      <c r="R135" s="175"/>
      <c r="S135" s="214"/>
      <c r="T135" s="104" t="s">
        <v>53</v>
      </c>
      <c r="U135" s="108">
        <v>45532.0</v>
      </c>
      <c r="V135" s="108">
        <v>45583.0</v>
      </c>
      <c r="W135" s="215">
        <v>100.0</v>
      </c>
      <c r="X135" s="216">
        <v>2.26</v>
      </c>
      <c r="Y135" s="217">
        <v>14000.0</v>
      </c>
      <c r="Z135" s="108">
        <v>45533.0</v>
      </c>
      <c r="AA135" s="216">
        <v>1.88</v>
      </c>
      <c r="AB135" s="217">
        <v>11648.0</v>
      </c>
      <c r="AC135" s="175"/>
    </row>
    <row r="136">
      <c r="A136" s="89" t="s">
        <v>267</v>
      </c>
      <c r="B136" s="16" t="s">
        <v>268</v>
      </c>
      <c r="C136" s="204">
        <v>5460.0</v>
      </c>
      <c r="D136" s="204">
        <v>5762.0</v>
      </c>
      <c r="E136" s="206">
        <f t="shared" si="58"/>
        <v>302</v>
      </c>
      <c r="F136" s="207">
        <f t="shared" si="59"/>
        <v>0.05531135531</v>
      </c>
      <c r="G136" s="208"/>
      <c r="H136" s="209">
        <v>2000.0</v>
      </c>
      <c r="I136" s="210" t="s">
        <v>36</v>
      </c>
      <c r="J136" s="211">
        <v>45475.0</v>
      </c>
      <c r="K136" s="211">
        <v>45520.0</v>
      </c>
      <c r="L136" s="212">
        <v>240.0</v>
      </c>
      <c r="M136" s="212">
        <v>15.5</v>
      </c>
      <c r="N136" s="213">
        <v>31000.0</v>
      </c>
      <c r="O136" s="211">
        <v>45476.0</v>
      </c>
      <c r="P136" s="212">
        <v>17.44</v>
      </c>
      <c r="Q136" s="213">
        <v>-3880.0</v>
      </c>
      <c r="R136" s="175"/>
      <c r="S136" s="214"/>
      <c r="T136" s="104"/>
      <c r="U136" s="108"/>
      <c r="V136" s="108"/>
      <c r="W136" s="215"/>
      <c r="X136" s="216"/>
      <c r="Y136" s="217"/>
      <c r="Z136" s="108"/>
      <c r="AA136" s="216"/>
      <c r="AB136" s="217"/>
      <c r="AC136" s="175"/>
    </row>
    <row r="137">
      <c r="A137" s="89" t="s">
        <v>269</v>
      </c>
      <c r="B137" s="16" t="s">
        <v>270</v>
      </c>
      <c r="C137" s="204">
        <v>17733.0</v>
      </c>
      <c r="D137" s="204">
        <v>18189.0</v>
      </c>
      <c r="E137" s="206">
        <f t="shared" si="58"/>
        <v>456</v>
      </c>
      <c r="F137" s="207">
        <f t="shared" si="59"/>
        <v>0.02571476907</v>
      </c>
      <c r="G137" s="208"/>
      <c r="H137" s="218">
        <v>20000.0</v>
      </c>
      <c r="I137" s="219" t="s">
        <v>46</v>
      </c>
      <c r="J137" s="220">
        <v>45475.0</v>
      </c>
      <c r="K137" s="220">
        <v>45520.0</v>
      </c>
      <c r="L137" s="221">
        <v>30.0</v>
      </c>
      <c r="M137" s="221">
        <v>1.0</v>
      </c>
      <c r="N137" s="222">
        <v>20000.0</v>
      </c>
      <c r="O137" s="220">
        <v>45488.0</v>
      </c>
      <c r="P137" s="223">
        <v>1.64</v>
      </c>
      <c r="Q137" s="222">
        <v>-12800.0</v>
      </c>
      <c r="R137" s="175"/>
      <c r="S137" s="224"/>
      <c r="T137" s="104"/>
      <c r="U137" s="108"/>
      <c r="V137" s="108"/>
      <c r="W137" s="215"/>
      <c r="X137" s="216"/>
      <c r="Y137" s="217"/>
      <c r="Z137" s="108"/>
      <c r="AA137" s="216"/>
      <c r="AB137" s="217"/>
      <c r="AC137" s="175"/>
    </row>
    <row r="138">
      <c r="A138" s="89" t="s">
        <v>271</v>
      </c>
      <c r="B138" s="16" t="s">
        <v>272</v>
      </c>
      <c r="C138" s="204">
        <v>2048.0</v>
      </c>
      <c r="D138" s="204">
        <v>2230.0</v>
      </c>
      <c r="E138" s="206">
        <f t="shared" si="58"/>
        <v>182</v>
      </c>
      <c r="F138" s="207">
        <f t="shared" si="59"/>
        <v>0.0888671875</v>
      </c>
      <c r="G138" s="208"/>
      <c r="H138" s="218">
        <v>3000.0</v>
      </c>
      <c r="I138" s="219" t="s">
        <v>36</v>
      </c>
      <c r="J138" s="220">
        <v>45478.0</v>
      </c>
      <c r="K138" s="220">
        <v>45520.0</v>
      </c>
      <c r="L138" s="221">
        <v>270.0</v>
      </c>
      <c r="M138" s="221">
        <v>12.75</v>
      </c>
      <c r="N138" s="222">
        <v>38250.0</v>
      </c>
      <c r="O138" s="220">
        <v>45484.0</v>
      </c>
      <c r="P138" s="221">
        <v>11.55</v>
      </c>
      <c r="Q138" s="222">
        <v>3600.0</v>
      </c>
      <c r="R138" s="175"/>
      <c r="S138" s="224"/>
      <c r="T138" s="104"/>
      <c r="U138" s="108"/>
      <c r="V138" s="108"/>
      <c r="W138" s="215"/>
      <c r="X138" s="216"/>
      <c r="Y138" s="217"/>
      <c r="Z138" s="108"/>
      <c r="AA138" s="216"/>
      <c r="AB138" s="217"/>
      <c r="AC138" s="175"/>
    </row>
    <row r="139">
      <c r="A139" s="89" t="s">
        <v>273</v>
      </c>
      <c r="B139" s="16" t="s">
        <v>274</v>
      </c>
      <c r="C139" s="204">
        <v>18027.0</v>
      </c>
      <c r="D139" s="204">
        <v>19516.0</v>
      </c>
      <c r="E139" s="206">
        <f t="shared" si="58"/>
        <v>1489</v>
      </c>
      <c r="F139" s="207">
        <f t="shared" si="59"/>
        <v>0.08259832474</v>
      </c>
      <c r="G139" s="208"/>
      <c r="H139" s="225">
        <v>1000.0</v>
      </c>
      <c r="I139" s="104" t="s">
        <v>311</v>
      </c>
      <c r="J139" s="108">
        <v>45478.0</v>
      </c>
      <c r="K139" s="108">
        <v>45520.0</v>
      </c>
      <c r="L139" s="216">
        <v>110.0</v>
      </c>
      <c r="M139" s="216">
        <v>5.3</v>
      </c>
      <c r="N139" s="217">
        <v>5300.0</v>
      </c>
      <c r="O139" s="108">
        <v>45484.0</v>
      </c>
      <c r="P139" s="216">
        <v>11.67</v>
      </c>
      <c r="Q139" s="217">
        <v>-6370.0</v>
      </c>
      <c r="R139" s="175"/>
      <c r="S139" s="224"/>
      <c r="T139" s="104"/>
      <c r="U139" s="108"/>
      <c r="V139" s="108"/>
      <c r="W139" s="215"/>
      <c r="X139" s="216"/>
      <c r="Y139" s="217"/>
      <c r="Z139" s="108"/>
      <c r="AA139" s="216"/>
      <c r="AB139" s="217"/>
      <c r="AC139" s="175"/>
    </row>
    <row r="140">
      <c r="H140" s="225">
        <v>200.0</v>
      </c>
      <c r="I140" s="104" t="s">
        <v>291</v>
      </c>
      <c r="J140" s="108">
        <v>45478.0</v>
      </c>
      <c r="K140" s="108">
        <v>45520.0</v>
      </c>
      <c r="L140" s="216">
        <v>1000.0</v>
      </c>
      <c r="M140" s="216">
        <v>43.0</v>
      </c>
      <c r="N140" s="217">
        <v>8600.0</v>
      </c>
      <c r="O140" s="108">
        <v>45484.0</v>
      </c>
      <c r="P140" s="216">
        <v>57.0</v>
      </c>
      <c r="Q140" s="217">
        <v>-2800.0</v>
      </c>
      <c r="S140" s="224"/>
      <c r="T140" s="104"/>
      <c r="U140" s="108"/>
      <c r="V140" s="108"/>
      <c r="W140" s="215"/>
      <c r="X140" s="216"/>
      <c r="Y140" s="217"/>
      <c r="Z140" s="108"/>
      <c r="AA140" s="216"/>
      <c r="AB140" s="217"/>
    </row>
    <row r="141">
      <c r="A141" s="226" t="s">
        <v>248</v>
      </c>
      <c r="B141" s="227"/>
      <c r="C141" s="228" t="s">
        <v>275</v>
      </c>
      <c r="D141" s="228" t="s">
        <v>328</v>
      </c>
      <c r="E141" s="228" t="s">
        <v>330</v>
      </c>
      <c r="F141" s="228" t="s">
        <v>277</v>
      </c>
      <c r="H141" s="209">
        <v>200.0</v>
      </c>
      <c r="I141" s="210" t="s">
        <v>226</v>
      </c>
      <c r="J141" s="108">
        <v>45481.0</v>
      </c>
      <c r="K141" s="211">
        <v>45520.0</v>
      </c>
      <c r="L141" s="212">
        <v>1400.0</v>
      </c>
      <c r="M141" s="212">
        <v>113.0</v>
      </c>
      <c r="N141" s="213">
        <v>22600.0</v>
      </c>
      <c r="O141" s="108">
        <v>45512.0</v>
      </c>
      <c r="P141" s="212">
        <v>58.0</v>
      </c>
      <c r="Q141" s="213">
        <v>11000.0</v>
      </c>
      <c r="S141" s="229"/>
      <c r="T141" s="210"/>
      <c r="U141" s="211"/>
      <c r="V141" s="211"/>
      <c r="W141" s="230"/>
      <c r="X141" s="212"/>
      <c r="Y141" s="213"/>
      <c r="Z141" s="211"/>
      <c r="AA141" s="212"/>
      <c r="AB141" s="213"/>
    </row>
    <row r="142">
      <c r="A142" s="231" t="s">
        <v>265</v>
      </c>
      <c r="B142" s="231" t="s">
        <v>266</v>
      </c>
      <c r="C142" s="232">
        <v>37690.0</v>
      </c>
      <c r="D142" s="232">
        <v>42330.0</v>
      </c>
      <c r="E142" s="234">
        <f t="shared" ref="E142:E146" si="60">D142-C142</f>
        <v>4640</v>
      </c>
      <c r="F142" s="235">
        <f t="shared" ref="F142:F146" si="61">D142/C142-1</f>
        <v>0.1231095781</v>
      </c>
      <c r="H142" s="209">
        <v>15000.0</v>
      </c>
      <c r="I142" s="210" t="s">
        <v>87</v>
      </c>
      <c r="J142" s="211">
        <v>45481.0</v>
      </c>
      <c r="K142" s="211">
        <v>45520.0</v>
      </c>
      <c r="L142" s="212">
        <v>18.0</v>
      </c>
      <c r="M142" s="212">
        <v>1.2</v>
      </c>
      <c r="N142" s="213">
        <v>18000.0</v>
      </c>
      <c r="O142" s="211">
        <v>45488.0</v>
      </c>
      <c r="P142" s="212">
        <v>1.07</v>
      </c>
      <c r="Q142" s="213">
        <v>1950.0</v>
      </c>
      <c r="S142" s="229"/>
      <c r="T142" s="210"/>
      <c r="U142" s="211"/>
      <c r="V142" s="211"/>
      <c r="W142" s="230"/>
      <c r="X142" s="212"/>
      <c r="Y142" s="213"/>
      <c r="Z142" s="211"/>
      <c r="AA142" s="212"/>
      <c r="AB142" s="213"/>
    </row>
    <row r="143">
      <c r="A143" s="231" t="s">
        <v>267</v>
      </c>
      <c r="B143" s="231" t="s">
        <v>268</v>
      </c>
      <c r="C143" s="232">
        <v>4770.0</v>
      </c>
      <c r="D143" s="232">
        <v>5762.0</v>
      </c>
      <c r="E143" s="234">
        <f t="shared" si="60"/>
        <v>992</v>
      </c>
      <c r="F143" s="235">
        <f t="shared" si="61"/>
        <v>0.207966457</v>
      </c>
      <c r="H143" s="209">
        <v>10000.0</v>
      </c>
      <c r="I143" s="210" t="s">
        <v>289</v>
      </c>
      <c r="J143" s="211">
        <v>45481.0</v>
      </c>
      <c r="K143" s="211">
        <v>45520.0</v>
      </c>
      <c r="L143" s="212">
        <v>32.5</v>
      </c>
      <c r="M143" s="212">
        <v>0.89</v>
      </c>
      <c r="N143" s="213">
        <v>8900.0</v>
      </c>
      <c r="O143" s="211">
        <v>45484.0</v>
      </c>
      <c r="P143" s="230">
        <v>1.32</v>
      </c>
      <c r="Q143" s="213">
        <v>-4300.0</v>
      </c>
      <c r="S143" s="229"/>
      <c r="T143" s="210"/>
      <c r="U143" s="211"/>
      <c r="V143" s="211"/>
      <c r="W143" s="230"/>
      <c r="X143" s="212"/>
      <c r="Y143" s="213"/>
      <c r="Z143" s="211"/>
      <c r="AA143" s="212"/>
      <c r="AB143" s="213"/>
    </row>
    <row r="144">
      <c r="A144" s="231" t="s">
        <v>269</v>
      </c>
      <c r="B144" s="231" t="s">
        <v>270</v>
      </c>
      <c r="C144" s="232">
        <v>15011.0</v>
      </c>
      <c r="D144" s="232">
        <v>18189.0</v>
      </c>
      <c r="E144" s="234">
        <f t="shared" si="60"/>
        <v>3178</v>
      </c>
      <c r="F144" s="235">
        <f t="shared" si="61"/>
        <v>0.2117114116</v>
      </c>
      <c r="H144" s="209">
        <v>1000.0</v>
      </c>
      <c r="I144" s="237" t="s">
        <v>297</v>
      </c>
      <c r="J144" s="220">
        <v>45481.0</v>
      </c>
      <c r="K144" s="211">
        <v>45520.0</v>
      </c>
      <c r="L144" s="221">
        <v>260.0</v>
      </c>
      <c r="M144" s="221">
        <v>8.0</v>
      </c>
      <c r="N144" s="222">
        <v>8000.0</v>
      </c>
      <c r="O144" s="220">
        <v>45484.0</v>
      </c>
      <c r="P144" s="221">
        <v>5.9</v>
      </c>
      <c r="Q144" s="222">
        <v>2100.0</v>
      </c>
      <c r="S144" s="238" t="s">
        <v>89</v>
      </c>
      <c r="T144" s="239"/>
      <c r="U144" s="239"/>
      <c r="V144" s="239"/>
      <c r="W144" s="239"/>
      <c r="X144" s="239"/>
      <c r="Y144" s="240">
        <f>SUM(Y135:Y143)</f>
        <v>14000</v>
      </c>
      <c r="Z144" s="239"/>
      <c r="AA144" s="241"/>
      <c r="AB144" s="240">
        <f>SUM(AB135:AB143)</f>
        <v>11648</v>
      </c>
    </row>
    <row r="145">
      <c r="A145" s="231" t="s">
        <v>271</v>
      </c>
      <c r="B145" s="231" t="s">
        <v>272</v>
      </c>
      <c r="C145" s="232">
        <v>2027.0</v>
      </c>
      <c r="D145" s="232">
        <v>2230.0</v>
      </c>
      <c r="E145" s="234">
        <f t="shared" si="60"/>
        <v>203</v>
      </c>
      <c r="F145" s="235">
        <f t="shared" si="61"/>
        <v>0.100148002</v>
      </c>
      <c r="H145" s="209">
        <v>500.0</v>
      </c>
      <c r="I145" s="210" t="s">
        <v>59</v>
      </c>
      <c r="J145" s="211">
        <v>45481.0</v>
      </c>
      <c r="K145" s="211">
        <v>45520.0</v>
      </c>
      <c r="L145" s="212">
        <v>550.0</v>
      </c>
      <c r="M145" s="212">
        <v>22.8</v>
      </c>
      <c r="N145" s="213">
        <v>11400.0</v>
      </c>
      <c r="O145" s="211">
        <v>45484.0</v>
      </c>
      <c r="P145" s="212">
        <v>18.5</v>
      </c>
      <c r="Q145" s="213">
        <v>2150.0</v>
      </c>
    </row>
    <row r="146">
      <c r="A146" s="231" t="s">
        <v>273</v>
      </c>
      <c r="B146" s="231" t="s">
        <v>274</v>
      </c>
      <c r="C146" s="232">
        <v>16853.0</v>
      </c>
      <c r="D146" s="232">
        <v>19516.0</v>
      </c>
      <c r="E146" s="234">
        <f t="shared" si="60"/>
        <v>2663</v>
      </c>
      <c r="F146" s="235">
        <f t="shared" si="61"/>
        <v>0.1580134101</v>
      </c>
      <c r="H146" s="209">
        <v>20000.0</v>
      </c>
      <c r="I146" s="210" t="s">
        <v>46</v>
      </c>
      <c r="J146" s="211">
        <v>45483.0</v>
      </c>
      <c r="K146" s="211">
        <v>45520.0</v>
      </c>
      <c r="L146" s="212">
        <v>32.0</v>
      </c>
      <c r="M146" s="212">
        <v>1.2</v>
      </c>
      <c r="N146" s="213">
        <v>24000.0</v>
      </c>
      <c r="O146" s="211">
        <v>45491.0</v>
      </c>
      <c r="P146" s="212">
        <v>1.17</v>
      </c>
      <c r="Q146" s="213">
        <v>600.0</v>
      </c>
    </row>
    <row r="147">
      <c r="H147" s="209">
        <v>1000.0</v>
      </c>
      <c r="I147" s="210" t="s">
        <v>311</v>
      </c>
      <c r="J147" s="211">
        <v>45488.0</v>
      </c>
      <c r="K147" s="211">
        <v>45527.0</v>
      </c>
      <c r="L147" s="212">
        <v>113.0</v>
      </c>
      <c r="M147" s="212">
        <v>10.0</v>
      </c>
      <c r="N147" s="213">
        <v>10000.0</v>
      </c>
      <c r="O147" s="211">
        <v>45495.0</v>
      </c>
      <c r="P147" s="212">
        <v>7.0</v>
      </c>
      <c r="Q147" s="213">
        <v>3000.0</v>
      </c>
    </row>
    <row r="148">
      <c r="A148" s="242" t="s">
        <v>278</v>
      </c>
      <c r="B148" s="243" t="s">
        <v>279</v>
      </c>
      <c r="C148" s="244"/>
      <c r="D148" s="244"/>
      <c r="H148" s="209">
        <v>50000.0</v>
      </c>
      <c r="I148" s="210" t="s">
        <v>57</v>
      </c>
      <c r="J148" s="211">
        <v>45488.0</v>
      </c>
      <c r="K148" s="211">
        <v>45527.0</v>
      </c>
      <c r="L148" s="212">
        <v>7.0</v>
      </c>
      <c r="M148" s="212">
        <v>0.54</v>
      </c>
      <c r="N148" s="213">
        <v>27000.0</v>
      </c>
      <c r="O148" s="211">
        <v>45489.0</v>
      </c>
      <c r="P148" s="212">
        <v>0.38</v>
      </c>
      <c r="Q148" s="213">
        <v>8000.0</v>
      </c>
    </row>
    <row r="149">
      <c r="A149" s="242" t="s">
        <v>280</v>
      </c>
      <c r="B149" s="243" t="s">
        <v>281</v>
      </c>
      <c r="C149" s="244"/>
      <c r="D149" s="244"/>
      <c r="H149" s="209">
        <v>400.0</v>
      </c>
      <c r="I149" s="210" t="s">
        <v>291</v>
      </c>
      <c r="J149" s="211">
        <v>45490.0</v>
      </c>
      <c r="K149" s="211">
        <v>45520.0</v>
      </c>
      <c r="L149" s="212">
        <v>900.0</v>
      </c>
      <c r="M149" s="212">
        <v>58.0</v>
      </c>
      <c r="N149" s="213">
        <v>29000.0</v>
      </c>
      <c r="O149" s="245">
        <v>45491.0</v>
      </c>
      <c r="P149" s="212">
        <v>42.0</v>
      </c>
      <c r="Q149" s="213">
        <v>6400.0</v>
      </c>
    </row>
    <row r="150">
      <c r="A150" s="242" t="s">
        <v>282</v>
      </c>
      <c r="B150" s="246" t="s">
        <v>283</v>
      </c>
      <c r="C150" s="244"/>
      <c r="D150" s="244"/>
      <c r="H150" s="209">
        <v>20000.0</v>
      </c>
      <c r="I150" s="210" t="s">
        <v>46</v>
      </c>
      <c r="J150" s="211">
        <v>45520.0</v>
      </c>
      <c r="K150" s="211">
        <v>45555.0</v>
      </c>
      <c r="L150" s="212">
        <v>35.0</v>
      </c>
      <c r="M150" s="212">
        <v>1.1</v>
      </c>
      <c r="N150" s="213">
        <v>22000.0</v>
      </c>
      <c r="O150" s="211">
        <v>45533.0</v>
      </c>
      <c r="P150" s="212">
        <v>0.78</v>
      </c>
      <c r="Q150" s="213">
        <v>6400.0</v>
      </c>
    </row>
    <row r="151">
      <c r="A151" s="247" t="s">
        <v>284</v>
      </c>
      <c r="B151" s="248" t="s">
        <v>285</v>
      </c>
      <c r="H151" s="209">
        <v>2000.0</v>
      </c>
      <c r="I151" s="210" t="s">
        <v>53</v>
      </c>
      <c r="J151" s="211">
        <v>45532.0</v>
      </c>
      <c r="K151" s="211">
        <v>45583.0</v>
      </c>
      <c r="L151" s="212">
        <v>140.0</v>
      </c>
      <c r="M151" s="212">
        <v>7.05</v>
      </c>
      <c r="N151" s="213">
        <v>14100.0</v>
      </c>
      <c r="O151" s="211">
        <v>45533.0</v>
      </c>
      <c r="P151" s="212">
        <v>2.92</v>
      </c>
      <c r="Q151" s="213">
        <v>-5740.0</v>
      </c>
    </row>
    <row r="152">
      <c r="H152" s="209">
        <v>2000.0</v>
      </c>
      <c r="I152" s="210" t="s">
        <v>40</v>
      </c>
      <c r="J152" s="211">
        <v>45532.0</v>
      </c>
      <c r="K152" s="211">
        <v>45583.0</v>
      </c>
      <c r="L152" s="212">
        <v>160.0</v>
      </c>
      <c r="M152" s="212">
        <v>6.5</v>
      </c>
      <c r="N152" s="213">
        <v>13000.0</v>
      </c>
      <c r="O152" s="211">
        <v>45533.0</v>
      </c>
      <c r="P152" s="212">
        <v>5.2</v>
      </c>
      <c r="Q152" s="213">
        <v>2600.0</v>
      </c>
    </row>
    <row r="153">
      <c r="H153" s="209">
        <v>50000.0</v>
      </c>
      <c r="I153" s="210" t="s">
        <v>57</v>
      </c>
      <c r="J153" s="211">
        <v>45532.0</v>
      </c>
      <c r="K153" s="211">
        <v>45583.0</v>
      </c>
      <c r="L153" s="212">
        <v>6.0</v>
      </c>
      <c r="M153" s="212">
        <v>0.27</v>
      </c>
      <c r="N153" s="213">
        <v>13500.0</v>
      </c>
      <c r="O153" s="211">
        <v>45533.0</v>
      </c>
      <c r="P153" s="212">
        <v>0.25</v>
      </c>
      <c r="Q153" s="213">
        <v>1000.0</v>
      </c>
    </row>
    <row r="154">
      <c r="H154" s="209"/>
      <c r="I154" s="237"/>
      <c r="J154" s="211"/>
      <c r="K154" s="211"/>
      <c r="L154" s="221"/>
      <c r="M154" s="221"/>
      <c r="N154" s="222"/>
      <c r="O154" s="220"/>
      <c r="P154" s="221"/>
      <c r="Q154" s="222"/>
    </row>
    <row r="155">
      <c r="H155" s="209"/>
      <c r="I155" s="210"/>
      <c r="J155" s="211"/>
      <c r="K155" s="211"/>
      <c r="L155" s="212"/>
      <c r="M155" s="212"/>
      <c r="N155" s="213"/>
      <c r="O155" s="211"/>
      <c r="P155" s="212"/>
      <c r="Q155" s="213"/>
    </row>
    <row r="156">
      <c r="A156" s="249"/>
      <c r="B156" s="250"/>
      <c r="H156" s="251"/>
      <c r="I156" s="210"/>
      <c r="J156" s="211"/>
      <c r="K156" s="211"/>
      <c r="L156" s="212"/>
      <c r="M156" s="212"/>
      <c r="N156" s="213"/>
      <c r="O156" s="211"/>
      <c r="P156" s="212"/>
      <c r="Q156" s="213"/>
    </row>
    <row r="157">
      <c r="H157" s="252"/>
      <c r="I157" s="210"/>
      <c r="J157" s="211"/>
      <c r="K157" s="211"/>
      <c r="L157" s="212"/>
      <c r="M157" s="212"/>
      <c r="N157" s="213"/>
      <c r="O157" s="211"/>
      <c r="P157" s="212"/>
      <c r="Q157" s="213"/>
    </row>
    <row r="158">
      <c r="H158" s="253"/>
      <c r="I158" s="210"/>
      <c r="J158" s="211"/>
      <c r="K158" s="211"/>
      <c r="L158" s="212"/>
      <c r="M158" s="212"/>
      <c r="N158" s="213"/>
      <c r="O158" s="211"/>
      <c r="P158" s="212"/>
      <c r="Q158" s="213"/>
    </row>
    <row r="159">
      <c r="H159" s="252"/>
      <c r="I159" s="210"/>
      <c r="J159" s="211"/>
      <c r="K159" s="211"/>
      <c r="L159" s="212"/>
      <c r="M159" s="212"/>
      <c r="N159" s="213"/>
      <c r="O159" s="211"/>
      <c r="P159" s="212"/>
      <c r="Q159" s="213"/>
    </row>
    <row r="160">
      <c r="H160" s="252"/>
      <c r="I160" s="210"/>
      <c r="J160" s="211"/>
      <c r="K160" s="211"/>
      <c r="L160" s="212"/>
      <c r="M160" s="212"/>
      <c r="N160" s="213"/>
      <c r="O160" s="211"/>
      <c r="P160" s="212"/>
      <c r="Q160" s="213"/>
    </row>
    <row r="161">
      <c r="H161" s="209"/>
      <c r="I161" s="237"/>
      <c r="J161" s="220"/>
      <c r="K161" s="211"/>
      <c r="L161" s="223"/>
      <c r="M161" s="223"/>
      <c r="N161" s="222"/>
      <c r="O161" s="220"/>
      <c r="P161" s="221"/>
      <c r="Q161" s="222"/>
    </row>
    <row r="162">
      <c r="H162" s="209"/>
      <c r="I162" s="210"/>
      <c r="J162" s="211"/>
      <c r="K162" s="211"/>
      <c r="L162" s="230"/>
      <c r="M162" s="212"/>
      <c r="N162" s="213"/>
      <c r="O162" s="211"/>
      <c r="P162" s="212"/>
      <c r="Q162" s="213"/>
    </row>
    <row r="163">
      <c r="H163" s="251"/>
      <c r="I163" s="210"/>
      <c r="J163" s="211"/>
      <c r="K163" s="211"/>
      <c r="L163" s="212"/>
      <c r="M163" s="212"/>
      <c r="N163" s="213"/>
      <c r="O163" s="211"/>
      <c r="P163" s="212"/>
      <c r="Q163" s="213"/>
    </row>
    <row r="164">
      <c r="H164" s="209"/>
      <c r="I164" s="210"/>
      <c r="J164" s="211"/>
      <c r="K164" s="211"/>
      <c r="L164" s="212"/>
      <c r="M164" s="212"/>
      <c r="N164" s="213"/>
      <c r="O164" s="211"/>
      <c r="P164" s="212"/>
      <c r="Q164" s="213"/>
    </row>
    <row r="165">
      <c r="H165" s="209"/>
      <c r="I165" s="210"/>
      <c r="J165" s="211"/>
      <c r="K165" s="211"/>
      <c r="L165" s="212"/>
      <c r="M165" s="212"/>
      <c r="N165" s="213"/>
      <c r="O165" s="211"/>
      <c r="P165" s="212"/>
      <c r="Q165" s="213"/>
    </row>
    <row r="166">
      <c r="H166" s="209"/>
      <c r="I166" s="210"/>
      <c r="J166" s="211"/>
      <c r="K166" s="211"/>
      <c r="L166" s="212"/>
      <c r="M166" s="212"/>
      <c r="N166" s="213"/>
      <c r="O166" s="211"/>
      <c r="P166" s="212"/>
      <c r="Q166" s="213"/>
      <c r="S166" s="254" t="s">
        <v>286</v>
      </c>
    </row>
    <row r="167">
      <c r="H167" s="209"/>
      <c r="I167" s="210"/>
      <c r="J167" s="211"/>
      <c r="K167" s="211"/>
      <c r="L167" s="212"/>
      <c r="M167" s="212"/>
      <c r="N167" s="213"/>
      <c r="O167" s="211"/>
      <c r="P167" s="212"/>
      <c r="Q167" s="213"/>
    </row>
    <row r="168">
      <c r="H168" s="209"/>
      <c r="I168" s="210"/>
      <c r="J168" s="211"/>
      <c r="K168" s="211"/>
      <c r="L168" s="212"/>
      <c r="M168" s="212"/>
      <c r="N168" s="213"/>
      <c r="O168" s="211"/>
      <c r="P168" s="212"/>
      <c r="Q168" s="213"/>
    </row>
    <row r="169">
      <c r="H169" s="209"/>
      <c r="I169" s="210"/>
      <c r="J169" s="211"/>
      <c r="K169" s="211"/>
      <c r="L169" s="212"/>
      <c r="M169" s="212"/>
      <c r="N169" s="213"/>
      <c r="O169" s="211"/>
      <c r="P169" s="212"/>
      <c r="Q169" s="213"/>
    </row>
    <row r="170">
      <c r="H170" s="209"/>
      <c r="I170" s="210"/>
      <c r="J170" s="211"/>
      <c r="K170" s="211"/>
      <c r="L170" s="212"/>
      <c r="M170" s="212"/>
      <c r="N170" s="213"/>
      <c r="O170" s="211"/>
      <c r="P170" s="212"/>
      <c r="Q170" s="213"/>
    </row>
    <row r="171">
      <c r="H171" s="209"/>
      <c r="I171" s="210"/>
      <c r="J171" s="211"/>
      <c r="K171" s="211"/>
      <c r="L171" s="212"/>
      <c r="M171" s="212"/>
      <c r="N171" s="213"/>
      <c r="O171" s="245"/>
      <c r="P171" s="212"/>
      <c r="Q171" s="213"/>
    </row>
    <row r="172">
      <c r="H172" s="209"/>
      <c r="I172" s="237"/>
      <c r="J172" s="220"/>
      <c r="K172" s="220"/>
      <c r="L172" s="221"/>
      <c r="M172" s="221"/>
      <c r="N172" s="222"/>
      <c r="O172" s="220"/>
      <c r="P172" s="221"/>
      <c r="Q172" s="222"/>
    </row>
    <row r="173">
      <c r="H173" s="251"/>
      <c r="I173" s="237"/>
      <c r="J173" s="220"/>
      <c r="K173" s="220"/>
      <c r="L173" s="221"/>
      <c r="M173" s="221"/>
      <c r="N173" s="222"/>
      <c r="O173" s="220"/>
      <c r="P173" s="221"/>
      <c r="Q173" s="222"/>
    </row>
    <row r="174">
      <c r="H174" s="209"/>
      <c r="I174" s="210"/>
      <c r="J174" s="211"/>
      <c r="K174" s="211"/>
      <c r="L174" s="212"/>
      <c r="M174" s="212"/>
      <c r="N174" s="213"/>
      <c r="O174" s="211"/>
      <c r="P174" s="212"/>
      <c r="Q174" s="213"/>
    </row>
    <row r="175">
      <c r="H175" s="209"/>
      <c r="I175" s="210"/>
      <c r="J175" s="211"/>
      <c r="K175" s="211"/>
      <c r="L175" s="212"/>
      <c r="M175" s="212"/>
      <c r="N175" s="213"/>
      <c r="O175" s="211"/>
      <c r="P175" s="212"/>
      <c r="Q175" s="213"/>
    </row>
    <row r="176">
      <c r="H176" s="209"/>
      <c r="I176" s="210"/>
      <c r="J176" s="211"/>
      <c r="K176" s="211"/>
      <c r="L176" s="212"/>
      <c r="M176" s="212"/>
      <c r="N176" s="213"/>
      <c r="O176" s="211"/>
      <c r="P176" s="212"/>
      <c r="Q176" s="213"/>
    </row>
    <row r="177">
      <c r="H177" s="255"/>
      <c r="I177" s="210"/>
      <c r="J177" s="211"/>
      <c r="K177" s="211"/>
      <c r="L177" s="212"/>
      <c r="M177" s="212"/>
      <c r="N177" s="213"/>
      <c r="O177" s="211"/>
      <c r="P177" s="212"/>
      <c r="Q177" s="213"/>
    </row>
    <row r="178">
      <c r="H178" s="209"/>
      <c r="I178" s="210"/>
      <c r="J178" s="211"/>
      <c r="K178" s="211"/>
      <c r="L178" s="212"/>
      <c r="M178" s="212"/>
      <c r="N178" s="213"/>
      <c r="O178" s="211"/>
      <c r="P178" s="212"/>
      <c r="Q178" s="213"/>
    </row>
    <row r="179">
      <c r="H179" s="209"/>
      <c r="I179" s="210"/>
      <c r="J179" s="211"/>
      <c r="K179" s="211"/>
      <c r="L179" s="212"/>
      <c r="M179" s="212"/>
      <c r="N179" s="213"/>
      <c r="O179" s="211"/>
      <c r="P179" s="212"/>
      <c r="Q179" s="213"/>
    </row>
    <row r="180">
      <c r="H180" s="218"/>
      <c r="I180" s="219"/>
      <c r="J180" s="220"/>
      <c r="K180" s="220"/>
      <c r="L180" s="221"/>
      <c r="M180" s="221"/>
      <c r="N180" s="222"/>
      <c r="O180" s="220"/>
      <c r="P180" s="223"/>
      <c r="Q180" s="222"/>
    </row>
    <row r="181">
      <c r="H181" s="218"/>
      <c r="I181" s="219"/>
      <c r="J181" s="220"/>
      <c r="K181" s="220"/>
      <c r="L181" s="221"/>
      <c r="M181" s="221"/>
      <c r="N181" s="222"/>
      <c r="O181" s="220"/>
      <c r="P181" s="221"/>
      <c r="Q181" s="222"/>
    </row>
    <row r="182">
      <c r="H182" s="218"/>
      <c r="I182" s="219"/>
      <c r="J182" s="220"/>
      <c r="K182" s="220"/>
      <c r="L182" s="221"/>
      <c r="M182" s="221"/>
      <c r="N182" s="222"/>
      <c r="O182" s="220"/>
      <c r="P182" s="221"/>
      <c r="Q182" s="222"/>
    </row>
    <row r="183">
      <c r="H183" s="209"/>
      <c r="I183" s="237"/>
      <c r="J183" s="220"/>
      <c r="K183" s="220"/>
      <c r="L183" s="221"/>
      <c r="M183" s="221"/>
      <c r="N183" s="222"/>
      <c r="O183" s="220"/>
      <c r="P183" s="221"/>
      <c r="Q183" s="222"/>
    </row>
    <row r="184">
      <c r="H184" s="256"/>
      <c r="I184" s="257"/>
      <c r="J184" s="257"/>
      <c r="K184" s="257"/>
      <c r="L184" s="258"/>
      <c r="M184" s="258"/>
      <c r="N184" s="258"/>
      <c r="O184" s="257"/>
      <c r="P184" s="258"/>
      <c r="Q184" s="258"/>
    </row>
    <row r="185">
      <c r="H185" s="259"/>
      <c r="I185" s="257"/>
      <c r="J185" s="257"/>
      <c r="K185" s="257"/>
      <c r="L185" s="258"/>
      <c r="M185" s="258"/>
      <c r="N185" s="258"/>
      <c r="O185" s="257"/>
      <c r="P185" s="258"/>
      <c r="Q185" s="258"/>
    </row>
    <row r="186">
      <c r="H186" s="259"/>
      <c r="I186" s="257"/>
      <c r="J186" s="257"/>
      <c r="K186" s="257"/>
      <c r="L186" s="258"/>
      <c r="M186" s="258"/>
      <c r="N186" s="258"/>
      <c r="O186" s="257"/>
      <c r="P186" s="258"/>
      <c r="Q186" s="258"/>
    </row>
    <row r="187">
      <c r="H187" s="259"/>
      <c r="I187" s="257"/>
      <c r="J187" s="257"/>
      <c r="K187" s="257"/>
      <c r="L187" s="258"/>
      <c r="M187" s="258"/>
      <c r="N187" s="258"/>
      <c r="O187" s="257"/>
      <c r="P187" s="258"/>
      <c r="Q187" s="258"/>
    </row>
    <row r="188">
      <c r="H188" s="259"/>
      <c r="I188" s="257"/>
      <c r="J188" s="257"/>
      <c r="K188" s="257"/>
      <c r="L188" s="258"/>
      <c r="M188" s="258"/>
      <c r="N188" s="258"/>
      <c r="O188" s="257"/>
      <c r="P188" s="258"/>
      <c r="Q188" s="258"/>
    </row>
    <row r="189">
      <c r="H189" s="259"/>
      <c r="I189" s="257"/>
      <c r="J189" s="257"/>
      <c r="K189" s="257"/>
      <c r="L189" s="258"/>
      <c r="M189" s="258"/>
      <c r="N189" s="258"/>
      <c r="O189" s="257"/>
      <c r="P189" s="258"/>
      <c r="Q189" s="258"/>
    </row>
    <row r="190">
      <c r="H190" s="259"/>
      <c r="I190" s="257"/>
      <c r="J190" s="257"/>
      <c r="K190" s="257"/>
      <c r="L190" s="258"/>
      <c r="M190" s="258"/>
      <c r="N190" s="258"/>
      <c r="O190" s="257"/>
      <c r="P190" s="258"/>
      <c r="Q190" s="258"/>
    </row>
    <row r="191">
      <c r="H191" s="229"/>
      <c r="I191" s="257"/>
      <c r="J191" s="257"/>
      <c r="K191" s="257"/>
      <c r="L191" s="258"/>
      <c r="M191" s="258"/>
      <c r="N191" s="258"/>
      <c r="O191" s="257"/>
      <c r="P191" s="258"/>
      <c r="Q191" s="258"/>
    </row>
    <row r="192">
      <c r="H192" s="229"/>
      <c r="I192" s="257"/>
      <c r="J192" s="257"/>
      <c r="K192" s="257"/>
      <c r="L192" s="258"/>
      <c r="M192" s="258"/>
      <c r="N192" s="258"/>
      <c r="O192" s="257"/>
      <c r="P192" s="258"/>
      <c r="Q192" s="258"/>
    </row>
    <row r="193">
      <c r="H193" s="238" t="s">
        <v>113</v>
      </c>
      <c r="I193" s="239"/>
      <c r="J193" s="239"/>
      <c r="K193" s="239"/>
      <c r="L193" s="239"/>
      <c r="M193" s="239"/>
      <c r="N193" s="260"/>
      <c r="O193" s="239"/>
      <c r="P193" s="239"/>
      <c r="Q193" s="240">
        <f>SUM(Q135:Q192)</f>
        <v>16810</v>
      </c>
    </row>
  </sheetData>
  <hyperlinks>
    <hyperlink r:id="rId1" ref="B148"/>
    <hyperlink r:id="rId2" ref="B149"/>
    <hyperlink r:id="rId3" ref="B150"/>
    <hyperlink r:id="rId4" ref="B151"/>
  </hyperlinks>
  <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  <col customWidth="1" min="2" max="2" width="22.63"/>
    <col customWidth="1" min="3" max="3" width="26.5"/>
    <col customWidth="1" min="4" max="4" width="26.13"/>
    <col customWidth="1" min="5" max="5" width="12.13"/>
    <col customWidth="1" min="6" max="6" width="19.88"/>
    <col customWidth="1" min="7" max="7" width="24.13"/>
    <col customWidth="1" min="8" max="8" width="13.5"/>
    <col customWidth="1" min="9" max="9" width="22.0"/>
    <col customWidth="1" min="10" max="10" width="13.5"/>
    <col customWidth="1" min="11" max="11" width="11.13"/>
    <col customWidth="1" min="12" max="12" width="12.5"/>
    <col customWidth="1" min="13" max="13" width="11.5"/>
    <col customWidth="1" min="14" max="14" width="7.75"/>
    <col customWidth="1" min="15" max="15" width="9.63"/>
    <col customWidth="1" min="16" max="16" width="9.0"/>
    <col customWidth="1" min="17" max="17" width="8.38"/>
    <col customWidth="1" min="18" max="18" width="10.25"/>
    <col customWidth="1" min="19" max="19" width="11.25"/>
    <col customWidth="1" min="20" max="20" width="13.13"/>
    <col customWidth="1" min="21" max="21" width="20.13"/>
    <col customWidth="1" min="22" max="22" width="11.25"/>
    <col customWidth="1" min="23" max="23" width="8.38"/>
    <col customWidth="1" min="24" max="24" width="7.75"/>
    <col customWidth="1" min="25" max="25" width="9.63"/>
    <col customWidth="1" min="26" max="26" width="8.5"/>
    <col customWidth="1" min="27" max="27" width="8.38"/>
    <col customWidth="1" min="28" max="28" width="14.75"/>
    <col customWidth="1" min="29" max="29" width="10.88"/>
  </cols>
  <sheetData>
    <row r="1">
      <c r="A1" s="784" t="s">
        <v>424</v>
      </c>
      <c r="B1" s="785" t="s">
        <v>797</v>
      </c>
      <c r="C1" s="510" t="s">
        <v>3</v>
      </c>
      <c r="D1" s="510" t="s">
        <v>4</v>
      </c>
      <c r="E1" s="510" t="s">
        <v>5</v>
      </c>
      <c r="F1" s="510" t="s">
        <v>944</v>
      </c>
      <c r="G1" s="505" t="s">
        <v>231</v>
      </c>
      <c r="H1" s="505" t="s">
        <v>945</v>
      </c>
      <c r="I1" s="506" t="s">
        <v>10</v>
      </c>
      <c r="J1" s="673" t="s">
        <v>11</v>
      </c>
      <c r="K1" s="508" t="s">
        <v>13</v>
      </c>
      <c r="L1" s="510" t="s">
        <v>799</v>
      </c>
      <c r="M1" s="508" t="s">
        <v>800</v>
      </c>
      <c r="N1" s="510" t="s">
        <v>16</v>
      </c>
      <c r="O1" s="544" t="s">
        <v>17</v>
      </c>
      <c r="P1" s="735" t="s">
        <v>946</v>
      </c>
      <c r="Q1" s="735" t="s">
        <v>947</v>
      </c>
      <c r="R1" s="735" t="s">
        <v>27</v>
      </c>
      <c r="S1" s="735" t="s">
        <v>11</v>
      </c>
      <c r="T1" s="735" t="s">
        <v>948</v>
      </c>
      <c r="U1" s="735" t="s">
        <v>949</v>
      </c>
      <c r="V1" s="735" t="s">
        <v>950</v>
      </c>
      <c r="W1" s="735" t="s">
        <v>951</v>
      </c>
      <c r="X1" s="238" t="s">
        <v>16</v>
      </c>
      <c r="Y1" s="238" t="s">
        <v>17</v>
      </c>
      <c r="Z1" s="238" t="s">
        <v>952</v>
      </c>
      <c r="AA1" s="238" t="s">
        <v>953</v>
      </c>
      <c r="AB1" s="238" t="s">
        <v>954</v>
      </c>
      <c r="AC1" s="238" t="s">
        <v>28</v>
      </c>
      <c r="AD1" s="786"/>
    </row>
    <row r="2">
      <c r="A2" s="502" t="s">
        <v>733</v>
      </c>
      <c r="B2" s="502" t="s">
        <v>733</v>
      </c>
      <c r="C2" s="519" t="s">
        <v>648</v>
      </c>
      <c r="D2" s="519" t="s">
        <v>36</v>
      </c>
      <c r="E2" s="787">
        <v>6.7</v>
      </c>
      <c r="F2" s="788">
        <v>41833.0</v>
      </c>
      <c r="G2" s="789">
        <v>0.0</v>
      </c>
      <c r="H2" s="790">
        <v>418.33</v>
      </c>
      <c r="I2" s="791">
        <f>IFERROR(__xludf.DUMMYFUNCTION("GOOGLEFINANCE(D2,""changepct"")"),-3.3)</f>
        <v>-3.3</v>
      </c>
      <c r="J2" s="792">
        <f>IFERROR(__xludf.DUMMYFUNCTION("googlefinance(D2,""price"")"),417.41)</f>
        <v>417.41</v>
      </c>
      <c r="K2" s="792">
        <f t="shared" ref="K2:K9" si="1">(J2-H2)</f>
        <v>-0.92</v>
      </c>
      <c r="L2" s="793">
        <v>1.1205</v>
      </c>
      <c r="M2" s="789">
        <f>46853</f>
        <v>46853</v>
      </c>
      <c r="N2" s="787" t="s">
        <v>128</v>
      </c>
      <c r="O2" s="788" t="s">
        <v>128</v>
      </c>
      <c r="P2" s="238" t="s">
        <v>36</v>
      </c>
      <c r="Q2" s="211">
        <v>43846.0</v>
      </c>
      <c r="R2" s="212">
        <v>501.87</v>
      </c>
      <c r="S2" s="792">
        <f>IFERROR(__xludf.DUMMYFUNCTION("googlefinance(P2,""price"")"),417.41)</f>
        <v>417.41</v>
      </c>
      <c r="T2" s="213">
        <v>20074.8</v>
      </c>
      <c r="U2" s="658">
        <f t="shared" ref="U2:U15" si="2">T2+W2</f>
        <v>35331.8</v>
      </c>
      <c r="V2" s="794">
        <v>0.76</v>
      </c>
      <c r="W2" s="213">
        <v>15257.0</v>
      </c>
      <c r="X2" s="236"/>
      <c r="Y2" s="236"/>
      <c r="Z2" s="238" t="s">
        <v>36</v>
      </c>
      <c r="AA2" s="211">
        <v>43844.0</v>
      </c>
      <c r="AB2" s="212">
        <v>540.6</v>
      </c>
      <c r="AC2" s="213">
        <v>43248.0</v>
      </c>
      <c r="AD2" s="795"/>
    </row>
    <row r="3">
      <c r="A3" s="796">
        <f>B83</f>
        <v>0.2735995529</v>
      </c>
      <c r="B3" s="796">
        <f>G16/D88</f>
        <v>0.1124815189</v>
      </c>
      <c r="C3" s="797" t="s">
        <v>346</v>
      </c>
      <c r="D3" s="797" t="s">
        <v>347</v>
      </c>
      <c r="E3" s="787">
        <v>6.9</v>
      </c>
      <c r="F3" s="788">
        <v>31815.0</v>
      </c>
      <c r="G3" s="798">
        <f>F3+M3-AC3+U3+T8</f>
        <v>8475</v>
      </c>
      <c r="H3" s="790">
        <v>212.1</v>
      </c>
      <c r="I3" s="791">
        <f>IFERROR(__xludf.DUMMYFUNCTION("GOOGLEFINANCE(D3,""changepct"")"),-1.09)</f>
        <v>-1.09</v>
      </c>
      <c r="J3" s="792">
        <f>IFERROR(__xludf.DUMMYFUNCTION("googlefinance(D3,""price"")"),84.13)</f>
        <v>84.13</v>
      </c>
      <c r="K3" s="792">
        <f t="shared" si="1"/>
        <v>-127.97</v>
      </c>
      <c r="L3" s="799">
        <f t="shared" ref="L3:L9" si="3">J3/H3-1</f>
        <v>-0.6033474776</v>
      </c>
      <c r="M3" s="798">
        <f>F3*L3</f>
        <v>-19195.5</v>
      </c>
      <c r="N3" s="787" t="s">
        <v>128</v>
      </c>
      <c r="O3" s="788" t="s">
        <v>128</v>
      </c>
      <c r="P3" s="238" t="s">
        <v>347</v>
      </c>
      <c r="Q3" s="211">
        <v>43873.0</v>
      </c>
      <c r="R3" s="212">
        <v>224.23</v>
      </c>
      <c r="S3" s="792">
        <f>IFERROR(__xludf.DUMMYFUNCTION("googlefinance(P3,""price"")"),84.13)</f>
        <v>84.13</v>
      </c>
      <c r="T3" s="213">
        <v>22423.0</v>
      </c>
      <c r="U3" s="658">
        <f t="shared" si="2"/>
        <v>8413</v>
      </c>
      <c r="V3" s="794">
        <f t="shared" ref="V3:V15" si="4">S3/R3-1</f>
        <v>-0.6248048878</v>
      </c>
      <c r="W3" s="658">
        <f t="shared" ref="W3:W15" si="5">T3*V3</f>
        <v>-14010</v>
      </c>
      <c r="X3" s="257"/>
      <c r="Y3" s="257"/>
      <c r="Z3" s="238" t="s">
        <v>347</v>
      </c>
      <c r="AA3" s="211">
        <v>43844.0</v>
      </c>
      <c r="AB3" s="212">
        <v>227.85</v>
      </c>
      <c r="AC3" s="213">
        <v>22785.0</v>
      </c>
      <c r="AD3" s="755"/>
    </row>
    <row r="4">
      <c r="A4" s="800"/>
      <c r="B4" s="800"/>
      <c r="C4" s="797" t="s">
        <v>530</v>
      </c>
      <c r="D4" s="797" t="s">
        <v>34</v>
      </c>
      <c r="E4" s="787">
        <v>8.1</v>
      </c>
      <c r="F4" s="788">
        <v>37920.0</v>
      </c>
      <c r="G4" s="798">
        <f>F4+M4-AC4+U4+U9</f>
        <v>18656</v>
      </c>
      <c r="H4" s="790">
        <v>126.4</v>
      </c>
      <c r="I4" s="791">
        <f>IFERROR(__xludf.DUMMYFUNCTION("GOOGLEFINANCE(D4,""changepct"")"),-2.94)</f>
        <v>-2.94</v>
      </c>
      <c r="J4" s="792">
        <f>IFERROR(__xludf.DUMMYFUNCTION("googlefinance(D4,""price"")"),84.05)</f>
        <v>84.05</v>
      </c>
      <c r="K4" s="792">
        <f t="shared" si="1"/>
        <v>-42.35</v>
      </c>
      <c r="L4" s="799">
        <f t="shared" si="3"/>
        <v>-0.3350474684</v>
      </c>
      <c r="M4" s="798">
        <f t="shared" ref="M4:M6" si="6">F4*L4+W4</f>
        <v>-23413</v>
      </c>
      <c r="N4" s="787" t="s">
        <v>128</v>
      </c>
      <c r="O4" s="788" t="s">
        <v>128</v>
      </c>
      <c r="P4" s="238" t="s">
        <v>34</v>
      </c>
      <c r="Q4" s="211">
        <v>43873.0</v>
      </c>
      <c r="R4" s="212">
        <v>137.59</v>
      </c>
      <c r="S4" s="792">
        <f>IFERROR(__xludf.DUMMYFUNCTION("googlefinance(P4,""price"")"),84.05)</f>
        <v>84.05</v>
      </c>
      <c r="T4" s="213">
        <v>27518.0</v>
      </c>
      <c r="U4" s="658">
        <f t="shared" si="2"/>
        <v>16810</v>
      </c>
      <c r="V4" s="794">
        <f t="shared" si="4"/>
        <v>-0.3891271168</v>
      </c>
      <c r="W4" s="658">
        <f t="shared" si="5"/>
        <v>-10708</v>
      </c>
      <c r="X4" s="257"/>
      <c r="Y4" s="657"/>
      <c r="Z4" s="238" t="s">
        <v>34</v>
      </c>
      <c r="AA4" s="211">
        <v>43844.0</v>
      </c>
      <c r="AB4" s="212">
        <v>140.44</v>
      </c>
      <c r="AC4" s="213">
        <v>21066.0</v>
      </c>
      <c r="AD4" s="801"/>
    </row>
    <row r="5">
      <c r="A5" s="800"/>
      <c r="B5" s="800"/>
      <c r="C5" s="797" t="s">
        <v>734</v>
      </c>
      <c r="D5" s="797" t="s">
        <v>74</v>
      </c>
      <c r="E5" s="787">
        <v>7.1</v>
      </c>
      <c r="F5" s="788">
        <v>23655.0</v>
      </c>
      <c r="G5" s="798">
        <f t="shared" ref="G5:G6" si="7">F5+M5-AC5+U5+U11</f>
        <v>156972.5</v>
      </c>
      <c r="H5" s="790">
        <v>157.7</v>
      </c>
      <c r="I5" s="791">
        <f>IFERROR(__xludf.DUMMYFUNCTION("GOOGLEFINANCE(D5,""changepct"")"),-1.32)</f>
        <v>-1.32</v>
      </c>
      <c r="J5" s="792">
        <f>IFERROR(__xludf.DUMMYFUNCTION("googlefinance(D5,""price"")"),424.83)</f>
        <v>424.83</v>
      </c>
      <c r="K5" s="792">
        <f t="shared" si="1"/>
        <v>267.13</v>
      </c>
      <c r="L5" s="799">
        <f t="shared" si="3"/>
        <v>1.693912492</v>
      </c>
      <c r="M5" s="798">
        <f t="shared" si="6"/>
        <v>64121.5</v>
      </c>
      <c r="N5" s="802">
        <v>0.0127</v>
      </c>
      <c r="O5" s="788">
        <v>118.0</v>
      </c>
      <c r="P5" s="238" t="s">
        <v>74</v>
      </c>
      <c r="Q5" s="211">
        <v>43873.0</v>
      </c>
      <c r="R5" s="212">
        <v>184.31</v>
      </c>
      <c r="S5" s="792">
        <f>IFERROR(__xludf.DUMMYFUNCTION("googlefinance(P5,""price"")"),424.83)</f>
        <v>424.83</v>
      </c>
      <c r="T5" s="213">
        <v>18431.0</v>
      </c>
      <c r="U5" s="658">
        <f t="shared" si="2"/>
        <v>42483</v>
      </c>
      <c r="V5" s="794">
        <f t="shared" si="4"/>
        <v>1.304975313</v>
      </c>
      <c r="W5" s="658">
        <f t="shared" si="5"/>
        <v>24052</v>
      </c>
      <c r="X5" s="257"/>
      <c r="Y5" s="257"/>
      <c r="Z5" s="238" t="s">
        <v>74</v>
      </c>
      <c r="AA5" s="211">
        <v>43844.0</v>
      </c>
      <c r="AB5" s="212">
        <v>157.7</v>
      </c>
      <c r="AC5" s="213">
        <v>15770.0</v>
      </c>
      <c r="AD5" s="803"/>
    </row>
    <row r="6">
      <c r="A6" s="800"/>
      <c r="B6" s="800"/>
      <c r="C6" s="231" t="s">
        <v>30</v>
      </c>
      <c r="D6" s="231" t="s">
        <v>31</v>
      </c>
      <c r="E6" s="787">
        <v>7.5</v>
      </c>
      <c r="F6" s="788">
        <v>26740.0</v>
      </c>
      <c r="G6" s="798">
        <f t="shared" si="7"/>
        <v>-17905.6509</v>
      </c>
      <c r="H6" s="790">
        <v>1337.0</v>
      </c>
      <c r="I6" s="791">
        <f>IFERROR(__xludf.DUMMYFUNCTION("GOOGLEFINANCE(D6,""changepct"")"),-0.7)</f>
        <v>-0.7</v>
      </c>
      <c r="J6" s="792">
        <f>IFERROR(__xludf.DUMMYFUNCTION("googlefinance(D6,""price"")"),192.69)</f>
        <v>192.69</v>
      </c>
      <c r="K6" s="792">
        <f t="shared" si="1"/>
        <v>-1144.31</v>
      </c>
      <c r="L6" s="799">
        <f t="shared" si="3"/>
        <v>-0.8558788332</v>
      </c>
      <c r="M6" s="798">
        <f t="shared" si="6"/>
        <v>-36101.32545</v>
      </c>
      <c r="N6" s="787" t="s">
        <v>128</v>
      </c>
      <c r="O6" s="788" t="s">
        <v>128</v>
      </c>
      <c r="P6" s="238" t="s">
        <v>31</v>
      </c>
      <c r="Q6" s="211">
        <v>43873.0</v>
      </c>
      <c r="R6" s="212">
        <v>1514.22</v>
      </c>
      <c r="S6" s="792">
        <f>IFERROR(__xludf.DUMMYFUNCTION("googlefinance(P6,""price"")"),192.69)</f>
        <v>192.69</v>
      </c>
      <c r="T6" s="213">
        <v>15142.0</v>
      </c>
      <c r="U6" s="658">
        <f t="shared" si="2"/>
        <v>1926.874549</v>
      </c>
      <c r="V6" s="794">
        <f t="shared" si="4"/>
        <v>-0.8727463645</v>
      </c>
      <c r="W6" s="658">
        <f t="shared" si="5"/>
        <v>-13215.12545</v>
      </c>
      <c r="X6" s="257"/>
      <c r="Y6" s="257"/>
      <c r="Z6" s="238" t="s">
        <v>31</v>
      </c>
      <c r="AA6" s="211">
        <v>43844.0</v>
      </c>
      <c r="AB6" s="212">
        <v>1432.48</v>
      </c>
      <c r="AC6" s="213">
        <v>14325.0</v>
      </c>
      <c r="AD6" s="803"/>
    </row>
    <row r="7">
      <c r="A7" s="800"/>
      <c r="B7" s="800"/>
      <c r="C7" s="797" t="s">
        <v>632</v>
      </c>
      <c r="D7" s="797" t="s">
        <v>674</v>
      </c>
      <c r="E7" s="787">
        <v>7.7</v>
      </c>
      <c r="F7" s="788">
        <v>24561.6</v>
      </c>
      <c r="G7" s="798">
        <f>F7+M7-AC7+U7+U10+U13</f>
        <v>52179.7</v>
      </c>
      <c r="H7" s="790">
        <v>204.68</v>
      </c>
      <c r="I7" s="791">
        <f>IFERROR(__xludf.DUMMYFUNCTION("GOOGLEFINANCE(D7,""changepct"")"),0.0)</f>
        <v>0</v>
      </c>
      <c r="J7" s="792">
        <f>IFERROR(__xludf.DUMMYFUNCTION("googlefinance(D7,""price"")"),185.26)</f>
        <v>185.26</v>
      </c>
      <c r="K7" s="792">
        <f t="shared" si="1"/>
        <v>-19.42</v>
      </c>
      <c r="L7" s="799">
        <f t="shared" si="3"/>
        <v>-0.09487981239</v>
      </c>
      <c r="M7" s="798">
        <f>F7*L7+W7+W10+W13</f>
        <v>-5508.9</v>
      </c>
      <c r="N7" s="787" t="s">
        <v>128</v>
      </c>
      <c r="O7" s="788" t="s">
        <v>128</v>
      </c>
      <c r="P7" s="238" t="s">
        <v>674</v>
      </c>
      <c r="Q7" s="211">
        <v>43873.0</v>
      </c>
      <c r="R7" s="212">
        <v>210.57</v>
      </c>
      <c r="S7" s="792">
        <f>IFERROR(__xludf.DUMMYFUNCTION("googlefinance(P7,""price"")"),185.26)</f>
        <v>185.26</v>
      </c>
      <c r="T7" s="213">
        <v>21057.0</v>
      </c>
      <c r="U7" s="658">
        <f t="shared" si="2"/>
        <v>18526</v>
      </c>
      <c r="V7" s="794">
        <f t="shared" si="4"/>
        <v>-0.120197559</v>
      </c>
      <c r="W7" s="658">
        <f t="shared" si="5"/>
        <v>-2531</v>
      </c>
      <c r="X7" s="257"/>
      <c r="Y7" s="257"/>
      <c r="Z7" s="238" t="s">
        <v>674</v>
      </c>
      <c r="AA7" s="211">
        <v>43844.0</v>
      </c>
      <c r="AB7" s="212">
        <v>220.45</v>
      </c>
      <c r="AC7" s="213">
        <v>13188.0</v>
      </c>
      <c r="AD7" s="803"/>
    </row>
    <row r="8">
      <c r="A8" s="800"/>
      <c r="B8" s="800"/>
      <c r="C8" s="804" t="s">
        <v>846</v>
      </c>
      <c r="D8" s="231" t="s">
        <v>652</v>
      </c>
      <c r="E8" s="787">
        <v>6.4</v>
      </c>
      <c r="F8" s="788">
        <v>19320.0</v>
      </c>
      <c r="G8" s="798">
        <f t="shared" ref="G8:G9" si="8">F8+M8</f>
        <v>58440</v>
      </c>
      <c r="H8" s="790">
        <v>3.22</v>
      </c>
      <c r="I8" s="791">
        <f>IFERROR(__xludf.DUMMYFUNCTION("GOOGLEFINANCE(D8,""changepct"")"),13.39)</f>
        <v>13.39</v>
      </c>
      <c r="J8" s="792">
        <f>IFERROR(__xludf.DUMMYFUNCTION("googlefinance(D8,""price"")"),9.74)</f>
        <v>9.74</v>
      </c>
      <c r="K8" s="792">
        <f t="shared" si="1"/>
        <v>6.52</v>
      </c>
      <c r="L8" s="799">
        <f t="shared" si="3"/>
        <v>2.02484472</v>
      </c>
      <c r="M8" s="798">
        <f t="shared" ref="M8:M9" si="9">F8*L8</f>
        <v>39120</v>
      </c>
      <c r="N8" s="787" t="s">
        <v>128</v>
      </c>
      <c r="O8" s="788" t="s">
        <v>128</v>
      </c>
      <c r="P8" s="238" t="s">
        <v>347</v>
      </c>
      <c r="Q8" s="211">
        <v>43885.0</v>
      </c>
      <c r="R8" s="212">
        <v>204.55</v>
      </c>
      <c r="S8" s="792">
        <f>IFERROR(__xludf.DUMMYFUNCTION("googlefinance(P8,""price"")"),84.13)</f>
        <v>84.13</v>
      </c>
      <c r="T8" s="213">
        <v>10227.5</v>
      </c>
      <c r="U8" s="658">
        <f t="shared" si="2"/>
        <v>4206.5</v>
      </c>
      <c r="V8" s="794">
        <f t="shared" si="4"/>
        <v>-0.5887069176</v>
      </c>
      <c r="W8" s="658">
        <f t="shared" si="5"/>
        <v>-6021</v>
      </c>
      <c r="X8" s="257"/>
      <c r="Y8" s="257"/>
      <c r="Z8" s="238" t="s">
        <v>36</v>
      </c>
      <c r="AA8" s="211">
        <v>43851.0</v>
      </c>
      <c r="AB8" s="212">
        <v>538.77</v>
      </c>
      <c r="AC8" s="213">
        <v>18856.95</v>
      </c>
      <c r="AD8" s="801"/>
    </row>
    <row r="9">
      <c r="A9" s="800"/>
      <c r="B9" s="800"/>
      <c r="C9" s="231" t="s">
        <v>749</v>
      </c>
      <c r="D9" s="231" t="s">
        <v>582</v>
      </c>
      <c r="E9" s="787">
        <v>6.7</v>
      </c>
      <c r="F9" s="788">
        <v>19414.2</v>
      </c>
      <c r="G9" s="798">
        <f t="shared" si="8"/>
        <v>54025.8</v>
      </c>
      <c r="H9" s="790">
        <v>323.57</v>
      </c>
      <c r="I9" s="791">
        <f>IFERROR(__xludf.DUMMYFUNCTION("GOOGLEFINANCE(D9,""changepct"")"),-0.78)</f>
        <v>-0.78</v>
      </c>
      <c r="J9" s="792">
        <f>IFERROR(__xludf.DUMMYFUNCTION("googlefinance(D9,""price"")"),900.43)</f>
        <v>900.43</v>
      </c>
      <c r="K9" s="792">
        <f t="shared" si="1"/>
        <v>576.86</v>
      </c>
      <c r="L9" s="799">
        <f t="shared" si="3"/>
        <v>1.782798158</v>
      </c>
      <c r="M9" s="798">
        <f t="shared" si="9"/>
        <v>34611.6</v>
      </c>
      <c r="N9" s="787" t="s">
        <v>128</v>
      </c>
      <c r="O9" s="788" t="s">
        <v>128</v>
      </c>
      <c r="P9" s="238" t="s">
        <v>34</v>
      </c>
      <c r="Q9" s="211">
        <v>43885.0</v>
      </c>
      <c r="R9" s="212">
        <v>124.78</v>
      </c>
      <c r="S9" s="792">
        <f>IFERROR(__xludf.DUMMYFUNCTION("googlefinance(P9,""price"")"),84.05)</f>
        <v>84.05</v>
      </c>
      <c r="T9" s="213">
        <v>12478.0</v>
      </c>
      <c r="U9" s="658">
        <f t="shared" si="2"/>
        <v>8405</v>
      </c>
      <c r="V9" s="794">
        <f t="shared" si="4"/>
        <v>-0.3264144895</v>
      </c>
      <c r="W9" s="658">
        <f t="shared" si="5"/>
        <v>-4073</v>
      </c>
      <c r="X9" s="257"/>
      <c r="Y9" s="257"/>
      <c r="Z9" s="238" t="s">
        <v>36</v>
      </c>
      <c r="AA9" s="211">
        <v>43852.0</v>
      </c>
      <c r="AB9" s="212">
        <v>578.86</v>
      </c>
      <c r="AC9" s="213">
        <v>14471.5</v>
      </c>
      <c r="AD9" s="803"/>
    </row>
    <row r="10">
      <c r="A10" s="800"/>
      <c r="B10" s="800"/>
      <c r="C10" s="797" t="s">
        <v>898</v>
      </c>
      <c r="D10" s="797" t="s">
        <v>899</v>
      </c>
      <c r="E10" s="787">
        <v>5.2</v>
      </c>
      <c r="F10" s="805"/>
      <c r="G10" s="806"/>
      <c r="H10" s="807"/>
      <c r="I10" s="791" t="str">
        <f>IFERROR(__xludf.DUMMYFUNCTION("GOOGLEFINANCE(D10,""changepct"")"),"#N/A")</f>
        <v>#N/A</v>
      </c>
      <c r="J10" s="792" t="str">
        <f>IFERROR(__xludf.DUMMYFUNCTION("googlefinance(D10,""price"")"),"#N/A")</f>
        <v>#N/A</v>
      </c>
      <c r="K10" s="808"/>
      <c r="L10" s="799"/>
      <c r="M10" s="806"/>
      <c r="N10" s="787" t="s">
        <v>128</v>
      </c>
      <c r="O10" s="788" t="s">
        <v>128</v>
      </c>
      <c r="P10" s="238" t="s">
        <v>674</v>
      </c>
      <c r="Q10" s="211">
        <v>43885.0</v>
      </c>
      <c r="R10" s="212">
        <v>198.99</v>
      </c>
      <c r="S10" s="792">
        <f>IFERROR(__xludf.DUMMYFUNCTION("googlefinance(P10,""price"")"),185.26)</f>
        <v>185.26</v>
      </c>
      <c r="T10" s="213">
        <v>9949.5</v>
      </c>
      <c r="U10" s="658">
        <f t="shared" si="2"/>
        <v>9263</v>
      </c>
      <c r="V10" s="794">
        <f t="shared" si="4"/>
        <v>-0.06899844213</v>
      </c>
      <c r="W10" s="658">
        <f t="shared" si="5"/>
        <v>-686.5</v>
      </c>
      <c r="X10" s="257"/>
      <c r="Y10" s="257"/>
      <c r="Z10" s="238" t="s">
        <v>36</v>
      </c>
      <c r="AA10" s="211">
        <v>43864.0</v>
      </c>
      <c r="AB10" s="212">
        <v>731.24</v>
      </c>
      <c r="AC10" s="213">
        <v>14624.8</v>
      </c>
      <c r="AD10" s="803"/>
    </row>
    <row r="11">
      <c r="A11" s="800"/>
      <c r="B11" s="800"/>
      <c r="C11" s="797" t="s">
        <v>900</v>
      </c>
      <c r="D11" s="797" t="s">
        <v>345</v>
      </c>
      <c r="E11" s="787">
        <v>5.5</v>
      </c>
      <c r="F11" s="805"/>
      <c r="G11" s="806"/>
      <c r="H11" s="807"/>
      <c r="I11" s="791">
        <f>IFERROR(__xludf.DUMMYFUNCTION("GOOGLEFINANCE(D11,""changepct"")"),-0.69)</f>
        <v>-0.69</v>
      </c>
      <c r="J11" s="792">
        <f>IFERROR(__xludf.DUMMYFUNCTION("googlefinance(D11,""price"")"),53.23)</f>
        <v>53.23</v>
      </c>
      <c r="K11" s="808"/>
      <c r="L11" s="809"/>
      <c r="M11" s="806"/>
      <c r="N11" s="787" t="s">
        <v>128</v>
      </c>
      <c r="O11" s="788" t="s">
        <v>128</v>
      </c>
      <c r="P11" s="238" t="s">
        <v>74</v>
      </c>
      <c r="Q11" s="211">
        <v>43889.0</v>
      </c>
      <c r="R11" s="212">
        <v>154.65</v>
      </c>
      <c r="S11" s="792">
        <f>IFERROR(__xludf.DUMMYFUNCTION("googlefinance(P11,""price"")"),424.83)</f>
        <v>424.83</v>
      </c>
      <c r="T11" s="213">
        <v>15465.0</v>
      </c>
      <c r="U11" s="658">
        <f t="shared" si="2"/>
        <v>42483</v>
      </c>
      <c r="V11" s="794">
        <f t="shared" si="4"/>
        <v>1.747041707</v>
      </c>
      <c r="W11" s="658">
        <f t="shared" si="5"/>
        <v>27018</v>
      </c>
      <c r="X11" s="257"/>
      <c r="Y11" s="257"/>
      <c r="Z11" s="238" t="s">
        <v>36</v>
      </c>
      <c r="AA11" s="211">
        <v>43865.0</v>
      </c>
      <c r="AB11" s="212">
        <v>913.25</v>
      </c>
      <c r="AC11" s="213">
        <v>16438.5</v>
      </c>
      <c r="AD11" s="803"/>
    </row>
    <row r="12">
      <c r="A12" s="800"/>
      <c r="B12" s="800"/>
      <c r="C12" s="797" t="s">
        <v>380</v>
      </c>
      <c r="D12" s="797" t="s">
        <v>53</v>
      </c>
      <c r="E12" s="787">
        <v>5.1</v>
      </c>
      <c r="F12" s="805"/>
      <c r="G12" s="806"/>
      <c r="H12" s="807"/>
      <c r="I12" s="791">
        <f>IFERROR(__xludf.DUMMYFUNCTION("GOOGLEFINANCE(D12,""changepct"")"),0.35)</f>
        <v>0.35</v>
      </c>
      <c r="J12" s="792">
        <f>IFERROR(__xludf.DUMMYFUNCTION("googlefinance(D12,""price"")"),137.49)</f>
        <v>137.49</v>
      </c>
      <c r="K12" s="808"/>
      <c r="L12" s="809"/>
      <c r="M12" s="806"/>
      <c r="N12" s="787" t="s">
        <v>128</v>
      </c>
      <c r="O12" s="788" t="s">
        <v>128</v>
      </c>
      <c r="P12" s="238" t="s">
        <v>31</v>
      </c>
      <c r="Q12" s="211">
        <v>43889.0</v>
      </c>
      <c r="R12" s="212">
        <v>1286.89</v>
      </c>
      <c r="S12" s="792">
        <f>IFERROR(__xludf.DUMMYFUNCTION("googlefinance(P12,""price"")"),192.69)</f>
        <v>192.69</v>
      </c>
      <c r="T12" s="213">
        <v>25737.8</v>
      </c>
      <c r="U12" s="658">
        <f t="shared" si="2"/>
        <v>3853.8</v>
      </c>
      <c r="V12" s="794">
        <f t="shared" si="4"/>
        <v>-0.8502669226</v>
      </c>
      <c r="W12" s="658">
        <f t="shared" si="5"/>
        <v>-21884</v>
      </c>
      <c r="X12" s="257"/>
      <c r="Y12" s="257"/>
      <c r="Z12" s="238"/>
      <c r="AA12" s="211"/>
      <c r="AB12" s="212"/>
      <c r="AC12" s="213"/>
      <c r="AD12" s="803"/>
    </row>
    <row r="13">
      <c r="A13" s="800"/>
      <c r="B13" s="800"/>
      <c r="C13" s="797" t="s">
        <v>721</v>
      </c>
      <c r="D13" s="797" t="s">
        <v>722</v>
      </c>
      <c r="E13" s="787">
        <v>6.4</v>
      </c>
      <c r="F13" s="805"/>
      <c r="G13" s="806"/>
      <c r="H13" s="807"/>
      <c r="I13" s="791" t="str">
        <f>IFERROR(__xludf.DUMMYFUNCTION("GOOGLEFINANCE(D13,""changepct"")"),"#N/A")</f>
        <v>#N/A</v>
      </c>
      <c r="J13" s="792" t="str">
        <f>IFERROR(__xludf.DUMMYFUNCTION("googlefinance(D13,""price"")"),"#N/A")</f>
        <v>#N/A</v>
      </c>
      <c r="K13" s="808"/>
      <c r="L13" s="809"/>
      <c r="M13" s="806"/>
      <c r="N13" s="802">
        <v>0.0063</v>
      </c>
      <c r="O13" s="805"/>
      <c r="P13" s="238" t="s">
        <v>674</v>
      </c>
      <c r="Q13" s="211">
        <v>43889.0</v>
      </c>
      <c r="R13" s="212">
        <v>184.87</v>
      </c>
      <c r="S13" s="792">
        <f>IFERROR(__xludf.DUMMYFUNCTION("googlefinance(P13,""price"")"),185.26)</f>
        <v>185.26</v>
      </c>
      <c r="T13" s="213">
        <v>18487.0</v>
      </c>
      <c r="U13" s="658">
        <f t="shared" si="2"/>
        <v>18526</v>
      </c>
      <c r="V13" s="794">
        <f t="shared" si="4"/>
        <v>0.002109590523</v>
      </c>
      <c r="W13" s="658">
        <f t="shared" si="5"/>
        <v>39</v>
      </c>
      <c r="X13" s="257"/>
      <c r="Y13" s="257"/>
      <c r="Z13" s="239"/>
      <c r="AA13" s="257"/>
      <c r="AB13" s="258"/>
      <c r="AC13" s="658"/>
      <c r="AD13" s="803"/>
    </row>
    <row r="14">
      <c r="A14" s="800"/>
      <c r="B14" s="800"/>
      <c r="C14" s="797" t="s">
        <v>901</v>
      </c>
      <c r="D14" s="797" t="s">
        <v>902</v>
      </c>
      <c r="E14" s="787">
        <v>7.7</v>
      </c>
      <c r="F14" s="788">
        <f t="shared" ref="F14:G14" si="10">T14</f>
        <v>32735</v>
      </c>
      <c r="G14" s="810">
        <f t="shared" si="10"/>
        <v>31525</v>
      </c>
      <c r="H14" s="807"/>
      <c r="I14" s="791">
        <f>IFERROR(__xludf.DUMMYFUNCTION("GOOGLEFINANCE(D14,""changepct"")"),-1.33)</f>
        <v>-1.33</v>
      </c>
      <c r="J14" s="792">
        <f>IFERROR(__xludf.DUMMYFUNCTION("googlefinance(D14,""price"")"),252.2)</f>
        <v>252.2</v>
      </c>
      <c r="K14" s="808"/>
      <c r="L14" s="809">
        <f t="shared" ref="L14:M14" si="11">V14</f>
        <v>-0.03696349473</v>
      </c>
      <c r="M14" s="810">
        <f t="shared" si="11"/>
        <v>-1210</v>
      </c>
      <c r="N14" s="802">
        <v>0.0103</v>
      </c>
      <c r="O14" s="788">
        <v>78.0</v>
      </c>
      <c r="P14" s="238" t="s">
        <v>902</v>
      </c>
      <c r="Q14" s="211">
        <v>43889.0</v>
      </c>
      <c r="R14" s="212">
        <v>261.88</v>
      </c>
      <c r="S14" s="792">
        <f>IFERROR(__xludf.DUMMYFUNCTION("googlefinance(P14,""price"")"),252.2)</f>
        <v>252.2</v>
      </c>
      <c r="T14" s="213">
        <v>32735.0</v>
      </c>
      <c r="U14" s="658">
        <f t="shared" si="2"/>
        <v>31525</v>
      </c>
      <c r="V14" s="794">
        <f t="shared" si="4"/>
        <v>-0.03696349473</v>
      </c>
      <c r="W14" s="658">
        <f t="shared" si="5"/>
        <v>-1210</v>
      </c>
      <c r="X14" s="257"/>
      <c r="Y14" s="257"/>
      <c r="Z14" s="239"/>
      <c r="AA14" s="257"/>
      <c r="AB14" s="258"/>
      <c r="AC14" s="658"/>
      <c r="AD14" s="803"/>
    </row>
    <row r="15">
      <c r="A15" s="800"/>
      <c r="B15" s="800"/>
      <c r="C15" s="797"/>
      <c r="D15" s="797" t="s">
        <v>36</v>
      </c>
      <c r="E15" s="787">
        <v>6.7</v>
      </c>
      <c r="F15" s="788">
        <f t="shared" ref="F15:G15" si="12">T15</f>
        <v>49912</v>
      </c>
      <c r="G15" s="810">
        <f t="shared" si="12"/>
        <v>33339.89649</v>
      </c>
      <c r="H15" s="807"/>
      <c r="I15" s="791">
        <f>IFERROR(__xludf.DUMMYFUNCTION("GOOGLEFINANCE(D15,""changepct"")"),-3.3)</f>
        <v>-3.3</v>
      </c>
      <c r="J15" s="792">
        <f>IFERROR(__xludf.DUMMYFUNCTION("googlefinance(D15,""price"")"),417.41)</f>
        <v>417.41</v>
      </c>
      <c r="K15" s="808"/>
      <c r="L15" s="809">
        <f t="shared" ref="L15:M15" si="13">V15</f>
        <v>-0.3320264367</v>
      </c>
      <c r="M15" s="810">
        <f t="shared" si="13"/>
        <v>-16572.10351</v>
      </c>
      <c r="N15" s="802"/>
      <c r="O15" s="805"/>
      <c r="P15" s="238" t="s">
        <v>36</v>
      </c>
      <c r="Q15" s="211">
        <v>43889.0</v>
      </c>
      <c r="R15" s="212">
        <v>624.89</v>
      </c>
      <c r="S15" s="792">
        <f>IFERROR(__xludf.DUMMYFUNCTION("googlefinance(P15,""price"")"),417.41)</f>
        <v>417.41</v>
      </c>
      <c r="T15" s="213">
        <v>49912.0</v>
      </c>
      <c r="U15" s="658">
        <f t="shared" si="2"/>
        <v>33339.89649</v>
      </c>
      <c r="V15" s="794">
        <f t="shared" si="4"/>
        <v>-0.3320264367</v>
      </c>
      <c r="W15" s="658">
        <f t="shared" si="5"/>
        <v>-16572.10351</v>
      </c>
      <c r="X15" s="257"/>
      <c r="Y15" s="257"/>
      <c r="Z15" s="239"/>
      <c r="AA15" s="257"/>
      <c r="AB15" s="258"/>
      <c r="AC15" s="658"/>
      <c r="AD15" s="803"/>
    </row>
    <row r="16">
      <c r="A16" s="811"/>
      <c r="B16" s="735" t="s">
        <v>89</v>
      </c>
      <c r="C16" s="811"/>
      <c r="D16" s="811"/>
      <c r="E16" s="811"/>
      <c r="F16" s="812">
        <f>SUM(F2:F14)</f>
        <v>257993.8</v>
      </c>
      <c r="G16" s="813">
        <f>SUM(G2:G15)</f>
        <v>395708.2456</v>
      </c>
      <c r="H16" s="814"/>
      <c r="I16" s="811"/>
      <c r="J16" s="811"/>
      <c r="K16" s="811"/>
      <c r="L16" s="815">
        <f>M16/F16</f>
        <v>0.3205707697</v>
      </c>
      <c r="M16" s="812">
        <f>SUM(M2:M15)</f>
        <v>82705.27104</v>
      </c>
      <c r="N16" s="811"/>
      <c r="O16" s="812">
        <f>SUM(O5:O15)</f>
        <v>196</v>
      </c>
      <c r="P16" s="238" t="s">
        <v>89</v>
      </c>
      <c r="Q16" s="239"/>
      <c r="R16" s="241"/>
      <c r="S16" s="241"/>
      <c r="T16" s="240">
        <f t="shared" ref="T16:U16" si="14">SUM(T2:T15)</f>
        <v>299637.6</v>
      </c>
      <c r="U16" s="240">
        <f t="shared" si="14"/>
        <v>275092.871</v>
      </c>
      <c r="V16" s="816">
        <f>W16/T16</f>
        <v>-0.08191471617</v>
      </c>
      <c r="W16" s="240">
        <f>SUM(W2:W15)</f>
        <v>-24544.72896</v>
      </c>
      <c r="X16" s="239"/>
      <c r="Y16" s="239"/>
      <c r="Z16" s="238" t="s">
        <v>89</v>
      </c>
      <c r="AA16" s="239"/>
      <c r="AB16" s="241"/>
      <c r="AC16" s="240">
        <f>SUM(AC1:AC14)</f>
        <v>194773.75</v>
      </c>
      <c r="AD16" s="803"/>
    </row>
    <row r="17">
      <c r="A17" s="811"/>
      <c r="B17" s="785" t="s">
        <v>807</v>
      </c>
      <c r="C17" s="510" t="s">
        <v>3</v>
      </c>
      <c r="D17" s="510" t="s">
        <v>4</v>
      </c>
      <c r="E17" s="510" t="s">
        <v>5</v>
      </c>
      <c r="F17" s="510" t="s">
        <v>944</v>
      </c>
      <c r="G17" s="505" t="s">
        <v>231</v>
      </c>
      <c r="H17" s="505" t="s">
        <v>945</v>
      </c>
      <c r="I17" s="506" t="s">
        <v>10</v>
      </c>
      <c r="J17" s="673" t="s">
        <v>11</v>
      </c>
      <c r="K17" s="508" t="s">
        <v>13</v>
      </c>
      <c r="L17" s="510" t="s">
        <v>799</v>
      </c>
      <c r="M17" s="508" t="s">
        <v>800</v>
      </c>
      <c r="N17" s="510" t="s">
        <v>16</v>
      </c>
      <c r="O17" s="510" t="s">
        <v>17</v>
      </c>
      <c r="P17" s="735" t="s">
        <v>946</v>
      </c>
      <c r="Q17" s="735" t="s">
        <v>947</v>
      </c>
      <c r="R17" s="735" t="s">
        <v>27</v>
      </c>
      <c r="S17" s="735" t="s">
        <v>11</v>
      </c>
      <c r="T17" s="735" t="s">
        <v>948</v>
      </c>
      <c r="U17" s="735" t="s">
        <v>786</v>
      </c>
      <c r="V17" s="735" t="s">
        <v>950</v>
      </c>
      <c r="W17" s="735" t="s">
        <v>951</v>
      </c>
      <c r="X17" s="238" t="s">
        <v>16</v>
      </c>
      <c r="Y17" s="238" t="s">
        <v>17</v>
      </c>
      <c r="Z17" s="238" t="s">
        <v>952</v>
      </c>
      <c r="AA17" s="238" t="s">
        <v>953</v>
      </c>
      <c r="AB17" s="238" t="s">
        <v>954</v>
      </c>
      <c r="AC17" s="238" t="s">
        <v>28</v>
      </c>
      <c r="AD17" s="817"/>
    </row>
    <row r="18">
      <c r="A18" s="502" t="s">
        <v>733</v>
      </c>
      <c r="B18" s="796" t="str">
        <f>G27/D88</f>
        <v>#N/A</v>
      </c>
      <c r="C18" s="797" t="s">
        <v>677</v>
      </c>
      <c r="D18" s="797" t="s">
        <v>315</v>
      </c>
      <c r="E18" s="787">
        <v>7.9</v>
      </c>
      <c r="F18" s="788">
        <v>51984.0</v>
      </c>
      <c r="G18" s="805">
        <f t="shared" ref="G18:G22" si="15">F18+M18</f>
        <v>73608</v>
      </c>
      <c r="H18" s="790">
        <v>64.98</v>
      </c>
      <c r="I18" s="791">
        <f>IFERROR(__xludf.DUMMYFUNCTION("GOOGLEFINANCE(D18,""changepct"")"),-2.23)</f>
        <v>-2.23</v>
      </c>
      <c r="J18" s="792">
        <f>IFERROR(__xludf.DUMMYFUNCTION("googlefinance(D18,""price"")"),92.01)</f>
        <v>92.01</v>
      </c>
      <c r="K18" s="807">
        <f t="shared" ref="K18:K22" si="16">J18-H18</f>
        <v>27.03</v>
      </c>
      <c r="L18" s="818">
        <f t="shared" ref="L18:L22" si="17">J18/H18-1</f>
        <v>0.4159741459</v>
      </c>
      <c r="M18" s="807">
        <f t="shared" ref="M18:M22" si="18">F18*L18</f>
        <v>21624</v>
      </c>
      <c r="N18" s="802">
        <v>0.0388</v>
      </c>
      <c r="O18" s="788">
        <v>582.0</v>
      </c>
      <c r="P18" s="239"/>
      <c r="Q18" s="257"/>
      <c r="R18" s="257"/>
      <c r="S18" s="257"/>
      <c r="T18" s="257"/>
      <c r="U18" s="257"/>
      <c r="V18" s="257"/>
      <c r="W18" s="257"/>
      <c r="X18" s="257"/>
      <c r="Y18" s="257"/>
      <c r="Z18" s="239"/>
      <c r="AA18" s="237"/>
      <c r="AB18" s="237"/>
      <c r="AC18" s="237"/>
      <c r="AD18" s="786"/>
    </row>
    <row r="19">
      <c r="A19" s="800"/>
      <c r="B19" s="800"/>
      <c r="C19" s="231" t="s">
        <v>854</v>
      </c>
      <c r="D19" s="231" t="s">
        <v>855</v>
      </c>
      <c r="E19" s="787">
        <v>7.2</v>
      </c>
      <c r="F19" s="788">
        <v>29673.0</v>
      </c>
      <c r="G19" s="805">
        <f t="shared" si="15"/>
        <v>15019</v>
      </c>
      <c r="H19" s="790">
        <v>296.73</v>
      </c>
      <c r="I19" s="791">
        <f>IFERROR(__xludf.DUMMYFUNCTION("GOOGLEFINANCE(D19,""changepct"")"),-0.74)</f>
        <v>-0.74</v>
      </c>
      <c r="J19" s="792">
        <f>IFERROR(__xludf.DUMMYFUNCTION("googlefinance(D19,""price"")"),150.19)</f>
        <v>150.19</v>
      </c>
      <c r="K19" s="807">
        <f t="shared" si="16"/>
        <v>-146.54</v>
      </c>
      <c r="L19" s="818">
        <f t="shared" si="17"/>
        <v>-0.4938496276</v>
      </c>
      <c r="M19" s="807">
        <f t="shared" si="18"/>
        <v>-14654</v>
      </c>
      <c r="N19" s="787" t="s">
        <v>128</v>
      </c>
      <c r="O19" s="788" t="s">
        <v>128</v>
      </c>
      <c r="P19" s="239"/>
      <c r="Q19" s="257"/>
      <c r="R19" s="257"/>
      <c r="S19" s="257"/>
      <c r="T19" s="257"/>
      <c r="U19" s="257"/>
      <c r="V19" s="257"/>
      <c r="W19" s="257"/>
      <c r="X19" s="257"/>
      <c r="Y19" s="257"/>
      <c r="Z19" s="239"/>
      <c r="AA19" s="257"/>
      <c r="AB19" s="257"/>
      <c r="AC19" s="257"/>
    </row>
    <row r="20">
      <c r="A20" s="800"/>
      <c r="B20" s="800"/>
      <c r="C20" s="231" t="s">
        <v>810</v>
      </c>
      <c r="D20" s="231" t="s">
        <v>811</v>
      </c>
      <c r="E20" s="787">
        <v>7.8</v>
      </c>
      <c r="F20" s="788">
        <v>47440.0</v>
      </c>
      <c r="G20" s="805">
        <f t="shared" si="15"/>
        <v>73820</v>
      </c>
      <c r="H20" s="790">
        <v>23.72</v>
      </c>
      <c r="I20" s="791">
        <f>IFERROR(__xludf.DUMMYFUNCTION("GOOGLEFINANCE(D20,""changepct"")"),-0.73)</f>
        <v>-0.73</v>
      </c>
      <c r="J20" s="792">
        <f>IFERROR(__xludf.DUMMYFUNCTION("googlefinance(D20,""price"")"),36.91)</f>
        <v>36.91</v>
      </c>
      <c r="K20" s="807">
        <f t="shared" si="16"/>
        <v>13.19</v>
      </c>
      <c r="L20" s="818">
        <f t="shared" si="17"/>
        <v>0.5560708263</v>
      </c>
      <c r="M20" s="807">
        <f t="shared" si="18"/>
        <v>26380</v>
      </c>
      <c r="N20" s="787" t="s">
        <v>128</v>
      </c>
      <c r="O20" s="788" t="s">
        <v>128</v>
      </c>
      <c r="P20" s="239"/>
      <c r="Q20" s="257"/>
      <c r="R20" s="257"/>
      <c r="S20" s="257"/>
      <c r="T20" s="257"/>
      <c r="U20" s="257"/>
      <c r="V20" s="257"/>
      <c r="W20" s="257"/>
      <c r="X20" s="257"/>
      <c r="Y20" s="257"/>
      <c r="Z20" s="239"/>
      <c r="AA20" s="257"/>
      <c r="AB20" s="257"/>
      <c r="AC20" s="257"/>
    </row>
    <row r="21">
      <c r="A21" s="800"/>
      <c r="B21" s="800"/>
      <c r="C21" s="797" t="s">
        <v>857</v>
      </c>
      <c r="D21" s="797" t="s">
        <v>858</v>
      </c>
      <c r="E21" s="787">
        <v>7.8</v>
      </c>
      <c r="F21" s="788">
        <v>42720.0</v>
      </c>
      <c r="G21" s="800" t="str">
        <f t="shared" si="15"/>
        <v>#N/A</v>
      </c>
      <c r="H21" s="790">
        <v>106.8</v>
      </c>
      <c r="I21" s="791" t="str">
        <f>IFERROR(__xludf.DUMMYFUNCTION("GOOGLEFINANCE(D21,""changepct"")"),"#N/A")</f>
        <v>#N/A</v>
      </c>
      <c r="J21" s="792" t="str">
        <f>IFERROR(__xludf.DUMMYFUNCTION("googlefinance(D21,""price"")"),"#N/A")</f>
        <v>#N/A</v>
      </c>
      <c r="K21" s="800" t="str">
        <f t="shared" si="16"/>
        <v>#N/A</v>
      </c>
      <c r="L21" s="818" t="str">
        <f t="shared" si="17"/>
        <v>#N/A</v>
      </c>
      <c r="M21" s="807" t="str">
        <f t="shared" si="18"/>
        <v>#N/A</v>
      </c>
      <c r="N21" s="787" t="s">
        <v>128</v>
      </c>
      <c r="O21" s="788" t="s">
        <v>128</v>
      </c>
      <c r="P21" s="239"/>
      <c r="Q21" s="257"/>
      <c r="R21" s="257"/>
      <c r="S21" s="257"/>
      <c r="T21" s="257"/>
      <c r="U21" s="257"/>
      <c r="V21" s="257"/>
      <c r="W21" s="257"/>
      <c r="X21" s="257"/>
      <c r="Y21" s="257"/>
      <c r="Z21" s="239"/>
      <c r="AA21" s="257"/>
      <c r="AB21" s="257"/>
      <c r="AC21" s="257"/>
    </row>
    <row r="22">
      <c r="A22" s="800"/>
      <c r="B22" s="800"/>
      <c r="C22" s="797" t="s">
        <v>903</v>
      </c>
      <c r="D22" s="797" t="s">
        <v>904</v>
      </c>
      <c r="E22" s="787">
        <v>7.1</v>
      </c>
      <c r="F22" s="788">
        <v>41331.0</v>
      </c>
      <c r="G22" s="800" t="str">
        <f t="shared" si="15"/>
        <v>#N/A</v>
      </c>
      <c r="H22" s="790">
        <v>137.77</v>
      </c>
      <c r="I22" s="791" t="str">
        <f>IFERROR(__xludf.DUMMYFUNCTION("GOOGLEFINANCE(D22,""changepct"")"),"#N/A")</f>
        <v>#N/A</v>
      </c>
      <c r="J22" s="792" t="str">
        <f>IFERROR(__xludf.DUMMYFUNCTION("googlefinance(D22,""price"")"),"#N/A")</f>
        <v>#N/A</v>
      </c>
      <c r="K22" s="800" t="str">
        <f t="shared" si="16"/>
        <v>#N/A</v>
      </c>
      <c r="L22" s="818" t="str">
        <f t="shared" si="17"/>
        <v>#N/A</v>
      </c>
      <c r="M22" s="807" t="str">
        <f t="shared" si="18"/>
        <v>#N/A</v>
      </c>
      <c r="N22" s="787" t="s">
        <v>128</v>
      </c>
      <c r="O22" s="788" t="s">
        <v>128</v>
      </c>
      <c r="P22" s="239"/>
      <c r="Q22" s="257"/>
      <c r="R22" s="257"/>
      <c r="S22" s="257"/>
      <c r="T22" s="257"/>
      <c r="U22" s="257"/>
      <c r="V22" s="257"/>
      <c r="W22" s="257"/>
      <c r="X22" s="257"/>
      <c r="Y22" s="257"/>
      <c r="Z22" s="239"/>
      <c r="AA22" s="257"/>
      <c r="AB22" s="257"/>
      <c r="AC22" s="257"/>
    </row>
    <row r="23">
      <c r="A23" s="800"/>
      <c r="B23" s="800"/>
      <c r="C23" s="231" t="s">
        <v>750</v>
      </c>
      <c r="D23" s="231" t="s">
        <v>317</v>
      </c>
      <c r="E23" s="787">
        <v>6.4</v>
      </c>
      <c r="F23" s="805"/>
      <c r="G23" s="800"/>
      <c r="H23" s="807"/>
      <c r="I23" s="791">
        <f>IFERROR(__xludf.DUMMYFUNCTION("GOOGLEFINANCE(D23,""changepct"")"),-2.81)</f>
        <v>-2.81</v>
      </c>
      <c r="J23" s="792">
        <f>IFERROR(__xludf.DUMMYFUNCTION("googlefinance(D23,""price"")"),56.06)</f>
        <v>56.06</v>
      </c>
      <c r="K23" s="800"/>
      <c r="L23" s="819"/>
      <c r="M23" s="807"/>
      <c r="N23" s="802">
        <v>0.0284</v>
      </c>
      <c r="O23" s="805"/>
      <c r="P23" s="239"/>
      <c r="Q23" s="257"/>
      <c r="R23" s="257"/>
      <c r="S23" s="257"/>
      <c r="T23" s="257"/>
      <c r="U23" s="257"/>
      <c r="V23" s="257"/>
      <c r="W23" s="257"/>
      <c r="X23" s="257"/>
      <c r="Y23" s="257"/>
      <c r="Z23" s="239"/>
      <c r="AA23" s="257"/>
      <c r="AB23" s="257"/>
      <c r="AC23" s="257"/>
    </row>
    <row r="24">
      <c r="A24" s="800"/>
      <c r="B24" s="800"/>
      <c r="C24" s="820" t="s">
        <v>111</v>
      </c>
      <c r="D24" s="231" t="s">
        <v>112</v>
      </c>
      <c r="E24" s="787">
        <v>5.8</v>
      </c>
      <c r="F24" s="805"/>
      <c r="G24" s="800"/>
      <c r="H24" s="807"/>
      <c r="I24" s="791">
        <f>IFERROR(__xludf.DUMMYFUNCTION("GOOGLEFINANCE(D24,""changepct"")"),-1.02)</f>
        <v>-1.02</v>
      </c>
      <c r="J24" s="792">
        <f>IFERROR(__xludf.DUMMYFUNCTION("googlefinance(D24,""price"")"),176.2)</f>
        <v>176.2</v>
      </c>
      <c r="K24" s="800"/>
      <c r="L24" s="819"/>
      <c r="M24" s="807"/>
      <c r="N24" s="802">
        <v>0.0527</v>
      </c>
      <c r="O24" s="805"/>
      <c r="P24" s="239"/>
      <c r="Q24" s="257"/>
      <c r="R24" s="257"/>
      <c r="S24" s="257"/>
      <c r="T24" s="257"/>
      <c r="U24" s="257"/>
      <c r="V24" s="257"/>
      <c r="W24" s="257"/>
      <c r="X24" s="257"/>
      <c r="Y24" s="257"/>
      <c r="Z24" s="239"/>
      <c r="AA24" s="257"/>
      <c r="AB24" s="257"/>
      <c r="AC24" s="257"/>
    </row>
    <row r="25">
      <c r="A25" s="800"/>
      <c r="B25" s="800"/>
      <c r="C25" s="797" t="s">
        <v>590</v>
      </c>
      <c r="D25" s="797" t="s">
        <v>104</v>
      </c>
      <c r="E25" s="787">
        <v>6.5</v>
      </c>
      <c r="F25" s="805"/>
      <c r="G25" s="800"/>
      <c r="H25" s="807"/>
      <c r="I25" s="791">
        <f>IFERROR(__xludf.DUMMYFUNCTION("GOOGLEFINANCE(D25,""changepct"")"),-1.28)</f>
        <v>-1.28</v>
      </c>
      <c r="J25" s="792">
        <f>IFERROR(__xludf.DUMMYFUNCTION("googlefinance(D25,""price"")"),259.3)</f>
        <v>259.3</v>
      </c>
      <c r="K25" s="800"/>
      <c r="L25" s="819"/>
      <c r="M25" s="807"/>
      <c r="N25" s="802">
        <v>0.0267</v>
      </c>
      <c r="O25" s="805"/>
      <c r="P25" s="239"/>
      <c r="Q25" s="257"/>
      <c r="R25" s="257"/>
      <c r="S25" s="257"/>
      <c r="T25" s="257"/>
      <c r="U25" s="257"/>
      <c r="V25" s="257"/>
      <c r="W25" s="257"/>
      <c r="X25" s="257"/>
      <c r="Y25" s="257"/>
      <c r="Z25" s="239"/>
      <c r="AA25" s="257"/>
      <c r="AB25" s="257"/>
      <c r="AC25" s="257"/>
    </row>
    <row r="26">
      <c r="A26" s="800"/>
      <c r="B26" s="800"/>
      <c r="C26" s="797" t="s">
        <v>863</v>
      </c>
      <c r="D26" s="797" t="s">
        <v>864</v>
      </c>
      <c r="E26" s="787">
        <v>6.4</v>
      </c>
      <c r="F26" s="805"/>
      <c r="G26" s="800"/>
      <c r="H26" s="807"/>
      <c r="I26" s="791">
        <f>IFERROR(__xludf.DUMMYFUNCTION("GOOGLEFINANCE(D26,""changepct"")"),-0.75)</f>
        <v>-0.75</v>
      </c>
      <c r="J26" s="792">
        <f>IFERROR(__xludf.DUMMYFUNCTION("googlefinance(D26,""price"")"),13.17)</f>
        <v>13.17</v>
      </c>
      <c r="K26" s="800"/>
      <c r="L26" s="819"/>
      <c r="M26" s="807"/>
      <c r="N26" s="802">
        <v>0.0416</v>
      </c>
      <c r="O26" s="805"/>
      <c r="P26" s="239"/>
      <c r="Q26" s="257"/>
      <c r="R26" s="257"/>
      <c r="S26" s="257"/>
      <c r="T26" s="257"/>
      <c r="U26" s="257"/>
      <c r="V26" s="257"/>
      <c r="W26" s="257"/>
      <c r="X26" s="257"/>
      <c r="Y26" s="257"/>
      <c r="Z26" s="239"/>
      <c r="AA26" s="257"/>
      <c r="AB26" s="257"/>
      <c r="AC26" s="257"/>
    </row>
    <row r="27">
      <c r="A27" s="811"/>
      <c r="B27" s="735" t="s">
        <v>89</v>
      </c>
      <c r="C27" s="811"/>
      <c r="D27" s="811"/>
      <c r="E27" s="811"/>
      <c r="F27" s="812">
        <f t="shared" ref="F27:G27" si="19">SUM(F18:F26)</f>
        <v>213148</v>
      </c>
      <c r="G27" s="821" t="str">
        <f t="shared" si="19"/>
        <v>#N/A</v>
      </c>
      <c r="H27" s="811"/>
      <c r="I27" s="811"/>
      <c r="J27" s="811"/>
      <c r="K27" s="811"/>
      <c r="L27" s="815" t="str">
        <f>M27/F27</f>
        <v>#N/A</v>
      </c>
      <c r="M27" s="812" t="str">
        <f>SUM(M18:M26)</f>
        <v>#N/A</v>
      </c>
      <c r="N27" s="811"/>
      <c r="O27" s="812">
        <f>SUM(O18:O26)</f>
        <v>582</v>
      </c>
      <c r="P27" s="238" t="s">
        <v>89</v>
      </c>
      <c r="Q27" s="239"/>
      <c r="R27" s="239"/>
      <c r="S27" s="239"/>
      <c r="T27" s="239"/>
      <c r="U27" s="239"/>
      <c r="V27" s="239"/>
      <c r="W27" s="239"/>
      <c r="X27" s="239"/>
      <c r="Y27" s="239"/>
      <c r="Z27" s="238" t="s">
        <v>89</v>
      </c>
      <c r="AA27" s="238"/>
      <c r="AB27" s="239"/>
      <c r="AC27" s="241"/>
      <c r="AD27" s="817"/>
    </row>
    <row r="28">
      <c r="A28" s="821"/>
      <c r="B28" s="735" t="s">
        <v>812</v>
      </c>
      <c r="C28" s="510" t="s">
        <v>3</v>
      </c>
      <c r="D28" s="510" t="s">
        <v>4</v>
      </c>
      <c r="E28" s="510" t="s">
        <v>5</v>
      </c>
      <c r="F28" s="510" t="s">
        <v>944</v>
      </c>
      <c r="G28" s="505" t="s">
        <v>231</v>
      </c>
      <c r="H28" s="505" t="s">
        <v>945</v>
      </c>
      <c r="I28" s="506" t="s">
        <v>10</v>
      </c>
      <c r="J28" s="673" t="s">
        <v>11</v>
      </c>
      <c r="K28" s="508" t="s">
        <v>13</v>
      </c>
      <c r="L28" s="510" t="s">
        <v>799</v>
      </c>
      <c r="M28" s="508" t="s">
        <v>800</v>
      </c>
      <c r="N28" s="510" t="s">
        <v>16</v>
      </c>
      <c r="O28" s="510" t="s">
        <v>17</v>
      </c>
      <c r="P28" s="735" t="s">
        <v>946</v>
      </c>
      <c r="Q28" s="735" t="s">
        <v>947</v>
      </c>
      <c r="R28" s="735" t="s">
        <v>27</v>
      </c>
      <c r="S28" s="735" t="s">
        <v>11</v>
      </c>
      <c r="T28" s="735" t="s">
        <v>948</v>
      </c>
      <c r="U28" s="735" t="s">
        <v>786</v>
      </c>
      <c r="V28" s="735" t="s">
        <v>950</v>
      </c>
      <c r="W28" s="735" t="s">
        <v>951</v>
      </c>
      <c r="X28" s="238" t="s">
        <v>16</v>
      </c>
      <c r="Y28" s="238" t="s">
        <v>17</v>
      </c>
      <c r="Z28" s="238" t="s">
        <v>952</v>
      </c>
      <c r="AA28" s="238" t="s">
        <v>953</v>
      </c>
      <c r="AB28" s="238" t="s">
        <v>954</v>
      </c>
      <c r="AC28" s="238" t="s">
        <v>28</v>
      </c>
    </row>
    <row r="29">
      <c r="A29" s="502" t="s">
        <v>733</v>
      </c>
      <c r="B29" s="796" t="str">
        <f>G37/D88</f>
        <v>#N/A</v>
      </c>
      <c r="C29" s="820" t="s">
        <v>94</v>
      </c>
      <c r="D29" s="820" t="s">
        <v>95</v>
      </c>
      <c r="E29" s="787">
        <v>5.4</v>
      </c>
      <c r="F29" s="788">
        <v>20100.0</v>
      </c>
      <c r="G29" s="805">
        <f t="shared" ref="G29:G30" si="20">F29+M29+U29+U34</f>
        <v>75620</v>
      </c>
      <c r="H29" s="790">
        <v>40.2</v>
      </c>
      <c r="I29" s="791">
        <f>IFERROR(__xludf.DUMMYFUNCTION("GOOGLEFINANCE(D29,""changepct"")"),0.03)</f>
        <v>0.03</v>
      </c>
      <c r="J29" s="792">
        <f>IFERROR(__xludf.DUMMYFUNCTION("googlefinance(D29,""price"")"),37.81)</f>
        <v>37.81</v>
      </c>
      <c r="K29" s="807">
        <f t="shared" ref="K29:K34" si="21">J29-H29</f>
        <v>-2.39</v>
      </c>
      <c r="L29" s="819">
        <f t="shared" ref="L29:L34" si="22">J29/H29-1</f>
        <v>-0.05945273632</v>
      </c>
      <c r="M29" s="805">
        <f t="shared" ref="M29:M34" si="23">F29*L29</f>
        <v>-1195</v>
      </c>
      <c r="N29" s="802">
        <v>0.0498</v>
      </c>
      <c r="O29" s="788">
        <v>473.0</v>
      </c>
      <c r="P29" s="238" t="s">
        <v>95</v>
      </c>
      <c r="Q29" s="211">
        <v>43864.0</v>
      </c>
      <c r="R29" s="212">
        <v>33.26</v>
      </c>
      <c r="S29" s="516">
        <f>IFERROR(__xludf.DUMMYFUNCTION("googlefinance(P29,""price"")"),37.81)</f>
        <v>37.81</v>
      </c>
      <c r="T29" s="213">
        <v>16630.0</v>
      </c>
      <c r="U29" s="658">
        <f t="shared" ref="U29:U36" si="24">T29+W29</f>
        <v>18905</v>
      </c>
      <c r="V29" s="822">
        <f t="shared" ref="V29:V36" si="25">S29/R29-1</f>
        <v>0.1368009621</v>
      </c>
      <c r="W29" s="658">
        <f t="shared" ref="W29:W36" si="26">T29*V29</f>
        <v>2275</v>
      </c>
      <c r="X29" s="823">
        <v>0.033</v>
      </c>
      <c r="Y29" s="257"/>
      <c r="Z29" s="239"/>
      <c r="AA29" s="211"/>
      <c r="AB29" s="258"/>
      <c r="AC29" s="658"/>
    </row>
    <row r="30">
      <c r="A30" s="800"/>
      <c r="B30" s="800"/>
      <c r="C30" s="824" t="s">
        <v>762</v>
      </c>
      <c r="D30" s="820" t="s">
        <v>763</v>
      </c>
      <c r="E30" s="787">
        <v>5.2</v>
      </c>
      <c r="F30" s="788">
        <v>24470.0</v>
      </c>
      <c r="G30" s="805">
        <f t="shared" si="20"/>
        <v>97056</v>
      </c>
      <c r="H30" s="790">
        <v>24.47</v>
      </c>
      <c r="I30" s="791">
        <f>IFERROR(__xludf.DUMMYFUNCTION("GOOGLEFINANCE(D30,""changepct"")"),0.63)</f>
        <v>0.63</v>
      </c>
      <c r="J30" s="792">
        <f>IFERROR(__xludf.DUMMYFUNCTION("googlefinance(D30,""price"")"),26.96)</f>
        <v>26.96</v>
      </c>
      <c r="K30" s="807">
        <f t="shared" si="21"/>
        <v>2.49</v>
      </c>
      <c r="L30" s="819">
        <f t="shared" si="22"/>
        <v>0.1017572538</v>
      </c>
      <c r="M30" s="805">
        <f t="shared" si="23"/>
        <v>2490</v>
      </c>
      <c r="N30" s="802">
        <v>0.0292</v>
      </c>
      <c r="O30" s="788">
        <v>240.0</v>
      </c>
      <c r="P30" s="238" t="s">
        <v>763</v>
      </c>
      <c r="Q30" s="211">
        <v>43864.0</v>
      </c>
      <c r="R30" s="212">
        <v>21.54</v>
      </c>
      <c r="S30" s="516">
        <f>IFERROR(__xludf.DUMMYFUNCTION("googlefinance(P30,""price"")"),26.96)</f>
        <v>26.96</v>
      </c>
      <c r="T30" s="213">
        <v>17232.0</v>
      </c>
      <c r="U30" s="658">
        <f t="shared" si="24"/>
        <v>21568</v>
      </c>
      <c r="V30" s="822">
        <f t="shared" si="25"/>
        <v>0.2516248839</v>
      </c>
      <c r="W30" s="658">
        <f t="shared" si="26"/>
        <v>4336</v>
      </c>
      <c r="X30" s="823">
        <v>0.056</v>
      </c>
      <c r="Y30" s="257"/>
      <c r="Z30" s="239"/>
      <c r="AA30" s="257"/>
      <c r="AB30" s="258"/>
      <c r="AC30" s="658"/>
    </row>
    <row r="31">
      <c r="A31" s="800"/>
      <c r="B31" s="800"/>
      <c r="C31" s="820" t="s">
        <v>815</v>
      </c>
      <c r="D31" s="820" t="s">
        <v>816</v>
      </c>
      <c r="E31" s="787">
        <v>7.5</v>
      </c>
      <c r="F31" s="788">
        <v>36990.0</v>
      </c>
      <c r="G31" s="805" t="str">
        <f>F31+M31-AC31+U31</f>
        <v>#N/A</v>
      </c>
      <c r="H31" s="790">
        <v>8.22</v>
      </c>
      <c r="I31" s="791" t="str">
        <f>IFERROR(__xludf.DUMMYFUNCTION("GOOGLEFINANCE(D31,""changepct"")"),"#N/A")</f>
        <v>#N/A</v>
      </c>
      <c r="J31" s="792" t="str">
        <f>IFERROR(__xludf.DUMMYFUNCTION("googlefinance(D31,""price"")"),"#N/A")</f>
        <v>#N/A</v>
      </c>
      <c r="K31" s="800" t="str">
        <f t="shared" si="21"/>
        <v>#N/A</v>
      </c>
      <c r="L31" s="819" t="str">
        <f t="shared" si="22"/>
        <v>#N/A</v>
      </c>
      <c r="M31" s="800" t="str">
        <f t="shared" si="23"/>
        <v>#N/A</v>
      </c>
      <c r="N31" s="825">
        <v>0.0527</v>
      </c>
      <c r="O31" s="788">
        <v>490.0</v>
      </c>
      <c r="P31" s="238" t="s">
        <v>816</v>
      </c>
      <c r="Q31" s="211">
        <v>43864.0</v>
      </c>
      <c r="R31" s="212">
        <v>7.09</v>
      </c>
      <c r="S31" s="516" t="str">
        <f>IFERROR(__xludf.DUMMYFUNCTION("googlefinance(P31,""price"")"),"#N/A")</f>
        <v>#N/A</v>
      </c>
      <c r="T31" s="213">
        <v>21270.0</v>
      </c>
      <c r="U31" s="658" t="str">
        <f t="shared" si="24"/>
        <v>#N/A</v>
      </c>
      <c r="V31" s="822" t="str">
        <f t="shared" si="25"/>
        <v>#N/A</v>
      </c>
      <c r="W31" s="257" t="str">
        <f t="shared" si="26"/>
        <v>#N/A</v>
      </c>
      <c r="X31" s="823">
        <v>0.064</v>
      </c>
      <c r="Y31" s="257"/>
      <c r="Z31" s="238" t="s">
        <v>816</v>
      </c>
      <c r="AA31" s="211">
        <v>43844.0</v>
      </c>
      <c r="AB31" s="212">
        <v>8.05</v>
      </c>
      <c r="AC31" s="213">
        <v>16100.0</v>
      </c>
    </row>
    <row r="32">
      <c r="A32" s="800"/>
      <c r="B32" s="800"/>
      <c r="C32" s="820" t="s">
        <v>905</v>
      </c>
      <c r="D32" s="820" t="s">
        <v>567</v>
      </c>
      <c r="E32" s="787">
        <v>7.7</v>
      </c>
      <c r="F32" s="788">
        <v>28095.0</v>
      </c>
      <c r="G32" s="805">
        <f t="shared" ref="G32:G33" si="27">F32+M32+U32</f>
        <v>65774.5</v>
      </c>
      <c r="H32" s="790">
        <v>93.65</v>
      </c>
      <c r="I32" s="791">
        <f>IFERROR(__xludf.DUMMYFUNCTION("GOOGLEFINANCE(D32,""changepct"")"),0.01)</f>
        <v>0.01</v>
      </c>
      <c r="J32" s="792">
        <f>IFERROR(__xludf.DUMMYFUNCTION("googlefinance(D32,""price"")"),119.59)</f>
        <v>119.59</v>
      </c>
      <c r="K32" s="807">
        <f t="shared" si="21"/>
        <v>25.94</v>
      </c>
      <c r="L32" s="819">
        <f t="shared" si="22"/>
        <v>0.276988788</v>
      </c>
      <c r="M32" s="805">
        <f t="shared" si="23"/>
        <v>7782</v>
      </c>
      <c r="N32" s="802">
        <v>0.0378</v>
      </c>
      <c r="O32" s="788">
        <v>500.0</v>
      </c>
      <c r="P32" s="238" t="s">
        <v>567</v>
      </c>
      <c r="Q32" s="211">
        <v>43864.0</v>
      </c>
      <c r="R32" s="212">
        <v>79.94</v>
      </c>
      <c r="S32" s="516">
        <f>IFERROR(__xludf.DUMMYFUNCTION("googlefinance(P32,""price"")"),119.59)</f>
        <v>119.59</v>
      </c>
      <c r="T32" s="213">
        <v>19985.0</v>
      </c>
      <c r="U32" s="658">
        <f t="shared" si="24"/>
        <v>29897.5</v>
      </c>
      <c r="V32" s="822">
        <f t="shared" si="25"/>
        <v>0.4959969977</v>
      </c>
      <c r="W32" s="658">
        <f t="shared" si="26"/>
        <v>9912.5</v>
      </c>
      <c r="X32" s="823">
        <v>0.0465</v>
      </c>
      <c r="Y32" s="257"/>
      <c r="Z32" s="239"/>
      <c r="AA32" s="257"/>
      <c r="AB32" s="258"/>
      <c r="AC32" s="658"/>
    </row>
    <row r="33">
      <c r="A33" s="800"/>
      <c r="B33" s="800"/>
      <c r="C33" s="797" t="s">
        <v>906</v>
      </c>
      <c r="D33" s="797" t="s">
        <v>496</v>
      </c>
      <c r="E33" s="787">
        <v>5.7</v>
      </c>
      <c r="F33" s="788">
        <v>30937.5</v>
      </c>
      <c r="G33" s="805">
        <f t="shared" si="27"/>
        <v>55729</v>
      </c>
      <c r="H33" s="790">
        <v>41.25</v>
      </c>
      <c r="I33" s="791">
        <f>IFERROR(__xludf.DUMMYFUNCTION("GOOGLEFINANCE(D33,""changepct"")"),-0.21)</f>
        <v>-0.21</v>
      </c>
      <c r="J33" s="792">
        <f>IFERROR(__xludf.DUMMYFUNCTION("googlefinance(D33,""price"")"),48.46)</f>
        <v>48.46</v>
      </c>
      <c r="K33" s="807">
        <f t="shared" si="21"/>
        <v>7.21</v>
      </c>
      <c r="L33" s="819">
        <f t="shared" si="22"/>
        <v>0.1747878788</v>
      </c>
      <c r="M33" s="805">
        <f t="shared" si="23"/>
        <v>5407.5</v>
      </c>
      <c r="N33" s="802">
        <v>0.0742</v>
      </c>
      <c r="O33" s="788">
        <v>111.0</v>
      </c>
      <c r="P33" s="238" t="s">
        <v>496</v>
      </c>
      <c r="Q33" s="211">
        <v>43864.0</v>
      </c>
      <c r="R33" s="212">
        <v>40.21</v>
      </c>
      <c r="S33" s="516">
        <f>IFERROR(__xludf.DUMMYFUNCTION("googlefinance(P33,""price"")"),48.46)</f>
        <v>48.46</v>
      </c>
      <c r="T33" s="213">
        <v>16084.0</v>
      </c>
      <c r="U33" s="658">
        <f t="shared" si="24"/>
        <v>19384</v>
      </c>
      <c r="V33" s="822">
        <f t="shared" si="25"/>
        <v>0.2051728426</v>
      </c>
      <c r="W33" s="658">
        <f t="shared" si="26"/>
        <v>3300</v>
      </c>
      <c r="X33" s="823">
        <v>0.0796</v>
      </c>
      <c r="Y33" s="257"/>
      <c r="Z33" s="238" t="s">
        <v>496</v>
      </c>
      <c r="AA33" s="211">
        <v>43844.0</v>
      </c>
      <c r="AB33" s="212">
        <v>47.25</v>
      </c>
      <c r="AC33" s="213">
        <v>14175.0</v>
      </c>
    </row>
    <row r="34">
      <c r="A34" s="800"/>
      <c r="B34" s="800"/>
      <c r="C34" s="797" t="s">
        <v>865</v>
      </c>
      <c r="D34" s="797" t="s">
        <v>494</v>
      </c>
      <c r="E34" s="787">
        <v>7.8</v>
      </c>
      <c r="F34" s="788">
        <v>37650.0</v>
      </c>
      <c r="G34" s="805">
        <f>F34+M34</f>
        <v>29090</v>
      </c>
      <c r="H34" s="790">
        <v>37.65</v>
      </c>
      <c r="I34" s="791">
        <f>IFERROR(__xludf.DUMMYFUNCTION("GOOGLEFINANCE(D34,""changepct"")"),0.45)</f>
        <v>0.45</v>
      </c>
      <c r="J34" s="792">
        <f>IFERROR(__xludf.DUMMYFUNCTION("googlefinance(D34,""price"")"),29.09)</f>
        <v>29.09</v>
      </c>
      <c r="K34" s="807">
        <f t="shared" si="21"/>
        <v>-8.56</v>
      </c>
      <c r="L34" s="819">
        <f t="shared" si="22"/>
        <v>-0.2273572377</v>
      </c>
      <c r="M34" s="805">
        <f t="shared" si="23"/>
        <v>-8560</v>
      </c>
      <c r="N34" s="802">
        <v>0.0645</v>
      </c>
      <c r="O34" s="788">
        <v>445.0</v>
      </c>
      <c r="P34" s="238" t="s">
        <v>95</v>
      </c>
      <c r="Q34" s="211">
        <v>43889.0</v>
      </c>
      <c r="R34" s="212">
        <v>26.14</v>
      </c>
      <c r="S34" s="516">
        <f>IFERROR(__xludf.DUMMYFUNCTION("googlefinance(P34,""price"")"),37.81)</f>
        <v>37.81</v>
      </c>
      <c r="T34" s="213">
        <v>26140.0</v>
      </c>
      <c r="U34" s="658">
        <f t="shared" si="24"/>
        <v>37810</v>
      </c>
      <c r="V34" s="822">
        <f t="shared" si="25"/>
        <v>0.4464422341</v>
      </c>
      <c r="W34" s="658">
        <f t="shared" si="26"/>
        <v>11670</v>
      </c>
      <c r="X34" s="823">
        <v>0.0738</v>
      </c>
      <c r="Y34" s="257"/>
      <c r="Z34" s="239"/>
      <c r="AA34" s="257"/>
      <c r="AB34" s="258"/>
      <c r="AC34" s="658"/>
    </row>
    <row r="35">
      <c r="A35" s="800"/>
      <c r="B35" s="800"/>
      <c r="C35" s="797" t="s">
        <v>680</v>
      </c>
      <c r="D35" s="797" t="s">
        <v>681</v>
      </c>
      <c r="E35" s="787">
        <v>7.9</v>
      </c>
      <c r="F35" s="807"/>
      <c r="G35" s="805"/>
      <c r="H35" s="807"/>
      <c r="I35" s="791">
        <f>IFERROR(__xludf.DUMMYFUNCTION("GOOGLEFINANCE(D35,""changepct"")"),0.0)</f>
        <v>0</v>
      </c>
      <c r="J35" s="792">
        <f>IFERROR(__xludf.DUMMYFUNCTION("googlefinance(D35,""price"")"),6.96)</f>
        <v>6.96</v>
      </c>
      <c r="K35" s="800"/>
      <c r="L35" s="819"/>
      <c r="M35" s="800"/>
      <c r="N35" s="802">
        <v>0.0592</v>
      </c>
      <c r="O35" s="805"/>
      <c r="P35" s="238" t="s">
        <v>763</v>
      </c>
      <c r="Q35" s="211">
        <v>43889.0</v>
      </c>
      <c r="R35" s="212">
        <v>16.75</v>
      </c>
      <c r="S35" s="516">
        <f>IFERROR(__xludf.DUMMYFUNCTION("googlefinance(P35,""price"")"),26.96)</f>
        <v>26.96</v>
      </c>
      <c r="T35" s="213">
        <v>30150.0</v>
      </c>
      <c r="U35" s="658">
        <f t="shared" si="24"/>
        <v>48528</v>
      </c>
      <c r="V35" s="822">
        <f t="shared" si="25"/>
        <v>0.6095522388</v>
      </c>
      <c r="W35" s="658">
        <f t="shared" si="26"/>
        <v>18378</v>
      </c>
      <c r="X35" s="823">
        <v>0.039</v>
      </c>
      <c r="Y35" s="257"/>
      <c r="Z35" s="239"/>
      <c r="AA35" s="257"/>
      <c r="AB35" s="258"/>
      <c r="AC35" s="658"/>
    </row>
    <row r="36">
      <c r="A36" s="800"/>
      <c r="B36" s="800"/>
      <c r="C36" s="797" t="s">
        <v>907</v>
      </c>
      <c r="D36" s="797" t="s">
        <v>309</v>
      </c>
      <c r="E36" s="787">
        <v>6.7</v>
      </c>
      <c r="F36" s="788">
        <f t="shared" ref="F36:G36" si="28">T36</f>
        <v>20960</v>
      </c>
      <c r="G36" s="805">
        <f t="shared" si="28"/>
        <v>14510</v>
      </c>
      <c r="H36" s="807"/>
      <c r="I36" s="791">
        <f>IFERROR(__xludf.DUMMYFUNCTION("GOOGLEFINANCE(D36,""changepct"")"),0.28)</f>
        <v>0.28</v>
      </c>
      <c r="J36" s="792">
        <f>IFERROR(__xludf.DUMMYFUNCTION("googlefinance(D36,""price"")"),14.51)</f>
        <v>14.51</v>
      </c>
      <c r="K36" s="800"/>
      <c r="L36" s="819">
        <f t="shared" ref="L36:M36" si="29">V36</f>
        <v>-0.3077290076</v>
      </c>
      <c r="M36" s="805">
        <f t="shared" si="29"/>
        <v>-6450</v>
      </c>
      <c r="N36" s="802">
        <v>0.008</v>
      </c>
      <c r="O36" s="788">
        <v>44.0</v>
      </c>
      <c r="P36" s="238" t="s">
        <v>309</v>
      </c>
      <c r="Q36" s="211">
        <v>43864.0</v>
      </c>
      <c r="R36" s="212">
        <v>20.96</v>
      </c>
      <c r="S36" s="516">
        <f>IFERROR(__xludf.DUMMYFUNCTION("googlefinance(P36,""price"")"),14.51)</f>
        <v>14.51</v>
      </c>
      <c r="T36" s="213">
        <v>20960.0</v>
      </c>
      <c r="U36" s="658">
        <f t="shared" si="24"/>
        <v>14510</v>
      </c>
      <c r="V36" s="822">
        <f t="shared" si="25"/>
        <v>-0.3077290076</v>
      </c>
      <c r="W36" s="658">
        <f t="shared" si="26"/>
        <v>-6450</v>
      </c>
      <c r="X36" s="823">
        <v>0.0095</v>
      </c>
      <c r="Y36" s="257"/>
      <c r="Z36" s="239"/>
      <c r="AA36" s="257"/>
      <c r="AB36" s="258"/>
      <c r="AC36" s="658"/>
    </row>
    <row r="37">
      <c r="A37" s="811"/>
      <c r="B37" s="735" t="s">
        <v>89</v>
      </c>
      <c r="C37" s="811"/>
      <c r="D37" s="811"/>
      <c r="E37" s="811"/>
      <c r="F37" s="812">
        <f t="shared" ref="F37:G37" si="30">SUM(F29:F36)</f>
        <v>199202.5</v>
      </c>
      <c r="G37" s="812" t="str">
        <f t="shared" si="30"/>
        <v>#N/A</v>
      </c>
      <c r="H37" s="814"/>
      <c r="I37" s="811"/>
      <c r="J37" s="811"/>
      <c r="K37" s="811"/>
      <c r="L37" s="815" t="str">
        <f>M37/F37</f>
        <v>#N/A</v>
      </c>
      <c r="M37" s="821" t="str">
        <f>SUM(M29:M36)</f>
        <v>#N/A</v>
      </c>
      <c r="N37" s="811"/>
      <c r="O37" s="812">
        <f>SUM(O29:O36)</f>
        <v>2303</v>
      </c>
      <c r="P37" s="238" t="s">
        <v>89</v>
      </c>
      <c r="Q37" s="239"/>
      <c r="R37" s="239"/>
      <c r="S37" s="239"/>
      <c r="T37" s="240">
        <f t="shared" ref="T37:U37" si="31">SUM(T29:T36)</f>
        <v>168451</v>
      </c>
      <c r="U37" s="240" t="str">
        <f t="shared" si="31"/>
        <v>#N/A</v>
      </c>
      <c r="V37" s="816" t="str">
        <f>W37/T37</f>
        <v>#N/A</v>
      </c>
      <c r="W37" s="260" t="str">
        <f>SUM(W29:W36)</f>
        <v>#N/A</v>
      </c>
      <c r="X37" s="239"/>
      <c r="Y37" s="239"/>
      <c r="Z37" s="238" t="s">
        <v>89</v>
      </c>
      <c r="AA37" s="239"/>
      <c r="AB37" s="239"/>
      <c r="AC37" s="240">
        <f>SUM(AC29:AC36)</f>
        <v>30275</v>
      </c>
      <c r="AD37" s="826"/>
    </row>
    <row r="38">
      <c r="A38" s="811"/>
      <c r="B38" s="735" t="s">
        <v>955</v>
      </c>
      <c r="C38" s="510" t="s">
        <v>3</v>
      </c>
      <c r="D38" s="510" t="s">
        <v>4</v>
      </c>
      <c r="E38" s="510" t="s">
        <v>5</v>
      </c>
      <c r="F38" s="510" t="s">
        <v>944</v>
      </c>
      <c r="G38" s="505" t="s">
        <v>231</v>
      </c>
      <c r="H38" s="505" t="s">
        <v>945</v>
      </c>
      <c r="I38" s="506" t="s">
        <v>10</v>
      </c>
      <c r="J38" s="673" t="s">
        <v>11</v>
      </c>
      <c r="K38" s="508" t="s">
        <v>13</v>
      </c>
      <c r="L38" s="510" t="s">
        <v>799</v>
      </c>
      <c r="M38" s="508" t="s">
        <v>800</v>
      </c>
      <c r="N38" s="510" t="s">
        <v>16</v>
      </c>
      <c r="O38" s="510" t="s">
        <v>17</v>
      </c>
      <c r="P38" s="735" t="s">
        <v>946</v>
      </c>
      <c r="Q38" s="735" t="s">
        <v>947</v>
      </c>
      <c r="R38" s="735" t="s">
        <v>27</v>
      </c>
      <c r="S38" s="735" t="s">
        <v>11</v>
      </c>
      <c r="T38" s="735" t="s">
        <v>948</v>
      </c>
      <c r="U38" s="735" t="s">
        <v>786</v>
      </c>
      <c r="V38" s="735" t="s">
        <v>950</v>
      </c>
      <c r="W38" s="735" t="s">
        <v>951</v>
      </c>
      <c r="X38" s="238" t="s">
        <v>16</v>
      </c>
      <c r="Y38" s="238" t="s">
        <v>17</v>
      </c>
      <c r="Z38" s="238" t="s">
        <v>952</v>
      </c>
      <c r="AA38" s="238" t="s">
        <v>953</v>
      </c>
      <c r="AB38" s="238" t="s">
        <v>954</v>
      </c>
      <c r="AC38" s="238" t="s">
        <v>28</v>
      </c>
      <c r="AD38" s="786"/>
    </row>
    <row r="39">
      <c r="A39" s="502" t="s">
        <v>733</v>
      </c>
      <c r="B39" s="796">
        <f>G46/D88</f>
        <v>0.3103915452</v>
      </c>
      <c r="C39" s="797" t="s">
        <v>764</v>
      </c>
      <c r="D39" s="797" t="s">
        <v>765</v>
      </c>
      <c r="E39" s="787">
        <v>6.7</v>
      </c>
      <c r="F39" s="788">
        <v>22320.0</v>
      </c>
      <c r="G39" s="805">
        <f t="shared" ref="G39:G42" si="32">F39+M39-AC39+U39</f>
        <v>676864.4262</v>
      </c>
      <c r="H39" s="790">
        <v>11.16</v>
      </c>
      <c r="I39" s="791">
        <f>IFERROR(__xludf.DUMMYFUNCTION("GOOGLEFINANCE(D39,""changepct"")"),-1.16)</f>
        <v>-1.16</v>
      </c>
      <c r="J39" s="792">
        <f>IFERROR(__xludf.DUMMYFUNCTION("googlefinance(D39,""price"")"),168.1)</f>
        <v>168.1</v>
      </c>
      <c r="K39" s="807">
        <f t="shared" ref="K39:K43" si="33">J39-H39</f>
        <v>156.94</v>
      </c>
      <c r="L39" s="819">
        <f t="shared" ref="L39:L43" si="34">J39/H39-1</f>
        <v>14.06272401</v>
      </c>
      <c r="M39" s="805">
        <f t="shared" ref="M39:M43" si="35">F39*L39</f>
        <v>313880</v>
      </c>
      <c r="N39" s="802">
        <v>0.0034</v>
      </c>
      <c r="O39" s="788">
        <v>17.0</v>
      </c>
      <c r="P39" s="238" t="s">
        <v>765</v>
      </c>
      <c r="Q39" s="211">
        <v>43888.0</v>
      </c>
      <c r="R39" s="212">
        <v>10.37</v>
      </c>
      <c r="S39" s="516">
        <f>IFERROR(__xludf.DUMMYFUNCTION("googlefinance(P39,""price"")"),168.1)</f>
        <v>168.1</v>
      </c>
      <c r="T39" s="213">
        <v>21760.0</v>
      </c>
      <c r="U39" s="658">
        <f t="shared" ref="U39:U43" si="36">T39+W39</f>
        <v>352734.4262</v>
      </c>
      <c r="V39" s="822">
        <f t="shared" ref="V39:V43" si="37">S39/R39-1</f>
        <v>15.21022179</v>
      </c>
      <c r="W39" s="658">
        <f t="shared" ref="W39:W43" si="38">T39*V39</f>
        <v>330974.4262</v>
      </c>
      <c r="X39" s="257"/>
      <c r="Y39" s="657"/>
      <c r="Z39" s="238" t="s">
        <v>765</v>
      </c>
      <c r="AA39" s="211">
        <v>43844.0</v>
      </c>
      <c r="AB39" s="212">
        <v>12.07</v>
      </c>
      <c r="AC39" s="213">
        <v>12070.0</v>
      </c>
      <c r="AD39" s="755"/>
    </row>
    <row r="40">
      <c r="A40" s="800"/>
      <c r="B40" s="800"/>
      <c r="C40" s="797" t="s">
        <v>401</v>
      </c>
      <c r="D40" s="797" t="s">
        <v>956</v>
      </c>
      <c r="E40" s="787">
        <v>6.8</v>
      </c>
      <c r="F40" s="788">
        <v>28368.8</v>
      </c>
      <c r="G40" s="805">
        <f t="shared" si="32"/>
        <v>250568.7454</v>
      </c>
      <c r="H40" s="790">
        <v>219.74</v>
      </c>
      <c r="I40" s="791">
        <f>IFERROR(__xludf.DUMMYFUNCTION("GOOGLEFINANCE(D40,""changepct"")"),-0.34)</f>
        <v>-0.34</v>
      </c>
      <c r="J40" s="792">
        <f>IFERROR(__xludf.DUMMYFUNCTION("googlefinance(D40,""price"")"),1168.0)</f>
        <v>1168</v>
      </c>
      <c r="K40" s="807">
        <f t="shared" si="33"/>
        <v>948.26</v>
      </c>
      <c r="L40" s="819">
        <f t="shared" si="34"/>
        <v>4.315372713</v>
      </c>
      <c r="M40" s="805">
        <f t="shared" si="35"/>
        <v>122421.9454</v>
      </c>
      <c r="N40" s="802">
        <v>0.0168</v>
      </c>
      <c r="O40" s="788">
        <v>101.0</v>
      </c>
      <c r="P40" s="238" t="s">
        <v>956</v>
      </c>
      <c r="Q40" s="211">
        <v>43889.0</v>
      </c>
      <c r="R40" s="212">
        <v>183.45</v>
      </c>
      <c r="S40" s="516">
        <f>IFERROR(__xludf.DUMMYFUNCTION("googlefinance(P40,""price"")"),1168.0)</f>
        <v>1168</v>
      </c>
      <c r="T40" s="213">
        <v>18345.0</v>
      </c>
      <c r="U40" s="658">
        <f t="shared" si="36"/>
        <v>116800</v>
      </c>
      <c r="V40" s="822">
        <f t="shared" si="37"/>
        <v>5.366857454</v>
      </c>
      <c r="W40" s="658">
        <f t="shared" si="38"/>
        <v>98455</v>
      </c>
      <c r="X40" s="257"/>
      <c r="Y40" s="257"/>
      <c r="Z40" s="238" t="s">
        <v>956</v>
      </c>
      <c r="AA40" s="211">
        <v>43844.0</v>
      </c>
      <c r="AB40" s="212">
        <v>226.96</v>
      </c>
      <c r="AC40" s="213">
        <v>17022.0</v>
      </c>
      <c r="AD40" s="755"/>
    </row>
    <row r="41">
      <c r="A41" s="800"/>
      <c r="B41" s="800"/>
      <c r="C41" s="797" t="s">
        <v>117</v>
      </c>
      <c r="D41" s="797" t="s">
        <v>118</v>
      </c>
      <c r="E41" s="787">
        <v>7.2</v>
      </c>
      <c r="F41" s="788">
        <v>31376.0</v>
      </c>
      <c r="G41" s="805">
        <f t="shared" si="32"/>
        <v>60697.7343</v>
      </c>
      <c r="H41" s="790">
        <v>392.2</v>
      </c>
      <c r="I41" s="791">
        <f>IFERROR(__xludf.DUMMYFUNCTION("GOOGLEFINANCE(D41,""changepct"")"),-1.15)</f>
        <v>-1.15</v>
      </c>
      <c r="J41" s="792">
        <f>IFERROR(__xludf.DUMMYFUNCTION("googlefinance(D41,""price"")"),483.37)</f>
        <v>483.37</v>
      </c>
      <c r="K41" s="807">
        <f t="shared" si="33"/>
        <v>91.17</v>
      </c>
      <c r="L41" s="819">
        <f t="shared" si="34"/>
        <v>0.2324579296</v>
      </c>
      <c r="M41" s="805">
        <f t="shared" si="35"/>
        <v>7293.6</v>
      </c>
      <c r="N41" s="802">
        <v>0.024</v>
      </c>
      <c r="O41" s="788">
        <v>247.0</v>
      </c>
      <c r="P41" s="238" t="s">
        <v>118</v>
      </c>
      <c r="Q41" s="211">
        <v>43889.0</v>
      </c>
      <c r="R41" s="212">
        <v>361.87</v>
      </c>
      <c r="S41" s="516">
        <f>IFERROR(__xludf.DUMMYFUNCTION("googlefinance(P41,""price"")"),483.37)</f>
        <v>483.37</v>
      </c>
      <c r="T41" s="213">
        <v>28950.0</v>
      </c>
      <c r="U41" s="658">
        <f t="shared" si="36"/>
        <v>38670.1343</v>
      </c>
      <c r="V41" s="822">
        <f t="shared" si="37"/>
        <v>0.3357559345</v>
      </c>
      <c r="W41" s="658">
        <f t="shared" si="38"/>
        <v>9720.134302</v>
      </c>
      <c r="X41" s="257"/>
      <c r="Y41" s="257"/>
      <c r="Z41" s="238" t="s">
        <v>118</v>
      </c>
      <c r="AA41" s="211">
        <v>43844.0</v>
      </c>
      <c r="AB41" s="212">
        <v>416.06</v>
      </c>
      <c r="AC41" s="213">
        <v>16642.0</v>
      </c>
      <c r="AD41" s="755"/>
    </row>
    <row r="42">
      <c r="A42" s="800"/>
      <c r="B42" s="800"/>
      <c r="C42" s="797" t="s">
        <v>909</v>
      </c>
      <c r="D42" s="797" t="s">
        <v>116</v>
      </c>
      <c r="E42" s="787">
        <v>7.1</v>
      </c>
      <c r="F42" s="788">
        <v>26631.0</v>
      </c>
      <c r="G42" s="805">
        <f t="shared" si="32"/>
        <v>73338.56917</v>
      </c>
      <c r="H42" s="790">
        <v>177.54</v>
      </c>
      <c r="I42" s="791">
        <f>IFERROR(__xludf.DUMMYFUNCTION("GOOGLEFINANCE(D42,""changepct"")"),-1.04)</f>
        <v>-1.04</v>
      </c>
      <c r="J42" s="792">
        <f>IFERROR(__xludf.DUMMYFUNCTION("googlefinance(D42,""price"")"),263.38)</f>
        <v>263.38</v>
      </c>
      <c r="K42" s="807">
        <f t="shared" si="33"/>
        <v>85.84</v>
      </c>
      <c r="L42" s="819">
        <f t="shared" si="34"/>
        <v>0.4834966768</v>
      </c>
      <c r="M42" s="805">
        <f t="shared" si="35"/>
        <v>12876</v>
      </c>
      <c r="N42" s="787" t="s">
        <v>128</v>
      </c>
      <c r="O42" s="788" t="s">
        <v>128</v>
      </c>
      <c r="P42" s="238" t="s">
        <v>116</v>
      </c>
      <c r="Q42" s="211">
        <v>43889.0</v>
      </c>
      <c r="R42" s="212">
        <v>157.88</v>
      </c>
      <c r="S42" s="516">
        <f>IFERROR(__xludf.DUMMYFUNCTION("googlefinance(P42,""price"")"),263.38)</f>
        <v>263.38</v>
      </c>
      <c r="T42" s="213">
        <v>28420.0</v>
      </c>
      <c r="U42" s="658">
        <f t="shared" si="36"/>
        <v>47411.06917</v>
      </c>
      <c r="V42" s="822">
        <f t="shared" si="37"/>
        <v>0.6682290347</v>
      </c>
      <c r="W42" s="658">
        <f t="shared" si="38"/>
        <v>18991.06917</v>
      </c>
      <c r="X42" s="257"/>
      <c r="Y42" s="257"/>
      <c r="Z42" s="238" t="s">
        <v>116</v>
      </c>
      <c r="AA42" s="211">
        <v>43844.0</v>
      </c>
      <c r="AB42" s="212">
        <v>181.06</v>
      </c>
      <c r="AC42" s="213">
        <v>13579.5</v>
      </c>
      <c r="AD42" s="755"/>
    </row>
    <row r="43">
      <c r="A43" s="800"/>
      <c r="B43" s="800"/>
      <c r="C43" s="797" t="s">
        <v>910</v>
      </c>
      <c r="D43" s="797" t="s">
        <v>538</v>
      </c>
      <c r="E43" s="787">
        <v>7.7</v>
      </c>
      <c r="F43" s="788">
        <v>29244.4</v>
      </c>
      <c r="G43" s="805">
        <f>F43+M43+U43</f>
        <v>30483.18531</v>
      </c>
      <c r="H43" s="790">
        <v>73.11</v>
      </c>
      <c r="I43" s="791">
        <f>IFERROR(__xludf.DUMMYFUNCTION("GOOGLEFINANCE(D43,""changepct"")"),-0.32)</f>
        <v>-0.32</v>
      </c>
      <c r="J43" s="792">
        <f>IFERROR(__xludf.DUMMYFUNCTION("googlefinance(D43,""price"")"),33.87)</f>
        <v>33.87</v>
      </c>
      <c r="K43" s="807">
        <f t="shared" si="33"/>
        <v>-39.24</v>
      </c>
      <c r="L43" s="819">
        <f t="shared" si="34"/>
        <v>-0.5367254822</v>
      </c>
      <c r="M43" s="805">
        <f t="shared" si="35"/>
        <v>-15696.21469</v>
      </c>
      <c r="N43" s="787" t="s">
        <v>128</v>
      </c>
      <c r="O43" s="788" t="s">
        <v>128</v>
      </c>
      <c r="P43" s="238" t="s">
        <v>538</v>
      </c>
      <c r="Q43" s="211">
        <v>43889.0</v>
      </c>
      <c r="R43" s="212">
        <v>51.87</v>
      </c>
      <c r="S43" s="516">
        <f>IFERROR(__xludf.DUMMYFUNCTION("googlefinance(P43,""price"")"),33.87)</f>
        <v>33.87</v>
      </c>
      <c r="T43" s="213">
        <v>25935.0</v>
      </c>
      <c r="U43" s="658">
        <f t="shared" si="36"/>
        <v>16935</v>
      </c>
      <c r="V43" s="822">
        <f t="shared" si="37"/>
        <v>-0.3470213997</v>
      </c>
      <c r="W43" s="658">
        <f t="shared" si="38"/>
        <v>-9000</v>
      </c>
      <c r="X43" s="257"/>
      <c r="Y43" s="257"/>
      <c r="Z43" s="239"/>
      <c r="AA43" s="257"/>
      <c r="AB43" s="258"/>
      <c r="AC43" s="658"/>
      <c r="AD43" s="803"/>
    </row>
    <row r="44">
      <c r="A44" s="800"/>
      <c r="B44" s="800"/>
      <c r="C44" s="797" t="s">
        <v>818</v>
      </c>
      <c r="D44" s="797" t="s">
        <v>120</v>
      </c>
      <c r="E44" s="787">
        <v>6.8</v>
      </c>
      <c r="F44" s="805"/>
      <c r="G44" s="807"/>
      <c r="H44" s="807"/>
      <c r="I44" s="791">
        <f>IFERROR(__xludf.DUMMYFUNCTION("GOOGLEFINANCE(D44,""changepct"")"),-1.02)</f>
        <v>-1.02</v>
      </c>
      <c r="J44" s="792">
        <f>IFERROR(__xludf.DUMMYFUNCTION("googlefinance(D44,""price"")"),466.52)</f>
        <v>466.52</v>
      </c>
      <c r="K44" s="800"/>
      <c r="L44" s="819"/>
      <c r="M44" s="800"/>
      <c r="N44" s="802">
        <v>0.0148</v>
      </c>
      <c r="O44" s="805"/>
      <c r="P44" s="239"/>
      <c r="Q44" s="257"/>
      <c r="R44" s="258"/>
      <c r="S44" s="258"/>
      <c r="T44" s="658"/>
      <c r="U44" s="658"/>
      <c r="V44" s="822"/>
      <c r="W44" s="257"/>
      <c r="X44" s="257"/>
      <c r="Y44" s="257"/>
      <c r="Z44" s="239"/>
      <c r="AA44" s="257"/>
      <c r="AB44" s="258"/>
      <c r="AC44" s="658"/>
      <c r="AD44" s="803"/>
    </row>
    <row r="45">
      <c r="A45" s="800"/>
      <c r="B45" s="800"/>
      <c r="C45" s="797" t="s">
        <v>912</v>
      </c>
      <c r="D45" s="797" t="s">
        <v>913</v>
      </c>
      <c r="E45" s="787">
        <v>7.1</v>
      </c>
      <c r="F45" s="805"/>
      <c r="G45" s="807"/>
      <c r="H45" s="807"/>
      <c r="I45" s="791">
        <f>IFERROR(__xludf.DUMMYFUNCTION("GOOGLEFINANCE(D45,""changepct"")"),-0.32)</f>
        <v>-0.32</v>
      </c>
      <c r="J45" s="792">
        <f>IFERROR(__xludf.DUMMYFUNCTION("googlefinance(D45,""price"")"),112.16)</f>
        <v>112.16</v>
      </c>
      <c r="K45" s="800"/>
      <c r="L45" s="819"/>
      <c r="M45" s="800"/>
      <c r="N45" s="802">
        <v>0.0107</v>
      </c>
      <c r="O45" s="805"/>
      <c r="P45" s="239"/>
      <c r="Q45" s="257"/>
      <c r="R45" s="258"/>
      <c r="S45" s="258"/>
      <c r="T45" s="658"/>
      <c r="U45" s="658"/>
      <c r="V45" s="822"/>
      <c r="W45" s="257"/>
      <c r="X45" s="257"/>
      <c r="Y45" s="257"/>
      <c r="Z45" s="239"/>
      <c r="AA45" s="257"/>
      <c r="AB45" s="258"/>
      <c r="AC45" s="658"/>
      <c r="AD45" s="803"/>
    </row>
    <row r="46">
      <c r="A46" s="811"/>
      <c r="B46" s="735" t="s">
        <v>89</v>
      </c>
      <c r="C46" s="811"/>
      <c r="D46" s="811"/>
      <c r="E46" s="811"/>
      <c r="F46" s="812">
        <f t="shared" ref="F46:G46" si="39">SUM(F39:F45)</f>
        <v>137940.2</v>
      </c>
      <c r="G46" s="812">
        <f t="shared" si="39"/>
        <v>1091952.66</v>
      </c>
      <c r="H46" s="814"/>
      <c r="I46" s="811"/>
      <c r="J46" s="811"/>
      <c r="K46" s="811"/>
      <c r="L46" s="815">
        <f>M46/F46</f>
        <v>3.195408813</v>
      </c>
      <c r="M46" s="812">
        <f>SUM(M39:M45)</f>
        <v>440775.3307</v>
      </c>
      <c r="N46" s="811"/>
      <c r="O46" s="812">
        <f>SUM(O39:O45)</f>
        <v>365</v>
      </c>
      <c r="P46" s="238" t="s">
        <v>89</v>
      </c>
      <c r="Q46" s="239"/>
      <c r="R46" s="239"/>
      <c r="S46" s="239"/>
      <c r="T46" s="240">
        <f t="shared" ref="T46:U46" si="40">SUM(T39:T45)</f>
        <v>123410</v>
      </c>
      <c r="U46" s="240">
        <f t="shared" si="40"/>
        <v>572550.6297</v>
      </c>
      <c r="V46" s="816">
        <f>W46/T46</f>
        <v>3.63941844</v>
      </c>
      <c r="W46" s="240">
        <f>SUM(W39:W45)</f>
        <v>449140.6297</v>
      </c>
      <c r="X46" s="239"/>
      <c r="Y46" s="239"/>
      <c r="Z46" s="238" t="s">
        <v>89</v>
      </c>
      <c r="AA46" s="239"/>
      <c r="AB46" s="241"/>
      <c r="AC46" s="240">
        <f>SUM(AC38:AC45)</f>
        <v>59313.5</v>
      </c>
      <c r="AD46" s="803"/>
    </row>
    <row r="47">
      <c r="A47" s="811"/>
      <c r="B47" s="735" t="s">
        <v>821</v>
      </c>
      <c r="C47" s="510" t="s">
        <v>3</v>
      </c>
      <c r="D47" s="510" t="s">
        <v>4</v>
      </c>
      <c r="E47" s="510" t="s">
        <v>5</v>
      </c>
      <c r="F47" s="510" t="s">
        <v>944</v>
      </c>
      <c r="G47" s="505" t="s">
        <v>231</v>
      </c>
      <c r="H47" s="505" t="s">
        <v>945</v>
      </c>
      <c r="I47" s="506" t="s">
        <v>10</v>
      </c>
      <c r="J47" s="673" t="s">
        <v>11</v>
      </c>
      <c r="K47" s="508" t="s">
        <v>13</v>
      </c>
      <c r="L47" s="510" t="s">
        <v>799</v>
      </c>
      <c r="M47" s="508" t="s">
        <v>800</v>
      </c>
      <c r="N47" s="510" t="s">
        <v>16</v>
      </c>
      <c r="O47" s="510" t="s">
        <v>17</v>
      </c>
      <c r="P47" s="735" t="s">
        <v>946</v>
      </c>
      <c r="Q47" s="735" t="s">
        <v>947</v>
      </c>
      <c r="R47" s="735" t="s">
        <v>27</v>
      </c>
      <c r="S47" s="735" t="s">
        <v>11</v>
      </c>
      <c r="T47" s="735" t="s">
        <v>948</v>
      </c>
      <c r="U47" s="735" t="s">
        <v>786</v>
      </c>
      <c r="V47" s="735" t="s">
        <v>950</v>
      </c>
      <c r="W47" s="735" t="s">
        <v>951</v>
      </c>
      <c r="X47" s="238" t="s">
        <v>16</v>
      </c>
      <c r="Y47" s="238" t="s">
        <v>17</v>
      </c>
      <c r="Z47" s="238" t="s">
        <v>952</v>
      </c>
      <c r="AA47" s="238" t="s">
        <v>953</v>
      </c>
      <c r="AB47" s="238" t="s">
        <v>954</v>
      </c>
      <c r="AC47" s="238" t="s">
        <v>28</v>
      </c>
      <c r="AD47" s="817"/>
    </row>
    <row r="48">
      <c r="A48" s="502" t="s">
        <v>733</v>
      </c>
      <c r="B48" s="796" t="str">
        <f>G57/D88</f>
        <v>#N/A</v>
      </c>
      <c r="C48" s="797" t="s">
        <v>914</v>
      </c>
      <c r="D48" s="797" t="s">
        <v>686</v>
      </c>
      <c r="E48" s="787">
        <v>7.1</v>
      </c>
      <c r="F48" s="788">
        <v>27940.5</v>
      </c>
      <c r="G48" s="805">
        <f>F48+M48-AC48+U48+U54</f>
        <v>56702.33333</v>
      </c>
      <c r="H48" s="790">
        <v>79.83</v>
      </c>
      <c r="I48" s="791">
        <f>IFERROR(__xludf.DUMMYFUNCTION("GOOGLEFINANCE(D48,""changepct"")"),-0.86)</f>
        <v>-0.86</v>
      </c>
      <c r="J48" s="792">
        <f>IFERROR(__xludf.DUMMYFUNCTION("googlefinance(D48,""price"")"),70.39)</f>
        <v>70.39</v>
      </c>
      <c r="K48" s="807">
        <f t="shared" ref="K48:K51" si="41">J48-H48</f>
        <v>-9.44</v>
      </c>
      <c r="L48" s="827">
        <f t="shared" ref="L48:L51" si="42">J48/H48-1</f>
        <v>-0.118251284</v>
      </c>
      <c r="M48" s="805">
        <f t="shared" ref="M48:M51" si="43">F48*L48</f>
        <v>-3304</v>
      </c>
      <c r="N48" s="802">
        <v>0.0251</v>
      </c>
      <c r="O48" s="788">
        <v>218.0</v>
      </c>
      <c r="P48" s="238" t="s">
        <v>686</v>
      </c>
      <c r="Q48" s="211">
        <v>43885.0</v>
      </c>
      <c r="R48" s="212">
        <v>72.78</v>
      </c>
      <c r="S48" s="516">
        <f>IFERROR(__xludf.DUMMYFUNCTION("googlefinance(P48,""price"")"),70.39)</f>
        <v>70.39</v>
      </c>
      <c r="T48" s="213">
        <v>24260.0</v>
      </c>
      <c r="U48" s="658">
        <f t="shared" ref="U48:U56" si="44">T48+W48</f>
        <v>23463.33333</v>
      </c>
      <c r="V48" s="822">
        <f t="shared" ref="V48:V56" si="45">S48/R48-1</f>
        <v>-0.03283869195</v>
      </c>
      <c r="W48" s="658">
        <f t="shared" ref="W48:W56" si="46">T48*V48</f>
        <v>-796.6666667</v>
      </c>
      <c r="X48" s="823">
        <v>0.0251</v>
      </c>
      <c r="Y48" s="257"/>
      <c r="Z48" s="238" t="s">
        <v>686</v>
      </c>
      <c r="AA48" s="211">
        <v>43852.0</v>
      </c>
      <c r="AB48" s="212">
        <v>80.17</v>
      </c>
      <c r="AC48" s="213">
        <v>16034.0</v>
      </c>
    </row>
    <row r="49">
      <c r="A49" s="800"/>
      <c r="B49" s="800"/>
      <c r="C49" s="797" t="s">
        <v>539</v>
      </c>
      <c r="D49" s="797" t="s">
        <v>540</v>
      </c>
      <c r="E49" s="787">
        <v>7.8</v>
      </c>
      <c r="F49" s="788">
        <v>27591.6</v>
      </c>
      <c r="G49" s="805">
        <f>F49+M49-AC49+U49+U53</f>
        <v>175212.6</v>
      </c>
      <c r="H49" s="790">
        <v>229.93</v>
      </c>
      <c r="I49" s="791">
        <f>IFERROR(__xludf.DUMMYFUNCTION("GOOGLEFINANCE(D49,""changepct"")"),-0.46)</f>
        <v>-0.46</v>
      </c>
      <c r="J49" s="792">
        <f>IFERROR(__xludf.DUMMYFUNCTION("googlefinance(D49,""price"")"),573.55)</f>
        <v>573.55</v>
      </c>
      <c r="K49" s="807">
        <f t="shared" si="41"/>
        <v>343.62</v>
      </c>
      <c r="L49" s="827">
        <f t="shared" si="42"/>
        <v>1.494454834</v>
      </c>
      <c r="M49" s="805">
        <f t="shared" si="43"/>
        <v>41234.4</v>
      </c>
      <c r="N49" s="802">
        <v>0.0213</v>
      </c>
      <c r="O49" s="788">
        <v>244.0</v>
      </c>
      <c r="P49" s="238" t="s">
        <v>540</v>
      </c>
      <c r="Q49" s="211">
        <v>43885.0</v>
      </c>
      <c r="R49" s="212">
        <v>224.21</v>
      </c>
      <c r="S49" s="828">
        <f>IFERROR(__xludf.DUMMYFUNCTION("googlefinance(P49,""price"")"),573.55)</f>
        <v>573.55</v>
      </c>
      <c r="T49" s="213">
        <v>22421.0</v>
      </c>
      <c r="U49" s="658">
        <f t="shared" si="44"/>
        <v>57355</v>
      </c>
      <c r="V49" s="822">
        <f t="shared" si="45"/>
        <v>1.558092859</v>
      </c>
      <c r="W49" s="658">
        <f t="shared" si="46"/>
        <v>34934</v>
      </c>
      <c r="X49" s="823">
        <v>0.0213</v>
      </c>
      <c r="Y49" s="257"/>
      <c r="Z49" s="238" t="s">
        <v>540</v>
      </c>
      <c r="AA49" s="211">
        <v>43852.0</v>
      </c>
      <c r="AB49" s="212">
        <v>247.43</v>
      </c>
      <c r="AC49" s="213">
        <v>19794.4</v>
      </c>
    </row>
    <row r="50">
      <c r="A50" s="800"/>
      <c r="B50" s="800"/>
      <c r="C50" s="797" t="s">
        <v>768</v>
      </c>
      <c r="D50" s="797" t="s">
        <v>769</v>
      </c>
      <c r="E50" s="787">
        <v>7.1</v>
      </c>
      <c r="F50" s="788">
        <v>24086.4</v>
      </c>
      <c r="G50" s="805">
        <f>F50+M50</f>
        <v>27783.6</v>
      </c>
      <c r="H50" s="790">
        <v>200.72</v>
      </c>
      <c r="I50" s="791">
        <f>IFERROR(__xludf.DUMMYFUNCTION("GOOGLEFINANCE(D50,""changepct"")"),-0.84)</f>
        <v>-0.84</v>
      </c>
      <c r="J50" s="792">
        <f>IFERROR(__xludf.DUMMYFUNCTION("googlefinance(D50,""price"")"),231.53)</f>
        <v>231.53</v>
      </c>
      <c r="K50" s="807">
        <f t="shared" si="41"/>
        <v>30.81</v>
      </c>
      <c r="L50" s="827">
        <f t="shared" si="42"/>
        <v>0.1534974093</v>
      </c>
      <c r="M50" s="805">
        <f t="shared" si="43"/>
        <v>3697.2</v>
      </c>
      <c r="N50" s="802">
        <v>0.0149</v>
      </c>
      <c r="O50" s="788">
        <v>75.0</v>
      </c>
      <c r="P50" s="238" t="s">
        <v>616</v>
      </c>
      <c r="Q50" s="211">
        <v>43885.0</v>
      </c>
      <c r="R50" s="212">
        <v>131.88</v>
      </c>
      <c r="S50" s="516">
        <f>IFERROR(__xludf.DUMMYFUNCTION("googlefinance(P50,""price"")"),239.32)</f>
        <v>239.32</v>
      </c>
      <c r="T50" s="213">
        <v>26376.0</v>
      </c>
      <c r="U50" s="658">
        <f t="shared" si="44"/>
        <v>47864</v>
      </c>
      <c r="V50" s="822">
        <f t="shared" si="45"/>
        <v>0.8146800121</v>
      </c>
      <c r="W50" s="658">
        <f t="shared" si="46"/>
        <v>21488</v>
      </c>
      <c r="X50" s="823">
        <v>0.0255</v>
      </c>
      <c r="Y50" s="257"/>
      <c r="Z50" s="239"/>
      <c r="AA50" s="257"/>
      <c r="AB50" s="258"/>
      <c r="AC50" s="658"/>
    </row>
    <row r="51">
      <c r="A51" s="800"/>
      <c r="B51" s="800"/>
      <c r="C51" s="797" t="s">
        <v>541</v>
      </c>
      <c r="D51" s="797" t="s">
        <v>382</v>
      </c>
      <c r="E51" s="787">
        <v>7.4</v>
      </c>
      <c r="F51" s="788">
        <v>30727.2</v>
      </c>
      <c r="G51" s="805">
        <f>F51+M51-AC51</f>
        <v>6569.9</v>
      </c>
      <c r="H51" s="790">
        <v>109.74</v>
      </c>
      <c r="I51" s="791">
        <f>IFERROR(__xludf.DUMMYFUNCTION("GOOGLEFINANCE(D51,""changepct"")"),-1.65)</f>
        <v>-1.65</v>
      </c>
      <c r="J51" s="792">
        <f>IFERROR(__xludf.DUMMYFUNCTION("googlefinance(D51,""price"")"),85.43)</f>
        <v>85.43</v>
      </c>
      <c r="K51" s="807">
        <f t="shared" si="41"/>
        <v>-24.31</v>
      </c>
      <c r="L51" s="827">
        <f t="shared" si="42"/>
        <v>-0.2215236012</v>
      </c>
      <c r="M51" s="805">
        <f t="shared" si="43"/>
        <v>-6806.8</v>
      </c>
      <c r="N51" s="787" t="s">
        <v>128</v>
      </c>
      <c r="O51" s="788" t="s">
        <v>128</v>
      </c>
      <c r="P51" s="238" t="s">
        <v>665</v>
      </c>
      <c r="Q51" s="211">
        <v>43885.0</v>
      </c>
      <c r="R51" s="212">
        <v>197.22</v>
      </c>
      <c r="S51" s="516">
        <f>IFERROR(__xludf.DUMMYFUNCTION("googlefinance(P51,""price"")"),315.31)</f>
        <v>315.31</v>
      </c>
      <c r="T51" s="213">
        <v>23666.4</v>
      </c>
      <c r="U51" s="658">
        <f t="shared" si="44"/>
        <v>37837.2</v>
      </c>
      <c r="V51" s="822">
        <f t="shared" si="45"/>
        <v>0.5987729439</v>
      </c>
      <c r="W51" s="658">
        <f t="shared" si="46"/>
        <v>14170.8</v>
      </c>
      <c r="X51" s="823">
        <v>0.0063</v>
      </c>
      <c r="Y51" s="257"/>
      <c r="Z51" s="238" t="s">
        <v>382</v>
      </c>
      <c r="AA51" s="211">
        <v>43852.0</v>
      </c>
      <c r="AB51" s="212">
        <v>115.67</v>
      </c>
      <c r="AC51" s="213">
        <v>17350.5</v>
      </c>
    </row>
    <row r="52">
      <c r="A52" s="800"/>
      <c r="B52" s="800"/>
      <c r="C52" s="797" t="s">
        <v>615</v>
      </c>
      <c r="D52" s="797" t="s">
        <v>616</v>
      </c>
      <c r="E52" s="787">
        <v>6.8</v>
      </c>
      <c r="F52" s="788">
        <f t="shared" ref="F52:G52" si="47">T50+T55</f>
        <v>49116</v>
      </c>
      <c r="G52" s="805">
        <f t="shared" si="47"/>
        <v>95728</v>
      </c>
      <c r="H52" s="807"/>
      <c r="I52" s="791">
        <f>IFERROR(__xludf.DUMMYFUNCTION("GOOGLEFINANCE(D52,""changepct"")"),-0.77)</f>
        <v>-0.77</v>
      </c>
      <c r="J52" s="792">
        <f>IFERROR(__xludf.DUMMYFUNCTION("googlefinance(D52,""price"")"),239.32)</f>
        <v>239.32</v>
      </c>
      <c r="K52" s="800"/>
      <c r="L52" s="827">
        <f>V50</f>
        <v>0.8146800121</v>
      </c>
      <c r="M52" s="805">
        <f>W50+W55</f>
        <v>46612</v>
      </c>
      <c r="N52" s="802">
        <v>0.0255</v>
      </c>
      <c r="O52" s="788">
        <v>264.0</v>
      </c>
      <c r="P52" s="238" t="s">
        <v>823</v>
      </c>
      <c r="Q52" s="211">
        <v>43885.0</v>
      </c>
      <c r="R52" s="212">
        <v>15.08</v>
      </c>
      <c r="S52" s="516" t="str">
        <f>IFERROR(__xludf.DUMMYFUNCTION("googlefinance(P52,""price"")"),"#N/A")</f>
        <v>#N/A</v>
      </c>
      <c r="T52" s="213">
        <v>30160.0</v>
      </c>
      <c r="U52" s="658" t="str">
        <f t="shared" si="44"/>
        <v>#N/A</v>
      </c>
      <c r="V52" s="822" t="str">
        <f t="shared" si="45"/>
        <v>#N/A</v>
      </c>
      <c r="W52" s="257" t="str">
        <f t="shared" si="46"/>
        <v>#N/A</v>
      </c>
      <c r="X52" s="823">
        <v>0.0638</v>
      </c>
      <c r="Y52" s="257"/>
      <c r="Z52" s="239"/>
      <c r="AA52" s="257"/>
      <c r="AB52" s="258"/>
      <c r="AC52" s="658"/>
    </row>
    <row r="53">
      <c r="A53" s="800"/>
      <c r="B53" s="800"/>
      <c r="C53" s="797" t="s">
        <v>917</v>
      </c>
      <c r="D53" s="797" t="s">
        <v>771</v>
      </c>
      <c r="E53" s="787">
        <v>7.2</v>
      </c>
      <c r="F53" s="805"/>
      <c r="G53" s="800"/>
      <c r="H53" s="807"/>
      <c r="I53" s="791">
        <f>IFERROR(__xludf.DUMMYFUNCTION("GOOGLEFINANCE(D53,""changepct"")"),-1.25)</f>
        <v>-1.25</v>
      </c>
      <c r="J53" s="792">
        <f>IFERROR(__xludf.DUMMYFUNCTION("googlefinance(D53,""price"")"),525.55)</f>
        <v>525.55</v>
      </c>
      <c r="K53" s="800"/>
      <c r="L53" s="827"/>
      <c r="M53" s="800"/>
      <c r="N53" s="802">
        <v>0.0053</v>
      </c>
      <c r="O53" s="805"/>
      <c r="P53" s="238" t="s">
        <v>540</v>
      </c>
      <c r="Q53" s="211">
        <v>43889.0</v>
      </c>
      <c r="R53" s="212">
        <v>197.88</v>
      </c>
      <c r="S53" s="516">
        <f>IFERROR(__xludf.DUMMYFUNCTION("googlefinance(P53,""price"")"),573.55)</f>
        <v>573.55</v>
      </c>
      <c r="T53" s="213">
        <v>23745.6</v>
      </c>
      <c r="U53" s="658">
        <f t="shared" si="44"/>
        <v>68826</v>
      </c>
      <c r="V53" s="822">
        <f t="shared" si="45"/>
        <v>1.898473823</v>
      </c>
      <c r="W53" s="658">
        <f t="shared" si="46"/>
        <v>45080.4</v>
      </c>
      <c r="X53" s="823">
        <v>0.0243</v>
      </c>
      <c r="Y53" s="257"/>
      <c r="Z53" s="239"/>
      <c r="AA53" s="257"/>
      <c r="AB53" s="258"/>
      <c r="AC53" s="658"/>
    </row>
    <row r="54">
      <c r="A54" s="800"/>
      <c r="B54" s="800"/>
      <c r="C54" s="797" t="s">
        <v>664</v>
      </c>
      <c r="D54" s="797" t="s">
        <v>665</v>
      </c>
      <c r="E54" s="787">
        <v>7.1</v>
      </c>
      <c r="F54" s="788">
        <f t="shared" ref="F54:G54" si="48">T51+T56</f>
        <v>41671.4</v>
      </c>
      <c r="G54" s="805">
        <f t="shared" si="48"/>
        <v>69368.2</v>
      </c>
      <c r="H54" s="807"/>
      <c r="I54" s="791">
        <f>IFERROR(__xludf.DUMMYFUNCTION("GOOGLEFINANCE(D54,""changepct"")"),-1.05)</f>
        <v>-1.05</v>
      </c>
      <c r="J54" s="792">
        <f>IFERROR(__xludf.DUMMYFUNCTION("googlefinance(D54,""price"")"),315.31)</f>
        <v>315.31</v>
      </c>
      <c r="K54" s="800"/>
      <c r="L54" s="827">
        <f>V51</f>
        <v>0.5987729439</v>
      </c>
      <c r="M54" s="805">
        <f>W51+W56</f>
        <v>27696.8</v>
      </c>
      <c r="N54" s="802">
        <v>0.0063</v>
      </c>
      <c r="O54" s="788">
        <v>72.0</v>
      </c>
      <c r="P54" s="238" t="s">
        <v>686</v>
      </c>
      <c r="Q54" s="211">
        <v>43889.0</v>
      </c>
      <c r="R54" s="212">
        <v>62.45</v>
      </c>
      <c r="S54" s="516">
        <f>IFERROR(__xludf.DUMMYFUNCTION("googlefinance(P54,""price"")"),70.39)</f>
        <v>70.39</v>
      </c>
      <c r="T54" s="213">
        <v>21857.5</v>
      </c>
      <c r="U54" s="658">
        <f t="shared" si="44"/>
        <v>24636.5</v>
      </c>
      <c r="V54" s="822">
        <f t="shared" si="45"/>
        <v>0.1271417134</v>
      </c>
      <c r="W54" s="658">
        <f t="shared" si="46"/>
        <v>2779</v>
      </c>
      <c r="X54" s="823">
        <v>0.0317</v>
      </c>
      <c r="Y54" s="257"/>
      <c r="Z54" s="239"/>
      <c r="AA54" s="257"/>
      <c r="AB54" s="258"/>
      <c r="AC54" s="658"/>
    </row>
    <row r="55">
      <c r="A55" s="800"/>
      <c r="B55" s="800"/>
      <c r="C55" s="797" t="s">
        <v>871</v>
      </c>
      <c r="D55" s="797" t="s">
        <v>872</v>
      </c>
      <c r="E55" s="787">
        <v>6.4</v>
      </c>
      <c r="F55" s="805"/>
      <c r="G55" s="800"/>
      <c r="H55" s="807"/>
      <c r="I55" s="791">
        <f>IFERROR(__xludf.DUMMYFUNCTION("GOOGLEFINANCE(D55,""changepct"")"),-0.97)</f>
        <v>-0.97</v>
      </c>
      <c r="J55" s="792">
        <f>IFERROR(__xludf.DUMMYFUNCTION("googlefinance(D55,""price"")"),43.91)</f>
        <v>43.91</v>
      </c>
      <c r="K55" s="800"/>
      <c r="L55" s="827"/>
      <c r="M55" s="800"/>
      <c r="N55" s="802">
        <v>0.0202</v>
      </c>
      <c r="O55" s="805"/>
      <c r="P55" s="238" t="s">
        <v>616</v>
      </c>
      <c r="Q55" s="211">
        <v>43889.0</v>
      </c>
      <c r="R55" s="212">
        <v>113.7</v>
      </c>
      <c r="S55" s="516">
        <f>IFERROR(__xludf.DUMMYFUNCTION("googlefinance(P55,""price"")"),239.32)</f>
        <v>239.32</v>
      </c>
      <c r="T55" s="213">
        <v>22740.0</v>
      </c>
      <c r="U55" s="658">
        <f t="shared" si="44"/>
        <v>47864</v>
      </c>
      <c r="V55" s="822">
        <f t="shared" si="45"/>
        <v>1.104837291</v>
      </c>
      <c r="W55" s="658">
        <f t="shared" si="46"/>
        <v>25124</v>
      </c>
      <c r="X55" s="257"/>
      <c r="Y55" s="257"/>
      <c r="Z55" s="239"/>
      <c r="AA55" s="257"/>
      <c r="AB55" s="258"/>
      <c r="AC55" s="658"/>
    </row>
    <row r="56">
      <c r="A56" s="800"/>
      <c r="B56" s="800"/>
      <c r="C56" s="797" t="s">
        <v>822</v>
      </c>
      <c r="D56" s="797" t="s">
        <v>823</v>
      </c>
      <c r="E56" s="787">
        <v>7.1</v>
      </c>
      <c r="F56" s="788">
        <f t="shared" ref="F56:G56" si="49">T52</f>
        <v>30160</v>
      </c>
      <c r="G56" s="805" t="str">
        <f t="shared" si="49"/>
        <v>#N/A</v>
      </c>
      <c r="H56" s="807"/>
      <c r="I56" s="791" t="str">
        <f>IFERROR(__xludf.DUMMYFUNCTION("GOOGLEFINANCE(D56,""changepct"")"),"#N/A")</f>
        <v>#N/A</v>
      </c>
      <c r="J56" s="792" t="str">
        <f>IFERROR(__xludf.DUMMYFUNCTION("googlefinance(D56,""price"")"),"#N/A")</f>
        <v>#N/A</v>
      </c>
      <c r="K56" s="800"/>
      <c r="L56" s="827" t="str">
        <f t="shared" ref="L56:M56" si="50">V52</f>
        <v>#N/A</v>
      </c>
      <c r="M56" s="800" t="str">
        <f t="shared" si="50"/>
        <v>#N/A</v>
      </c>
      <c r="N56" s="802">
        <v>0.0597</v>
      </c>
      <c r="O56" s="788">
        <v>495.0</v>
      </c>
      <c r="P56" s="238" t="s">
        <v>665</v>
      </c>
      <c r="Q56" s="211">
        <v>43888.0</v>
      </c>
      <c r="R56" s="212">
        <v>180.05</v>
      </c>
      <c r="S56" s="516">
        <f>IFERROR(__xludf.DUMMYFUNCTION("googlefinance(P56,""price"")"),315.31)</f>
        <v>315.31</v>
      </c>
      <c r="T56" s="213">
        <v>18005.0</v>
      </c>
      <c r="U56" s="658">
        <f t="shared" si="44"/>
        <v>31531</v>
      </c>
      <c r="V56" s="822">
        <f t="shared" si="45"/>
        <v>0.7512357678</v>
      </c>
      <c r="W56" s="658">
        <f t="shared" si="46"/>
        <v>13526</v>
      </c>
      <c r="X56" s="257"/>
      <c r="Y56" s="257"/>
      <c r="Z56" s="239"/>
      <c r="AA56" s="257"/>
      <c r="AB56" s="258"/>
      <c r="AC56" s="658"/>
    </row>
    <row r="57">
      <c r="A57" s="811"/>
      <c r="B57" s="735" t="s">
        <v>89</v>
      </c>
      <c r="C57" s="811"/>
      <c r="D57" s="811"/>
      <c r="E57" s="811"/>
      <c r="F57" s="812">
        <f t="shared" ref="F57:G57" si="51">SUM(F48:F56)</f>
        <v>231293.1</v>
      </c>
      <c r="G57" s="821" t="str">
        <f t="shared" si="51"/>
        <v>#N/A</v>
      </c>
      <c r="H57" s="814"/>
      <c r="I57" s="811"/>
      <c r="J57" s="811"/>
      <c r="K57" s="811"/>
      <c r="L57" s="815" t="str">
        <f>M57/F57</f>
        <v>#N/A</v>
      </c>
      <c r="M57" s="821" t="str">
        <f>SUM(M48:M56)</f>
        <v>#N/A</v>
      </c>
      <c r="N57" s="811"/>
      <c r="O57" s="812">
        <f>SUM(O48:O56)</f>
        <v>1368</v>
      </c>
      <c r="P57" s="238" t="s">
        <v>89</v>
      </c>
      <c r="Q57" s="239"/>
      <c r="R57" s="239"/>
      <c r="S57" s="239"/>
      <c r="T57" s="240">
        <f t="shared" ref="T57:U57" si="52">SUM(T48:T56)</f>
        <v>213231.5</v>
      </c>
      <c r="U57" s="240" t="str">
        <f t="shared" si="52"/>
        <v>#N/A</v>
      </c>
      <c r="V57" s="816" t="str">
        <f>W57/T57</f>
        <v>#N/A</v>
      </c>
      <c r="W57" s="260" t="str">
        <f>SUM(W48:W56)</f>
        <v>#N/A</v>
      </c>
      <c r="X57" s="239"/>
      <c r="Y57" s="239"/>
      <c r="Z57" s="238" t="s">
        <v>89</v>
      </c>
      <c r="AA57" s="239"/>
      <c r="AB57" s="241"/>
      <c r="AC57" s="240">
        <f>SUM(AC48:AC56)</f>
        <v>53178.9</v>
      </c>
    </row>
    <row r="58">
      <c r="A58" s="735" t="s">
        <v>772</v>
      </c>
      <c r="B58" s="829" t="s">
        <v>825</v>
      </c>
      <c r="C58" s="510" t="s">
        <v>150</v>
      </c>
      <c r="D58" s="510" t="s">
        <v>4</v>
      </c>
      <c r="E58" s="510" t="s">
        <v>5</v>
      </c>
      <c r="F58" s="510" t="s">
        <v>944</v>
      </c>
      <c r="G58" s="505" t="s">
        <v>957</v>
      </c>
      <c r="H58" s="505" t="s">
        <v>945</v>
      </c>
      <c r="I58" s="506" t="s">
        <v>10</v>
      </c>
      <c r="J58" s="673" t="s">
        <v>11</v>
      </c>
      <c r="K58" s="508" t="s">
        <v>13</v>
      </c>
      <c r="L58" s="510" t="s">
        <v>799</v>
      </c>
      <c r="M58" s="508" t="s">
        <v>800</v>
      </c>
      <c r="N58" s="510" t="s">
        <v>16</v>
      </c>
      <c r="O58" s="510" t="s">
        <v>17</v>
      </c>
      <c r="P58" s="735" t="s">
        <v>946</v>
      </c>
      <c r="Q58" s="735" t="s">
        <v>947</v>
      </c>
      <c r="R58" s="735" t="s">
        <v>27</v>
      </c>
      <c r="S58" s="830" t="s">
        <v>11</v>
      </c>
      <c r="T58" s="735" t="s">
        <v>948</v>
      </c>
      <c r="U58" s="735" t="s">
        <v>786</v>
      </c>
      <c r="V58" s="735" t="s">
        <v>950</v>
      </c>
      <c r="W58" s="735" t="s">
        <v>951</v>
      </c>
      <c r="X58" s="238" t="s">
        <v>16</v>
      </c>
      <c r="Y58" s="238" t="s">
        <v>17</v>
      </c>
      <c r="Z58" s="238" t="s">
        <v>952</v>
      </c>
      <c r="AA58" s="238" t="s">
        <v>953</v>
      </c>
      <c r="AB58" s="238" t="s">
        <v>954</v>
      </c>
      <c r="AC58" s="238" t="s">
        <v>28</v>
      </c>
    </row>
    <row r="59">
      <c r="A59" s="502" t="s">
        <v>733</v>
      </c>
      <c r="B59" s="796" t="str">
        <f>G69/D88</f>
        <v>#N/A</v>
      </c>
      <c r="C59" s="797" t="s">
        <v>151</v>
      </c>
      <c r="D59" s="797" t="s">
        <v>152</v>
      </c>
      <c r="E59" s="787">
        <v>9.2</v>
      </c>
      <c r="F59" s="788">
        <v>151900.0</v>
      </c>
      <c r="G59" s="800" t="str">
        <f t="shared" ref="G59:G60" si="53">F59+M59</f>
        <v>#N/A</v>
      </c>
      <c r="H59" s="790">
        <v>1519.0</v>
      </c>
      <c r="I59" s="831"/>
      <c r="J59" s="792" t="str">
        <f>IFERROR(__xludf.DUMMYFUNCTION("Index(ImportHTML(""https://www.apmex.com/spotprices/gold-price"",""table"",8),2,2)
"),"#N/A")</f>
        <v>#N/A</v>
      </c>
      <c r="K59" s="800" t="str">
        <f t="shared" ref="K59:K68" si="54">J59-H59</f>
        <v>#N/A</v>
      </c>
      <c r="L59" s="819" t="str">
        <f t="shared" ref="L59:L68" si="55">J59/H59-1</f>
        <v>#N/A</v>
      </c>
      <c r="M59" s="800" t="str">
        <f t="shared" ref="M59:M68" si="56">F59*L59</f>
        <v>#N/A</v>
      </c>
      <c r="N59" s="787" t="s">
        <v>128</v>
      </c>
      <c r="O59" s="788" t="s">
        <v>128</v>
      </c>
      <c r="P59" s="238" t="s">
        <v>548</v>
      </c>
      <c r="Q59" s="211">
        <v>43851.0</v>
      </c>
      <c r="R59" s="212">
        <v>5.75</v>
      </c>
      <c r="S59" s="832">
        <f>IFERROR(__xludf.DUMMYFUNCTION("googlefinance(P59,""price"")"),18.07)</f>
        <v>18.07</v>
      </c>
      <c r="T59" s="213">
        <v>29050.0</v>
      </c>
      <c r="U59" s="658">
        <f t="shared" ref="U59:U68" si="57">T59+W59</f>
        <v>91292.78261</v>
      </c>
      <c r="V59" s="822">
        <f t="shared" ref="V59:V68" si="58">S59/R59-1</f>
        <v>2.142608696</v>
      </c>
      <c r="W59" s="658">
        <f t="shared" ref="W59:W68" si="59">T59*V59</f>
        <v>62242.78261</v>
      </c>
      <c r="X59" s="236" t="s">
        <v>128</v>
      </c>
      <c r="Y59" s="236" t="s">
        <v>128</v>
      </c>
      <c r="Z59" s="239"/>
      <c r="AA59" s="257"/>
      <c r="AB59" s="257"/>
      <c r="AC59" s="257"/>
    </row>
    <row r="60">
      <c r="A60" s="797" t="s">
        <v>153</v>
      </c>
      <c r="B60" s="833" t="str">
        <f>G59+G60</f>
        <v>#N/A</v>
      </c>
      <c r="C60" s="797" t="s">
        <v>154</v>
      </c>
      <c r="D60" s="797" t="s">
        <v>155</v>
      </c>
      <c r="E60" s="787">
        <v>9.4</v>
      </c>
      <c r="F60" s="788">
        <v>89600.0</v>
      </c>
      <c r="G60" s="800" t="str">
        <f t="shared" si="53"/>
        <v>#N/A</v>
      </c>
      <c r="H60" s="790">
        <v>17.92</v>
      </c>
      <c r="I60" s="831"/>
      <c r="J60" s="834" t="str">
        <f>IFERROR(__xludf.DUMMYFUNCTION("Index(ImportHTML(""https://www.apmex.com/spotprices/silver-price"",""table"",8),2,2)"),"#N/A")</f>
        <v>#N/A</v>
      </c>
      <c r="K60" s="800" t="str">
        <f t="shared" si="54"/>
        <v>#N/A</v>
      </c>
      <c r="L60" s="819" t="str">
        <f t="shared" si="55"/>
        <v>#N/A</v>
      </c>
      <c r="M60" s="800" t="str">
        <f t="shared" si="56"/>
        <v>#N/A</v>
      </c>
      <c r="N60" s="787" t="s">
        <v>128</v>
      </c>
      <c r="O60" s="788" t="s">
        <v>128</v>
      </c>
      <c r="P60" s="238" t="s">
        <v>161</v>
      </c>
      <c r="Q60" s="211">
        <v>43889.0</v>
      </c>
      <c r="R60" s="212">
        <v>35.77</v>
      </c>
      <c r="S60" s="792">
        <f>IFERROR(__xludf.DUMMYFUNCTION("googlefinance(P60,""price"")"),42.32)</f>
        <v>42.32</v>
      </c>
      <c r="T60" s="213">
        <v>35770.0</v>
      </c>
      <c r="U60" s="658">
        <f t="shared" si="57"/>
        <v>42320</v>
      </c>
      <c r="V60" s="822">
        <f t="shared" si="58"/>
        <v>0.1831143416</v>
      </c>
      <c r="W60" s="658">
        <f t="shared" si="59"/>
        <v>6550</v>
      </c>
      <c r="X60" s="257"/>
      <c r="Y60" s="257"/>
      <c r="Z60" s="239"/>
      <c r="AA60" s="257"/>
      <c r="AB60" s="257"/>
      <c r="AC60" s="257"/>
    </row>
    <row r="61">
      <c r="A61" s="797" t="s">
        <v>928</v>
      </c>
      <c r="B61" s="835" t="str">
        <f>B60/D88</f>
        <v>#N/A</v>
      </c>
      <c r="C61" s="797" t="s">
        <v>773</v>
      </c>
      <c r="D61" s="797" t="s">
        <v>774</v>
      </c>
      <c r="E61" s="787">
        <v>9.1</v>
      </c>
      <c r="F61" s="788">
        <v>83400.0</v>
      </c>
      <c r="G61" s="805">
        <f>F61+M61+U68</f>
        <v>185010</v>
      </c>
      <c r="H61" s="790">
        <v>16.68</v>
      </c>
      <c r="I61" s="791">
        <f>IFERROR(__xludf.DUMMYFUNCTION("GOOGLEFINANCE(D61,""changepct"")"),-1.23)</f>
        <v>-1.23</v>
      </c>
      <c r="J61" s="792">
        <f>IFERROR(__xludf.DUMMYFUNCTION("googlefinance(D61,""price"")"),26.43)</f>
        <v>26.43</v>
      </c>
      <c r="K61" s="807">
        <f t="shared" si="54"/>
        <v>9.75</v>
      </c>
      <c r="L61" s="819">
        <f t="shared" si="55"/>
        <v>0.5845323741</v>
      </c>
      <c r="M61" s="805">
        <f t="shared" si="56"/>
        <v>48750</v>
      </c>
      <c r="N61" s="787" t="s">
        <v>128</v>
      </c>
      <c r="O61" s="788" t="s">
        <v>128</v>
      </c>
      <c r="P61" s="238" t="s">
        <v>710</v>
      </c>
      <c r="Q61" s="211">
        <v>43866.0</v>
      </c>
      <c r="R61" s="212">
        <v>37.45</v>
      </c>
      <c r="S61" s="792" t="str">
        <f>IFERROR(__xludf.DUMMYFUNCTION("googlefinance(P61,""price"")"),"#N/A")</f>
        <v>#N/A</v>
      </c>
      <c r="T61" s="213">
        <v>29976.0</v>
      </c>
      <c r="U61" s="658" t="str">
        <f t="shared" si="57"/>
        <v>#N/A</v>
      </c>
      <c r="V61" s="822" t="str">
        <f t="shared" si="58"/>
        <v>#N/A</v>
      </c>
      <c r="W61" s="658" t="str">
        <f t="shared" si="59"/>
        <v>#N/A</v>
      </c>
      <c r="X61" s="823">
        <v>0.0058</v>
      </c>
      <c r="Y61" s="257"/>
      <c r="Z61" s="239"/>
      <c r="AA61" s="257"/>
      <c r="AB61" s="257"/>
      <c r="AC61" s="257"/>
    </row>
    <row r="62">
      <c r="A62" s="797" t="s">
        <v>159</v>
      </c>
      <c r="B62" s="833" t="str">
        <f>G61+G62+G63+G64+G65+G66+G67+G68</f>
        <v>#N/A</v>
      </c>
      <c r="C62" s="797" t="s">
        <v>570</v>
      </c>
      <c r="D62" s="797" t="s">
        <v>158</v>
      </c>
      <c r="E62" s="787">
        <v>8.9</v>
      </c>
      <c r="F62" s="788">
        <v>87840.0</v>
      </c>
      <c r="G62" s="805">
        <f>F62+M62+U62+U65</f>
        <v>168860.8585</v>
      </c>
      <c r="H62" s="790">
        <v>29.28</v>
      </c>
      <c r="I62" s="791">
        <f>IFERROR(__xludf.DUMMYFUNCTION("GOOGLEFINANCE(D62,""changepct"")"),-1.43)</f>
        <v>-1.43</v>
      </c>
      <c r="J62" s="792">
        <f>IFERROR(__xludf.DUMMYFUNCTION("googlefinance(D62,""price"")"),33.77)</f>
        <v>33.77</v>
      </c>
      <c r="K62" s="807">
        <f t="shared" si="54"/>
        <v>4.49</v>
      </c>
      <c r="L62" s="819">
        <f t="shared" si="55"/>
        <v>0.1533469945</v>
      </c>
      <c r="M62" s="805">
        <f t="shared" si="56"/>
        <v>13470</v>
      </c>
      <c r="N62" s="802">
        <v>0.0037</v>
      </c>
      <c r="O62" s="788">
        <v>117.0</v>
      </c>
      <c r="P62" s="238" t="s">
        <v>158</v>
      </c>
      <c r="Q62" s="211">
        <v>43843.0</v>
      </c>
      <c r="R62" s="212">
        <v>27.99</v>
      </c>
      <c r="S62" s="792">
        <f>IFERROR(__xludf.DUMMYFUNCTION("googlefinance(P62,""price"")"),33.77)</f>
        <v>33.77</v>
      </c>
      <c r="T62" s="213">
        <v>27999.0</v>
      </c>
      <c r="U62" s="658">
        <f t="shared" si="57"/>
        <v>33780.85852</v>
      </c>
      <c r="V62" s="822">
        <f t="shared" si="58"/>
        <v>0.2065023223</v>
      </c>
      <c r="W62" s="658">
        <f t="shared" si="59"/>
        <v>5781.858521</v>
      </c>
      <c r="X62" s="802">
        <v>0.0037</v>
      </c>
      <c r="Y62" s="257"/>
      <c r="Z62" s="239"/>
      <c r="AA62" s="257"/>
      <c r="AB62" s="257"/>
      <c r="AC62" s="257"/>
    </row>
    <row r="63">
      <c r="A63" s="797" t="s">
        <v>929</v>
      </c>
      <c r="B63" s="835" t="str">
        <f>B62/D88</f>
        <v>#N/A</v>
      </c>
      <c r="C63" s="797" t="s">
        <v>160</v>
      </c>
      <c r="D63" s="797" t="s">
        <v>161</v>
      </c>
      <c r="E63" s="787">
        <v>8.7</v>
      </c>
      <c r="F63" s="788">
        <v>84520.0</v>
      </c>
      <c r="G63" s="805">
        <f>F63+M63+U63+T60</f>
        <v>141584.2937</v>
      </c>
      <c r="H63" s="790">
        <v>42.26</v>
      </c>
      <c r="I63" s="791">
        <f>IFERROR(__xludf.DUMMYFUNCTION("GOOGLEFINANCE(D63,""changepct"")"),-1.7)</f>
        <v>-1.7</v>
      </c>
      <c r="J63" s="792">
        <f>IFERROR(__xludf.DUMMYFUNCTION("googlefinance(D63,""price"")"),42.32)</f>
        <v>42.32</v>
      </c>
      <c r="K63" s="807">
        <f t="shared" si="54"/>
        <v>0.06</v>
      </c>
      <c r="L63" s="819">
        <f t="shared" si="55"/>
        <v>0.0014197823</v>
      </c>
      <c r="M63" s="805">
        <f t="shared" si="56"/>
        <v>120</v>
      </c>
      <c r="N63" s="802">
        <v>0.0035</v>
      </c>
      <c r="O63" s="788">
        <v>94.0</v>
      </c>
      <c r="P63" s="238" t="s">
        <v>161</v>
      </c>
      <c r="Q63" s="211">
        <v>43843.0</v>
      </c>
      <c r="R63" s="212">
        <v>39.97</v>
      </c>
      <c r="S63" s="792">
        <f>IFERROR(__xludf.DUMMYFUNCTION("googlefinance(P63,""price"")"),42.32)</f>
        <v>42.32</v>
      </c>
      <c r="T63" s="213">
        <v>19998.5</v>
      </c>
      <c r="U63" s="658">
        <f t="shared" si="57"/>
        <v>21174.29372</v>
      </c>
      <c r="V63" s="822">
        <f t="shared" si="58"/>
        <v>0.05879409557</v>
      </c>
      <c r="W63" s="658">
        <f t="shared" si="59"/>
        <v>1175.79372</v>
      </c>
      <c r="X63" s="802">
        <v>0.0035</v>
      </c>
      <c r="Y63" s="257"/>
      <c r="Z63" s="239"/>
      <c r="AA63" s="257"/>
      <c r="AB63" s="257"/>
      <c r="AC63" s="257"/>
    </row>
    <row r="64">
      <c r="A64" s="800"/>
      <c r="B64" s="800"/>
      <c r="C64" s="797" t="s">
        <v>709</v>
      </c>
      <c r="D64" s="797" t="s">
        <v>710</v>
      </c>
      <c r="E64" s="787">
        <v>9.2</v>
      </c>
      <c r="F64" s="788">
        <v>44070.0</v>
      </c>
      <c r="G64" s="800" t="str">
        <f>F64+M64+U64+U61</f>
        <v>#N/A</v>
      </c>
      <c r="H64" s="790">
        <v>44.07</v>
      </c>
      <c r="I64" s="791" t="str">
        <f>IFERROR(__xludf.DUMMYFUNCTION("GOOGLEFINANCE(D64,""changepct"")"),"#N/A")</f>
        <v>#N/A</v>
      </c>
      <c r="J64" s="792" t="str">
        <f>IFERROR(__xludf.DUMMYFUNCTION("googlefinance(D64,""price"")"),"#N/A")</f>
        <v>#N/A</v>
      </c>
      <c r="K64" s="800" t="str">
        <f t="shared" si="54"/>
        <v>#N/A</v>
      </c>
      <c r="L64" s="819" t="str">
        <f t="shared" si="55"/>
        <v>#N/A</v>
      </c>
      <c r="M64" s="800" t="str">
        <f t="shared" si="56"/>
        <v>#N/A</v>
      </c>
      <c r="N64" s="802">
        <v>0.0053</v>
      </c>
      <c r="O64" s="788">
        <v>134.0</v>
      </c>
      <c r="P64" s="238" t="s">
        <v>710</v>
      </c>
      <c r="Q64" s="211">
        <v>43843.0</v>
      </c>
      <c r="R64" s="212">
        <v>43.98</v>
      </c>
      <c r="S64" s="792" t="str">
        <f>IFERROR(__xludf.DUMMYFUNCTION("googlefinance(P64,""price"")"),"#N/A")</f>
        <v>#N/A</v>
      </c>
      <c r="T64" s="213">
        <v>21990.0</v>
      </c>
      <c r="U64" s="658" t="str">
        <f t="shared" si="57"/>
        <v>#N/A</v>
      </c>
      <c r="V64" s="822" t="str">
        <f t="shared" si="58"/>
        <v>#N/A</v>
      </c>
      <c r="W64" s="658" t="str">
        <f t="shared" si="59"/>
        <v>#N/A</v>
      </c>
      <c r="X64" s="823">
        <v>0.0053</v>
      </c>
      <c r="Y64" s="257"/>
      <c r="Z64" s="239"/>
      <c r="AA64" s="257"/>
      <c r="AB64" s="257"/>
      <c r="AC64" s="257"/>
    </row>
    <row r="65">
      <c r="A65" s="800"/>
      <c r="B65" s="800"/>
      <c r="C65" s="797" t="s">
        <v>506</v>
      </c>
      <c r="D65" s="797" t="s">
        <v>169</v>
      </c>
      <c r="E65" s="787">
        <v>8.7</v>
      </c>
      <c r="F65" s="788">
        <v>43450.0</v>
      </c>
      <c r="G65" s="805">
        <f>F65+M65</f>
        <v>37000</v>
      </c>
      <c r="H65" s="790">
        <v>43.45</v>
      </c>
      <c r="I65" s="791">
        <f>IFERROR(__xludf.DUMMYFUNCTION("GOOGLEFINANCE(D65,""changepct"")"),-2.22)</f>
        <v>-2.22</v>
      </c>
      <c r="J65" s="792">
        <f>IFERROR(__xludf.DUMMYFUNCTION("googlefinance(D65,""price"")"),37.0)</f>
        <v>37</v>
      </c>
      <c r="K65" s="807">
        <f t="shared" si="54"/>
        <v>-6.45</v>
      </c>
      <c r="L65" s="819">
        <f t="shared" si="55"/>
        <v>-0.1484464902</v>
      </c>
      <c r="M65" s="805">
        <f t="shared" si="56"/>
        <v>-6450</v>
      </c>
      <c r="N65" s="802">
        <v>0.0152</v>
      </c>
      <c r="O65" s="788">
        <v>203.0</v>
      </c>
      <c r="P65" s="238" t="s">
        <v>158</v>
      </c>
      <c r="Q65" s="211">
        <v>43889.0</v>
      </c>
      <c r="R65" s="212">
        <v>25.75</v>
      </c>
      <c r="S65" s="792">
        <f>IFERROR(__xludf.DUMMYFUNCTION("googlefinance(P65,""price"")"),33.77)</f>
        <v>33.77</v>
      </c>
      <c r="T65" s="213">
        <v>25750.0</v>
      </c>
      <c r="U65" s="658">
        <f t="shared" si="57"/>
        <v>33770</v>
      </c>
      <c r="V65" s="822">
        <f t="shared" si="58"/>
        <v>0.3114563107</v>
      </c>
      <c r="W65" s="658">
        <f t="shared" si="59"/>
        <v>8020</v>
      </c>
      <c r="X65" s="257"/>
      <c r="Y65" s="257"/>
      <c r="Z65" s="239"/>
      <c r="AA65" s="257"/>
      <c r="AB65" s="257"/>
      <c r="AC65" s="257"/>
    </row>
    <row r="66">
      <c r="A66" s="800"/>
      <c r="B66" s="800"/>
      <c r="C66" s="797" t="s">
        <v>783</v>
      </c>
      <c r="D66" s="797" t="s">
        <v>573</v>
      </c>
      <c r="E66" s="787">
        <v>7.9</v>
      </c>
      <c r="F66" s="788">
        <v>32640.0</v>
      </c>
      <c r="G66" s="805">
        <f t="shared" ref="G66:G67" si="60">F66+M66+U66</f>
        <v>54730</v>
      </c>
      <c r="H66" s="790">
        <v>4.08</v>
      </c>
      <c r="I66" s="791">
        <f>IFERROR(__xludf.DUMMYFUNCTION("GOOGLEFINANCE(D66,""changepct"")"),-2.55)</f>
        <v>-2.55</v>
      </c>
      <c r="J66" s="792">
        <f>IFERROR(__xludf.DUMMYFUNCTION("googlefinance(D66,""price"")"),4.21)</f>
        <v>4.21</v>
      </c>
      <c r="K66" s="807">
        <f t="shared" si="54"/>
        <v>0.13</v>
      </c>
      <c r="L66" s="819">
        <f t="shared" si="55"/>
        <v>0.0318627451</v>
      </c>
      <c r="M66" s="805">
        <f t="shared" si="56"/>
        <v>1040</v>
      </c>
      <c r="N66" s="787" t="s">
        <v>128</v>
      </c>
      <c r="O66" s="788" t="s">
        <v>128</v>
      </c>
      <c r="P66" s="238" t="s">
        <v>573</v>
      </c>
      <c r="Q66" s="211">
        <v>43843.0</v>
      </c>
      <c r="R66" s="212">
        <v>3.72</v>
      </c>
      <c r="S66" s="792">
        <f>IFERROR(__xludf.DUMMYFUNCTION("googlefinance(P66,""price"")"),4.21)</f>
        <v>4.21</v>
      </c>
      <c r="T66" s="213">
        <v>18600.0</v>
      </c>
      <c r="U66" s="658">
        <f t="shared" si="57"/>
        <v>21050</v>
      </c>
      <c r="V66" s="822">
        <f t="shared" si="58"/>
        <v>0.1317204301</v>
      </c>
      <c r="W66" s="658">
        <f t="shared" si="59"/>
        <v>2450</v>
      </c>
      <c r="X66" s="787" t="s">
        <v>128</v>
      </c>
      <c r="Y66" s="236" t="s">
        <v>128</v>
      </c>
      <c r="Z66" s="239"/>
      <c r="AA66" s="257"/>
      <c r="AB66" s="257"/>
      <c r="AC66" s="257"/>
    </row>
    <row r="67">
      <c r="A67" s="800"/>
      <c r="B67" s="800"/>
      <c r="C67" s="836" t="s">
        <v>711</v>
      </c>
      <c r="D67" s="797" t="s">
        <v>550</v>
      </c>
      <c r="E67" s="787">
        <v>8.1</v>
      </c>
      <c r="F67" s="788">
        <v>36780.0</v>
      </c>
      <c r="G67" s="805">
        <f t="shared" si="60"/>
        <v>26950</v>
      </c>
      <c r="H67" s="790">
        <v>12.26</v>
      </c>
      <c r="I67" s="791">
        <f>IFERROR(__xludf.DUMMYFUNCTION("GOOGLEFINANCE(D67,""changepct"")"),-2.71)</f>
        <v>-2.71</v>
      </c>
      <c r="J67" s="792">
        <f>IFERROR(__xludf.DUMMYFUNCTION("googlefinance(D67,""price"")"),5.39)</f>
        <v>5.39</v>
      </c>
      <c r="K67" s="807">
        <f t="shared" si="54"/>
        <v>-6.87</v>
      </c>
      <c r="L67" s="819">
        <f t="shared" si="55"/>
        <v>-0.5603588907</v>
      </c>
      <c r="M67" s="805">
        <f t="shared" si="56"/>
        <v>-20610</v>
      </c>
      <c r="N67" s="787" t="s">
        <v>128</v>
      </c>
      <c r="O67" s="788" t="s">
        <v>128</v>
      </c>
      <c r="P67" s="238" t="s">
        <v>550</v>
      </c>
      <c r="Q67" s="211">
        <v>43843.0</v>
      </c>
      <c r="R67" s="212">
        <v>10.65</v>
      </c>
      <c r="S67" s="792">
        <f>IFERROR(__xludf.DUMMYFUNCTION("googlefinance(P67,""price"")"),5.39)</f>
        <v>5.39</v>
      </c>
      <c r="T67" s="213">
        <v>21300.0</v>
      </c>
      <c r="U67" s="658">
        <f t="shared" si="57"/>
        <v>10780</v>
      </c>
      <c r="V67" s="822">
        <f t="shared" si="58"/>
        <v>-0.4938967136</v>
      </c>
      <c r="W67" s="658">
        <f t="shared" si="59"/>
        <v>-10520</v>
      </c>
      <c r="X67" s="236" t="s">
        <v>128</v>
      </c>
      <c r="Y67" s="236" t="s">
        <v>128</v>
      </c>
      <c r="Z67" s="239"/>
      <c r="AA67" s="257"/>
      <c r="AB67" s="257"/>
      <c r="AC67" s="257"/>
    </row>
    <row r="68">
      <c r="A68" s="800"/>
      <c r="B68" s="800"/>
      <c r="C68" s="797" t="s">
        <v>357</v>
      </c>
      <c r="D68" s="797" t="s">
        <v>174</v>
      </c>
      <c r="E68" s="787">
        <v>7.7</v>
      </c>
      <c r="F68" s="788">
        <v>42642.0</v>
      </c>
      <c r="G68" s="805">
        <f>F68+M68</f>
        <v>35892</v>
      </c>
      <c r="H68" s="790">
        <v>23.69</v>
      </c>
      <c r="I68" s="791">
        <f>IFERROR(__xludf.DUMMYFUNCTION("GOOGLEFINANCE(D68,""changepct"")"),-3.11)</f>
        <v>-3.11</v>
      </c>
      <c r="J68" s="792">
        <f>IFERROR(__xludf.DUMMYFUNCTION("googlefinance(D68,""price"")"),19.94)</f>
        <v>19.94</v>
      </c>
      <c r="K68" s="807">
        <f t="shared" si="54"/>
        <v>-3.75</v>
      </c>
      <c r="L68" s="819">
        <f t="shared" si="55"/>
        <v>-0.1582946391</v>
      </c>
      <c r="M68" s="805">
        <f t="shared" si="56"/>
        <v>-6750</v>
      </c>
      <c r="N68" s="802">
        <v>0.006</v>
      </c>
      <c r="O68" s="788">
        <v>66.0</v>
      </c>
      <c r="P68" s="238" t="s">
        <v>774</v>
      </c>
      <c r="Q68" s="211">
        <v>43889.0</v>
      </c>
      <c r="R68" s="212">
        <v>15.35</v>
      </c>
      <c r="S68" s="792">
        <f>IFERROR(__xludf.DUMMYFUNCTION("googlefinance(P68,""price"")"),26.43)</f>
        <v>26.43</v>
      </c>
      <c r="T68" s="213">
        <v>30700.0</v>
      </c>
      <c r="U68" s="658">
        <f t="shared" si="57"/>
        <v>52860</v>
      </c>
      <c r="V68" s="822">
        <f t="shared" si="58"/>
        <v>0.7218241042</v>
      </c>
      <c r="W68" s="658">
        <f t="shared" si="59"/>
        <v>22160</v>
      </c>
      <c r="X68" s="257"/>
      <c r="Y68" s="257"/>
      <c r="Z68" s="239"/>
      <c r="AA68" s="257"/>
      <c r="AB68" s="257"/>
      <c r="AC68" s="257"/>
    </row>
    <row r="69">
      <c r="A69" s="811"/>
      <c r="B69" s="735" t="s">
        <v>89</v>
      </c>
      <c r="C69" s="811"/>
      <c r="D69" s="811"/>
      <c r="E69" s="811"/>
      <c r="F69" s="812">
        <f t="shared" ref="F69:G69" si="61">SUM(F59:F68)</f>
        <v>696842</v>
      </c>
      <c r="G69" s="821" t="str">
        <f t="shared" si="61"/>
        <v>#N/A</v>
      </c>
      <c r="H69" s="811"/>
      <c r="I69" s="811"/>
      <c r="J69" s="811"/>
      <c r="K69" s="811"/>
      <c r="L69" s="815" t="str">
        <f>M69/F69</f>
        <v>#N/A</v>
      </c>
      <c r="M69" s="821" t="str">
        <f>SUM(M59:M68)+W59</f>
        <v>#N/A</v>
      </c>
      <c r="N69" s="811"/>
      <c r="O69" s="812">
        <f>SUM(O62:O68)</f>
        <v>614</v>
      </c>
      <c r="P69" s="238" t="s">
        <v>89</v>
      </c>
      <c r="Q69" s="239"/>
      <c r="R69" s="241"/>
      <c r="S69" s="241"/>
      <c r="T69" s="240">
        <f t="shared" ref="T69:U69" si="62">SUM(T59:T68)</f>
        <v>261133.5</v>
      </c>
      <c r="U69" s="240" t="str">
        <f t="shared" si="62"/>
        <v>#N/A</v>
      </c>
      <c r="V69" s="816" t="str">
        <f>W69/T69</f>
        <v>#N/A</v>
      </c>
      <c r="W69" s="240" t="str">
        <f>SUM(W59:W68)</f>
        <v>#N/A</v>
      </c>
      <c r="X69" s="239"/>
      <c r="Y69" s="239"/>
      <c r="Z69" s="238" t="s">
        <v>89</v>
      </c>
      <c r="AA69" s="239"/>
      <c r="AB69" s="239"/>
      <c r="AC69" s="240">
        <f>AC57+AC46+AC37+AC16+AC27</f>
        <v>337541.15</v>
      </c>
      <c r="AD69" s="837"/>
    </row>
    <row r="70">
      <c r="A70" s="735" t="s">
        <v>826</v>
      </c>
      <c r="B70" s="821"/>
      <c r="C70" s="510" t="s">
        <v>827</v>
      </c>
      <c r="D70" s="510" t="s">
        <v>4</v>
      </c>
      <c r="E70" s="510" t="s">
        <v>5</v>
      </c>
      <c r="F70" s="510" t="s">
        <v>958</v>
      </c>
      <c r="G70" s="505" t="s">
        <v>730</v>
      </c>
      <c r="H70" s="505" t="s">
        <v>945</v>
      </c>
      <c r="I70" s="506" t="s">
        <v>10</v>
      </c>
      <c r="J70" s="673" t="s">
        <v>11</v>
      </c>
      <c r="K70" s="508" t="s">
        <v>13</v>
      </c>
      <c r="L70" s="510" t="s">
        <v>799</v>
      </c>
      <c r="M70" s="508" t="s">
        <v>800</v>
      </c>
      <c r="N70" s="510" t="s">
        <v>16</v>
      </c>
      <c r="O70" s="510" t="s">
        <v>17</v>
      </c>
      <c r="P70" s="238" t="s">
        <v>946</v>
      </c>
      <c r="Q70" s="257"/>
      <c r="R70" s="257"/>
      <c r="S70" s="257"/>
      <c r="T70" s="257"/>
      <c r="U70" s="257"/>
      <c r="V70" s="257"/>
      <c r="W70" s="257"/>
      <c r="X70" s="257"/>
      <c r="Y70" s="257"/>
      <c r="Z70" s="238" t="s">
        <v>952</v>
      </c>
      <c r="AA70" s="238" t="s">
        <v>953</v>
      </c>
      <c r="AB70" s="238" t="s">
        <v>954</v>
      </c>
      <c r="AC70" s="238" t="s">
        <v>28</v>
      </c>
    </row>
    <row r="71">
      <c r="A71" s="502" t="s">
        <v>733</v>
      </c>
      <c r="B71" s="796">
        <f>G73/D88</f>
        <v>0.05128504615</v>
      </c>
      <c r="C71" s="797" t="s">
        <v>828</v>
      </c>
      <c r="D71" s="797" t="s">
        <v>408</v>
      </c>
      <c r="E71" s="787">
        <v>8.4</v>
      </c>
      <c r="F71" s="788">
        <v>135480.0</v>
      </c>
      <c r="G71" s="805">
        <f t="shared" ref="G71:G72" si="63">F71+M71</f>
        <v>87800</v>
      </c>
      <c r="H71" s="790">
        <v>135.48</v>
      </c>
      <c r="I71" s="791">
        <f>IFERROR(__xludf.DUMMYFUNCTION("GOOGLEFINANCE(D71,""changepct"")"),0.8)</f>
        <v>0.8</v>
      </c>
      <c r="J71" s="808">
        <f>IFERROR(__xludf.DUMMYFUNCTION("googlefinance(D71,""price"")"),87.8)</f>
        <v>87.8</v>
      </c>
      <c r="K71" s="807">
        <f t="shared" ref="K71:K72" si="64">J71-H71</f>
        <v>-47.68</v>
      </c>
      <c r="L71" s="819">
        <f t="shared" ref="L71:L72" si="65">J71/H71-1</f>
        <v>-0.3519338648</v>
      </c>
      <c r="M71" s="805">
        <f t="shared" ref="M71:M72" si="66">F71*L71</f>
        <v>-47680</v>
      </c>
      <c r="N71" s="802">
        <v>0.0225</v>
      </c>
      <c r="O71" s="788">
        <v>928.0</v>
      </c>
      <c r="P71" s="239"/>
      <c r="Q71" s="257"/>
      <c r="R71" s="257"/>
      <c r="S71" s="257"/>
      <c r="T71" s="257"/>
      <c r="U71" s="257"/>
      <c r="V71" s="257"/>
      <c r="W71" s="257"/>
      <c r="X71" s="257"/>
      <c r="Y71" s="257"/>
      <c r="Z71" s="239"/>
      <c r="AA71" s="257"/>
      <c r="AB71" s="257"/>
      <c r="AC71" s="257"/>
    </row>
    <row r="72">
      <c r="A72" s="800"/>
      <c r="B72" s="800"/>
      <c r="C72" s="797" t="s">
        <v>829</v>
      </c>
      <c r="D72" s="797" t="s">
        <v>639</v>
      </c>
      <c r="E72" s="787">
        <v>8.2</v>
      </c>
      <c r="F72" s="788">
        <v>110220.0</v>
      </c>
      <c r="G72" s="805">
        <f t="shared" si="63"/>
        <v>92620</v>
      </c>
      <c r="H72" s="790">
        <v>110.22</v>
      </c>
      <c r="I72" s="791">
        <f>IFERROR(__xludf.DUMMYFUNCTION("GOOGLEFINANCE(D72,""changepct"")"),0.59)</f>
        <v>0.59</v>
      </c>
      <c r="J72" s="808">
        <f>IFERROR(__xludf.DUMMYFUNCTION("googlefinance(D72,""price"")"),92.62)</f>
        <v>92.62</v>
      </c>
      <c r="K72" s="807">
        <f t="shared" si="64"/>
        <v>-17.6</v>
      </c>
      <c r="L72" s="819">
        <f t="shared" si="65"/>
        <v>-0.1596806387</v>
      </c>
      <c r="M72" s="805">
        <f t="shared" si="66"/>
        <v>-17600</v>
      </c>
      <c r="N72" s="802">
        <v>0.0125</v>
      </c>
      <c r="O72" s="788">
        <v>378.0</v>
      </c>
      <c r="P72" s="239"/>
      <c r="Q72" s="257"/>
      <c r="R72" s="257"/>
      <c r="S72" s="257"/>
      <c r="T72" s="257"/>
      <c r="U72" s="257"/>
      <c r="V72" s="257"/>
      <c r="W72" s="257"/>
      <c r="X72" s="257"/>
      <c r="Y72" s="257"/>
      <c r="Z72" s="239"/>
      <c r="AA72" s="257"/>
      <c r="AB72" s="257"/>
      <c r="AC72" s="257"/>
    </row>
    <row r="73">
      <c r="A73" s="811"/>
      <c r="B73" s="735" t="s">
        <v>89</v>
      </c>
      <c r="C73" s="811"/>
      <c r="D73" s="811"/>
      <c r="E73" s="811"/>
      <c r="F73" s="812">
        <f t="shared" ref="F73:G73" si="67">SUM(F71:F72)</f>
        <v>245700</v>
      </c>
      <c r="G73" s="812">
        <f t="shared" si="67"/>
        <v>180420</v>
      </c>
      <c r="H73" s="811"/>
      <c r="I73" s="811"/>
      <c r="J73" s="811"/>
      <c r="K73" s="811"/>
      <c r="L73" s="815">
        <f>M73/F73</f>
        <v>-0.2656898657</v>
      </c>
      <c r="M73" s="812">
        <f>SUM(M71:M72)</f>
        <v>-65280</v>
      </c>
      <c r="N73" s="811"/>
      <c r="O73" s="812">
        <f>SUM(O71:O72)</f>
        <v>1306</v>
      </c>
      <c r="P73" s="238" t="s">
        <v>89</v>
      </c>
      <c r="Q73" s="239"/>
      <c r="R73" s="239"/>
      <c r="S73" s="239"/>
      <c r="T73" s="239"/>
      <c r="U73" s="239"/>
      <c r="V73" s="239"/>
      <c r="W73" s="239"/>
      <c r="X73" s="239"/>
      <c r="Y73" s="239"/>
      <c r="Z73" s="238" t="s">
        <v>89</v>
      </c>
      <c r="AA73" s="239"/>
      <c r="AB73" s="239"/>
      <c r="AC73" s="239"/>
    </row>
    <row r="74">
      <c r="A74" s="735" t="s">
        <v>784</v>
      </c>
      <c r="B74" s="735" t="s">
        <v>830</v>
      </c>
      <c r="C74" s="735" t="s">
        <v>182</v>
      </c>
      <c r="D74" s="510" t="s">
        <v>4</v>
      </c>
      <c r="E74" s="510" t="s">
        <v>5</v>
      </c>
      <c r="F74" s="510" t="s">
        <v>958</v>
      </c>
      <c r="G74" s="505" t="s">
        <v>959</v>
      </c>
      <c r="H74" s="505" t="s">
        <v>945</v>
      </c>
      <c r="I74" s="506" t="s">
        <v>10</v>
      </c>
      <c r="J74" s="673" t="s">
        <v>11</v>
      </c>
      <c r="K74" s="508" t="s">
        <v>13</v>
      </c>
      <c r="L74" s="510" t="s">
        <v>799</v>
      </c>
      <c r="M74" s="508" t="s">
        <v>800</v>
      </c>
      <c r="N74" s="510" t="s">
        <v>16</v>
      </c>
      <c r="O74" s="510" t="s">
        <v>17</v>
      </c>
      <c r="P74" s="238" t="s">
        <v>946</v>
      </c>
      <c r="Q74" s="735" t="s">
        <v>947</v>
      </c>
      <c r="R74" s="735" t="s">
        <v>27</v>
      </c>
      <c r="S74" s="830" t="s">
        <v>11</v>
      </c>
      <c r="T74" s="735" t="s">
        <v>948</v>
      </c>
      <c r="U74" s="735" t="s">
        <v>786</v>
      </c>
      <c r="V74" s="735" t="s">
        <v>950</v>
      </c>
      <c r="W74" s="735" t="s">
        <v>951</v>
      </c>
      <c r="X74" s="239"/>
      <c r="Y74" s="239"/>
      <c r="Z74" s="238" t="s">
        <v>960</v>
      </c>
      <c r="AA74" s="238" t="s">
        <v>953</v>
      </c>
      <c r="AB74" s="238" t="s">
        <v>961</v>
      </c>
      <c r="AC74" s="238" t="s">
        <v>28</v>
      </c>
    </row>
    <row r="75">
      <c r="A75" s="502" t="s">
        <v>733</v>
      </c>
      <c r="B75" s="796">
        <f>G81/D88</f>
        <v>0.2628308871</v>
      </c>
      <c r="C75" s="601" t="s">
        <v>413</v>
      </c>
      <c r="D75" s="344" t="s">
        <v>185</v>
      </c>
      <c r="E75" s="638">
        <v>8.9</v>
      </c>
      <c r="F75" s="788">
        <v>359960.0</v>
      </c>
      <c r="G75" s="805">
        <f t="shared" ref="G75:G80" si="68">AC75</f>
        <v>342826</v>
      </c>
      <c r="H75" s="790">
        <v>7199.2</v>
      </c>
      <c r="I75" s="838"/>
      <c r="J75" s="839"/>
      <c r="K75" s="807">
        <f t="shared" ref="K75:K80" si="69">J75-H75</f>
        <v>-7199.2</v>
      </c>
      <c r="L75" s="819">
        <f t="shared" ref="L75:L80" si="70">U75/F75-1</f>
        <v>-1</v>
      </c>
      <c r="M75" s="805">
        <f t="shared" ref="M75:M80" si="71">U75-F75</f>
        <v>-359960</v>
      </c>
      <c r="N75" s="800"/>
      <c r="O75" s="800"/>
      <c r="P75" s="13" t="s">
        <v>185</v>
      </c>
      <c r="Q75" s="211">
        <v>43903.0</v>
      </c>
      <c r="R75" s="212">
        <v>5259.18</v>
      </c>
      <c r="S75" s="258" t="str">
        <f t="shared" ref="S75:S80" si="72">J75</f>
        <v/>
      </c>
      <c r="T75" s="213">
        <v>369854.0</v>
      </c>
      <c r="U75" s="658">
        <f t="shared" ref="U75:U80" si="73">T75+W75</f>
        <v>0</v>
      </c>
      <c r="V75" s="822">
        <f t="shared" ref="V75:V80" si="74">S75/R75-1</f>
        <v>-1</v>
      </c>
      <c r="W75" s="658">
        <f t="shared" ref="W75:W80" si="75">T75*V75</f>
        <v>-369854</v>
      </c>
      <c r="X75" s="257"/>
      <c r="Y75" s="257"/>
      <c r="Z75" s="13" t="s">
        <v>185</v>
      </c>
      <c r="AA75" s="211">
        <v>43902.0</v>
      </c>
      <c r="AB75" s="212">
        <v>6857.0</v>
      </c>
      <c r="AC75" s="213">
        <v>342826.0</v>
      </c>
    </row>
    <row r="76">
      <c r="A76" s="800"/>
      <c r="B76" s="800"/>
      <c r="C76" s="344" t="s">
        <v>832</v>
      </c>
      <c r="D76" s="344" t="s">
        <v>204</v>
      </c>
      <c r="E76" s="638">
        <v>8.7</v>
      </c>
      <c r="F76" s="788">
        <v>125135.0</v>
      </c>
      <c r="G76" s="805">
        <f t="shared" si="68"/>
        <v>145532</v>
      </c>
      <c r="H76" s="790">
        <v>41.71</v>
      </c>
      <c r="I76" s="838"/>
      <c r="J76" s="839"/>
      <c r="K76" s="807">
        <f t="shared" si="69"/>
        <v>-41.71</v>
      </c>
      <c r="L76" s="819">
        <f t="shared" si="70"/>
        <v>-1</v>
      </c>
      <c r="M76" s="805">
        <f t="shared" si="71"/>
        <v>-125135</v>
      </c>
      <c r="N76" s="800"/>
      <c r="O76" s="800"/>
      <c r="P76" s="13" t="s">
        <v>204</v>
      </c>
      <c r="Q76" s="211">
        <v>43903.0</v>
      </c>
      <c r="R76" s="212">
        <v>32.32</v>
      </c>
      <c r="S76" s="258" t="str">
        <f t="shared" si="72"/>
        <v/>
      </c>
      <c r="T76" s="213">
        <v>110956.2</v>
      </c>
      <c r="U76" s="658">
        <f t="shared" si="73"/>
        <v>0</v>
      </c>
      <c r="V76" s="822">
        <f t="shared" si="74"/>
        <v>-1</v>
      </c>
      <c r="W76" s="658">
        <f t="shared" si="75"/>
        <v>-110956.2</v>
      </c>
      <c r="X76" s="257"/>
      <c r="Y76" s="257"/>
      <c r="Z76" s="13" t="s">
        <v>204</v>
      </c>
      <c r="AA76" s="211">
        <v>43902.0</v>
      </c>
      <c r="AB76" s="212">
        <v>48.5</v>
      </c>
      <c r="AC76" s="213">
        <v>145532.0</v>
      </c>
    </row>
    <row r="77">
      <c r="A77" s="800"/>
      <c r="B77" s="800"/>
      <c r="C77" s="344" t="s">
        <v>359</v>
      </c>
      <c r="D77" s="563" t="s">
        <v>360</v>
      </c>
      <c r="E77" s="638">
        <v>8.4</v>
      </c>
      <c r="F77" s="788">
        <v>62332.0</v>
      </c>
      <c r="G77" s="805">
        <f t="shared" si="68"/>
        <v>109081</v>
      </c>
      <c r="H77" s="790">
        <v>41.55</v>
      </c>
      <c r="I77" s="838"/>
      <c r="J77" s="839"/>
      <c r="K77" s="807">
        <f t="shared" si="69"/>
        <v>-41.55</v>
      </c>
      <c r="L77" s="819">
        <f t="shared" si="70"/>
        <v>-1</v>
      </c>
      <c r="M77" s="805">
        <f t="shared" si="71"/>
        <v>-62332</v>
      </c>
      <c r="N77" s="800"/>
      <c r="O77" s="800"/>
      <c r="P77" s="13" t="s">
        <v>360</v>
      </c>
      <c r="Q77" s="211">
        <v>43903.0</v>
      </c>
      <c r="R77" s="212">
        <v>42.77</v>
      </c>
      <c r="S77" s="258" t="str">
        <f t="shared" si="72"/>
        <v/>
      </c>
      <c r="T77" s="213">
        <v>83217.15</v>
      </c>
      <c r="U77" s="658">
        <f t="shared" si="73"/>
        <v>0</v>
      </c>
      <c r="V77" s="822">
        <f t="shared" si="74"/>
        <v>-1</v>
      </c>
      <c r="W77" s="658">
        <f t="shared" si="75"/>
        <v>-83217.15</v>
      </c>
      <c r="X77" s="257"/>
      <c r="Y77" s="257"/>
      <c r="Z77" s="13" t="s">
        <v>360</v>
      </c>
      <c r="AA77" s="211">
        <v>43902.0</v>
      </c>
      <c r="AB77" s="212">
        <v>72.48</v>
      </c>
      <c r="AC77" s="213">
        <v>109081.0</v>
      </c>
    </row>
    <row r="78">
      <c r="A78" s="800"/>
      <c r="B78" s="800"/>
      <c r="C78" s="344" t="s">
        <v>692</v>
      </c>
      <c r="D78" s="563" t="s">
        <v>418</v>
      </c>
      <c r="E78" s="638">
        <v>8.3</v>
      </c>
      <c r="F78" s="788">
        <v>90564.0</v>
      </c>
      <c r="G78" s="805">
        <f t="shared" si="68"/>
        <v>126790</v>
      </c>
      <c r="H78" s="790">
        <v>27.87</v>
      </c>
      <c r="I78" s="838"/>
      <c r="J78" s="839"/>
      <c r="K78" s="807">
        <f t="shared" si="69"/>
        <v>-27.87</v>
      </c>
      <c r="L78" s="819">
        <f t="shared" si="70"/>
        <v>-1</v>
      </c>
      <c r="M78" s="805">
        <f t="shared" si="71"/>
        <v>-90564</v>
      </c>
      <c r="N78" s="800"/>
      <c r="O78" s="800"/>
      <c r="P78" s="13" t="s">
        <v>418</v>
      </c>
      <c r="Q78" s="211">
        <v>43903.0</v>
      </c>
      <c r="R78" s="212">
        <v>24.89</v>
      </c>
      <c r="S78" s="258" t="str">
        <f t="shared" si="72"/>
        <v/>
      </c>
      <c r="T78" s="213">
        <v>138695.25</v>
      </c>
      <c r="U78" s="658">
        <f t="shared" si="73"/>
        <v>0</v>
      </c>
      <c r="V78" s="822">
        <f t="shared" si="74"/>
        <v>-1</v>
      </c>
      <c r="W78" s="658">
        <f t="shared" si="75"/>
        <v>-138695.25</v>
      </c>
      <c r="X78" s="257"/>
      <c r="Y78" s="257"/>
      <c r="Z78" s="13" t="s">
        <v>418</v>
      </c>
      <c r="AA78" s="211">
        <v>43902.0</v>
      </c>
      <c r="AB78" s="212">
        <v>38.77</v>
      </c>
      <c r="AC78" s="213">
        <v>126790.0</v>
      </c>
    </row>
    <row r="79">
      <c r="A79" s="800"/>
      <c r="B79" s="800"/>
      <c r="C79" s="219" t="s">
        <v>933</v>
      </c>
      <c r="D79" s="519" t="s">
        <v>934</v>
      </c>
      <c r="E79" s="638">
        <v>8.1</v>
      </c>
      <c r="F79" s="788">
        <v>56060.0</v>
      </c>
      <c r="G79" s="805">
        <f t="shared" si="68"/>
        <v>84651</v>
      </c>
      <c r="H79" s="790">
        <v>5.34</v>
      </c>
      <c r="I79" s="838"/>
      <c r="J79" s="839"/>
      <c r="K79" s="807">
        <f t="shared" si="69"/>
        <v>-5.34</v>
      </c>
      <c r="L79" s="819">
        <f t="shared" si="70"/>
        <v>-1</v>
      </c>
      <c r="M79" s="805">
        <f t="shared" si="71"/>
        <v>-56060</v>
      </c>
      <c r="N79" s="800"/>
      <c r="O79" s="800"/>
      <c r="P79" s="510" t="s">
        <v>934</v>
      </c>
      <c r="Q79" s="211">
        <v>43903.0</v>
      </c>
      <c r="R79" s="212">
        <v>5.66</v>
      </c>
      <c r="S79" s="258" t="str">
        <f t="shared" si="72"/>
        <v/>
      </c>
      <c r="T79" s="213">
        <v>87840.33</v>
      </c>
      <c r="U79" s="658">
        <f t="shared" si="73"/>
        <v>0</v>
      </c>
      <c r="V79" s="822">
        <f t="shared" si="74"/>
        <v>-1</v>
      </c>
      <c r="W79" s="658">
        <f t="shared" si="75"/>
        <v>-87840.33</v>
      </c>
      <c r="X79" s="257"/>
      <c r="Y79" s="257"/>
      <c r="Z79" s="510" t="s">
        <v>934</v>
      </c>
      <c r="AA79" s="211">
        <v>43902.0</v>
      </c>
      <c r="AB79" s="212">
        <v>8.07</v>
      </c>
      <c r="AC79" s="213">
        <v>84651.0</v>
      </c>
    </row>
    <row r="80">
      <c r="A80" s="800"/>
      <c r="B80" s="800"/>
      <c r="C80" s="519" t="s">
        <v>513</v>
      </c>
      <c r="D80" s="519" t="s">
        <v>514</v>
      </c>
      <c r="E80" s="638">
        <v>8.7</v>
      </c>
      <c r="F80" s="788">
        <v>90653.0</v>
      </c>
      <c r="G80" s="805">
        <f t="shared" si="68"/>
        <v>115755</v>
      </c>
      <c r="H80" s="790">
        <v>45.33</v>
      </c>
      <c r="I80" s="838"/>
      <c r="J80" s="839"/>
      <c r="K80" s="807">
        <f t="shared" si="69"/>
        <v>-45.33</v>
      </c>
      <c r="L80" s="819">
        <f t="shared" si="70"/>
        <v>-1</v>
      </c>
      <c r="M80" s="805">
        <f t="shared" si="71"/>
        <v>-90653</v>
      </c>
      <c r="N80" s="800"/>
      <c r="O80" s="800"/>
      <c r="P80" s="510" t="s">
        <v>514</v>
      </c>
      <c r="Q80" s="211">
        <v>43903.0</v>
      </c>
      <c r="R80" s="212">
        <v>34.87</v>
      </c>
      <c r="S80" s="258" t="str">
        <f t="shared" si="72"/>
        <v/>
      </c>
      <c r="T80" s="213">
        <v>134072.0</v>
      </c>
      <c r="U80" s="658">
        <f t="shared" si="73"/>
        <v>0</v>
      </c>
      <c r="V80" s="822">
        <f t="shared" si="74"/>
        <v>-1</v>
      </c>
      <c r="W80" s="658">
        <f t="shared" si="75"/>
        <v>-134072</v>
      </c>
      <c r="X80" s="257"/>
      <c r="Y80" s="257"/>
      <c r="Z80" s="510" t="s">
        <v>514</v>
      </c>
      <c r="AA80" s="211">
        <v>43902.0</v>
      </c>
      <c r="AB80" s="212">
        <v>57.88</v>
      </c>
      <c r="AC80" s="213">
        <v>115755.0</v>
      </c>
    </row>
    <row r="81">
      <c r="A81" s="811"/>
      <c r="B81" s="735" t="s">
        <v>89</v>
      </c>
      <c r="C81" s="811"/>
      <c r="D81" s="811"/>
      <c r="E81" s="811"/>
      <c r="F81" s="812">
        <f t="shared" ref="F81:G81" si="76">SUM(F75:F80)</f>
        <v>784704</v>
      </c>
      <c r="G81" s="812">
        <f t="shared" si="76"/>
        <v>924635</v>
      </c>
      <c r="H81" s="811"/>
      <c r="I81" s="811"/>
      <c r="J81" s="811"/>
      <c r="K81" s="811"/>
      <c r="L81" s="815">
        <f>M81/F81</f>
        <v>0.5031107271</v>
      </c>
      <c r="M81" s="840">
        <v>394793.0</v>
      </c>
      <c r="N81" s="811"/>
      <c r="O81" s="811"/>
      <c r="P81" s="238" t="s">
        <v>89</v>
      </c>
      <c r="Q81" s="239"/>
      <c r="R81" s="239"/>
      <c r="S81" s="239"/>
      <c r="T81" s="734">
        <f t="shared" ref="T81:U81" si="77">SUM(T75:T80)</f>
        <v>924634.93</v>
      </c>
      <c r="U81" s="240">
        <f t="shared" si="77"/>
        <v>0</v>
      </c>
      <c r="V81" s="816">
        <f>W81/T81</f>
        <v>-1</v>
      </c>
      <c r="W81" s="240">
        <f>SUM(W75:W80)</f>
        <v>-924634.93</v>
      </c>
      <c r="X81" s="239"/>
      <c r="Y81" s="239"/>
      <c r="Z81" s="238" t="s">
        <v>89</v>
      </c>
      <c r="AA81" s="239"/>
      <c r="AB81" s="241"/>
      <c r="AC81" s="240">
        <f>SUM(AC75:AC80)</f>
        <v>924635</v>
      </c>
    </row>
    <row r="82">
      <c r="A82" s="735" t="s">
        <v>227</v>
      </c>
      <c r="B82" s="735" t="s">
        <v>228</v>
      </c>
      <c r="C82" s="735" t="s">
        <v>962</v>
      </c>
      <c r="D82" s="735" t="s">
        <v>963</v>
      </c>
      <c r="E82" s="735" t="s">
        <v>964</v>
      </c>
      <c r="F82" s="735" t="s">
        <v>965</v>
      </c>
      <c r="G82" s="770" t="s">
        <v>233</v>
      </c>
      <c r="H82" s="770" t="s">
        <v>234</v>
      </c>
      <c r="I82" s="770" t="s">
        <v>966</v>
      </c>
      <c r="J82" s="770" t="s">
        <v>967</v>
      </c>
      <c r="K82" s="811"/>
      <c r="L82" s="811"/>
      <c r="M82" s="811"/>
      <c r="N82" s="811"/>
      <c r="O82" s="811"/>
    </row>
    <row r="83">
      <c r="A83" s="797" t="s">
        <v>424</v>
      </c>
      <c r="B83" s="841">
        <f>D83/D88</f>
        <v>0.2735995529</v>
      </c>
      <c r="C83" s="805">
        <f>F57+F46+F37+F27+F16-AC69+T16+T27+T37+T46+T57-(F56+F54+F52+F14+F36)</f>
        <v>1332124.15</v>
      </c>
      <c r="D83" s="788">
        <v>962519.0</v>
      </c>
      <c r="E83" s="819">
        <f t="shared" ref="E83:E86" si="78">F83/C83</f>
        <v>-0.2774554834</v>
      </c>
      <c r="F83" s="842">
        <f t="shared" ref="F83:F88" si="79">D83-C83</f>
        <v>-369605.15</v>
      </c>
      <c r="G83" s="774" t="s">
        <v>890</v>
      </c>
      <c r="H83" s="774" t="s">
        <v>890</v>
      </c>
      <c r="I83" s="774" t="s">
        <v>890</v>
      </c>
      <c r="J83" s="774" t="s">
        <v>890</v>
      </c>
      <c r="K83" s="800"/>
      <c r="L83" s="800"/>
      <c r="M83" s="800"/>
      <c r="N83" s="800"/>
      <c r="O83" s="800"/>
    </row>
    <row r="84">
      <c r="A84" s="797" t="s">
        <v>409</v>
      </c>
      <c r="B84" s="841">
        <f>D84/D88</f>
        <v>0.211200757</v>
      </c>
      <c r="C84" s="805">
        <f>F69+T69</f>
        <v>957975.5</v>
      </c>
      <c r="D84" s="788">
        <v>743001.0</v>
      </c>
      <c r="E84" s="819">
        <f t="shared" si="78"/>
        <v>-0.2244050083</v>
      </c>
      <c r="F84" s="842">
        <f t="shared" si="79"/>
        <v>-214974.5</v>
      </c>
      <c r="G84" s="818">
        <f>G86/D88</f>
        <v>0.01494833171</v>
      </c>
      <c r="H84" s="818">
        <f>H86/D88</f>
        <v>0.001914164177</v>
      </c>
      <c r="I84" s="819">
        <f>E83+G84+H84+J84</f>
        <v>-0.2117385945</v>
      </c>
      <c r="J84" s="843">
        <f>J86/D88</f>
        <v>0.04885439306</v>
      </c>
      <c r="K84" s="800"/>
      <c r="L84" s="800"/>
      <c r="M84" s="800"/>
      <c r="N84" s="800"/>
      <c r="O84" s="800"/>
    </row>
    <row r="85">
      <c r="A85" s="797" t="s">
        <v>542</v>
      </c>
      <c r="B85" s="841">
        <f>D85/D88</f>
        <v>0.08138750922</v>
      </c>
      <c r="C85" s="805">
        <f>F73</f>
        <v>245700</v>
      </c>
      <c r="D85" s="788">
        <v>286320.0</v>
      </c>
      <c r="E85" s="819">
        <f t="shared" si="78"/>
        <v>0.1653235653</v>
      </c>
      <c r="F85" s="842">
        <f t="shared" si="79"/>
        <v>40620</v>
      </c>
      <c r="G85" s="770" t="s">
        <v>891</v>
      </c>
      <c r="H85" s="770" t="s">
        <v>891</v>
      </c>
      <c r="I85" s="770" t="s">
        <v>968</v>
      </c>
      <c r="J85" s="770" t="s">
        <v>968</v>
      </c>
      <c r="K85" s="800"/>
      <c r="L85" s="800"/>
      <c r="M85" s="800"/>
      <c r="N85" s="800"/>
      <c r="O85" s="800"/>
    </row>
    <row r="86">
      <c r="A86" s="797" t="s">
        <v>240</v>
      </c>
      <c r="B86" s="841">
        <f>D86/D88</f>
        <v>0.3352763445</v>
      </c>
      <c r="C86" s="805">
        <f>F81</f>
        <v>784704</v>
      </c>
      <c r="D86" s="788">
        <v>1179497.0</v>
      </c>
      <c r="E86" s="819">
        <f t="shared" si="78"/>
        <v>0.5031107271</v>
      </c>
      <c r="F86" s="842">
        <f t="shared" si="79"/>
        <v>394793</v>
      </c>
      <c r="G86" s="844">
        <v>52588.0</v>
      </c>
      <c r="H86" s="845">
        <f>O16+O27+O37+O46+O57+O69+O73</f>
        <v>6734</v>
      </c>
      <c r="I86" s="845">
        <f>F83+G86+H86+J86</f>
        <v>-138414.15</v>
      </c>
      <c r="J86" s="844">
        <v>171869.0</v>
      </c>
      <c r="K86" s="800"/>
      <c r="L86" s="800"/>
      <c r="M86" s="800"/>
      <c r="N86" s="800"/>
      <c r="O86" s="800"/>
    </row>
    <row r="87">
      <c r="A87" s="797" t="s">
        <v>461</v>
      </c>
      <c r="B87" s="841">
        <f>D87/D88</f>
        <v>0.09853583638</v>
      </c>
      <c r="C87" s="788">
        <f>843779-T69+AC69-T16-T27-T37-T46-T57</f>
        <v>115456.55</v>
      </c>
      <c r="D87" s="788">
        <f>843779-T69+AC69-T16-T27-T37-T46-T57+G86+J86+H86</f>
        <v>346647.55</v>
      </c>
      <c r="E87" s="846" t="s">
        <v>128</v>
      </c>
      <c r="F87" s="842">
        <f t="shared" si="79"/>
        <v>231191</v>
      </c>
      <c r="G87" s="800"/>
      <c r="H87" s="800"/>
      <c r="I87" s="800"/>
      <c r="J87" s="800"/>
      <c r="K87" s="800"/>
      <c r="L87" s="800"/>
      <c r="M87" s="800"/>
      <c r="N87" s="800"/>
      <c r="O87" s="800"/>
    </row>
    <row r="88">
      <c r="A88" s="735" t="s">
        <v>246</v>
      </c>
      <c r="B88" s="815">
        <f t="shared" ref="B88:D88" si="80">SUM(B83:B87)</f>
        <v>1</v>
      </c>
      <c r="C88" s="840">
        <f t="shared" si="80"/>
        <v>3435960.2</v>
      </c>
      <c r="D88" s="812">
        <f t="shared" si="80"/>
        <v>3517984.55</v>
      </c>
      <c r="E88" s="847">
        <f>F88/C88</f>
        <v>0.0238723225</v>
      </c>
      <c r="F88" s="812">
        <f t="shared" si="79"/>
        <v>82024.35</v>
      </c>
      <c r="G88" s="811"/>
      <c r="H88" s="811"/>
      <c r="I88" s="811"/>
      <c r="J88" s="811"/>
      <c r="K88" s="811"/>
      <c r="L88" s="811"/>
      <c r="M88" s="811"/>
      <c r="N88" s="811"/>
      <c r="O88" s="811"/>
    </row>
    <row r="89">
      <c r="A89" s="848" t="s">
        <v>969</v>
      </c>
    </row>
    <row r="90">
      <c r="A90" s="849" t="s">
        <v>970</v>
      </c>
      <c r="B90" s="747"/>
      <c r="C90" s="748" t="s">
        <v>971</v>
      </c>
      <c r="D90" s="747"/>
      <c r="E90" s="749" t="s">
        <v>972</v>
      </c>
      <c r="F90" s="750" t="s">
        <v>15</v>
      </c>
      <c r="G90" s="750" t="s">
        <v>578</v>
      </c>
    </row>
    <row r="91">
      <c r="A91" s="442" t="s">
        <v>265</v>
      </c>
      <c r="B91" s="304" t="s">
        <v>266</v>
      </c>
      <c r="C91" s="850">
        <v>28660.0</v>
      </c>
      <c r="D91" s="753"/>
      <c r="E91" s="850">
        <v>21141.0</v>
      </c>
      <c r="F91" s="486">
        <f t="shared" ref="F91:F95" si="81">E91-C91</f>
        <v>-7519</v>
      </c>
      <c r="G91" s="487">
        <f t="shared" ref="G91:G95" si="82">E91/C91-1</f>
        <v>-0.2623517097</v>
      </c>
    </row>
    <row r="92">
      <c r="A92" s="442" t="s">
        <v>267</v>
      </c>
      <c r="B92" s="304" t="s">
        <v>268</v>
      </c>
      <c r="C92" s="850">
        <v>3239.0</v>
      </c>
      <c r="D92" s="753"/>
      <c r="E92" s="850">
        <v>2492.2</v>
      </c>
      <c r="F92" s="486">
        <f t="shared" si="81"/>
        <v>-746.8</v>
      </c>
      <c r="G92" s="487">
        <f t="shared" si="82"/>
        <v>-0.2305649892</v>
      </c>
    </row>
    <row r="93">
      <c r="A93" s="442" t="s">
        <v>269</v>
      </c>
      <c r="B93" s="304" t="s">
        <v>270</v>
      </c>
      <c r="C93" s="850">
        <v>9020.0</v>
      </c>
      <c r="D93" s="753"/>
      <c r="E93" s="850">
        <v>7483.0</v>
      </c>
      <c r="F93" s="486">
        <f t="shared" si="81"/>
        <v>-1537</v>
      </c>
      <c r="G93" s="487">
        <f t="shared" si="82"/>
        <v>-0.1703991131</v>
      </c>
    </row>
    <row r="94">
      <c r="A94" s="442" t="s">
        <v>271</v>
      </c>
      <c r="B94" s="304" t="s">
        <v>272</v>
      </c>
      <c r="C94" s="850">
        <v>1658.0</v>
      </c>
      <c r="D94" s="753"/>
      <c r="E94" s="850">
        <v>1100.0</v>
      </c>
      <c r="F94" s="486">
        <f t="shared" si="81"/>
        <v>-558</v>
      </c>
      <c r="G94" s="487">
        <f t="shared" si="82"/>
        <v>-0.3365500603</v>
      </c>
    </row>
    <row r="95">
      <c r="A95" s="442" t="s">
        <v>273</v>
      </c>
      <c r="B95" s="304" t="s">
        <v>274</v>
      </c>
      <c r="C95" s="850">
        <v>13944.0</v>
      </c>
      <c r="D95" s="753"/>
      <c r="E95" s="850">
        <v>9950.0</v>
      </c>
      <c r="F95" s="486">
        <f t="shared" si="81"/>
        <v>-3994</v>
      </c>
      <c r="G95" s="487">
        <f t="shared" si="82"/>
        <v>-0.28643144</v>
      </c>
    </row>
    <row r="96">
      <c r="A96" s="782" t="s">
        <v>973</v>
      </c>
      <c r="B96" s="783"/>
      <c r="C96" s="244"/>
      <c r="D96" s="244"/>
      <c r="E96" s="244"/>
      <c r="F96" s="244"/>
      <c r="G96" s="244"/>
    </row>
    <row r="97">
      <c r="A97" s="782" t="s">
        <v>974</v>
      </c>
      <c r="B97" s="783"/>
      <c r="C97" s="244"/>
      <c r="D97" s="244"/>
      <c r="E97" s="244"/>
      <c r="F97" s="244"/>
      <c r="G97" s="24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2" width="29.38"/>
    <col customWidth="1" min="3" max="3" width="17.75"/>
    <col customWidth="1" min="4" max="4" width="29.0"/>
    <col customWidth="1" min="5" max="5" width="13.0"/>
    <col customWidth="1" min="6" max="6" width="18.38"/>
    <col customWidth="1" min="7" max="7" width="23.0"/>
    <col customWidth="1" min="8" max="8" width="20.88"/>
    <col customWidth="1" min="9" max="9" width="21.75"/>
    <col customWidth="1" min="10" max="10" width="11.25"/>
    <col customWidth="1" min="11" max="11" width="11.13"/>
    <col customWidth="1" min="12" max="12" width="12.5"/>
    <col customWidth="1" min="13" max="13" width="11.5"/>
    <col customWidth="1" min="14" max="14" width="7.75"/>
    <col customWidth="1" min="15" max="15" width="9.63"/>
    <col customWidth="1" min="17" max="17" width="10.25"/>
    <col customWidth="1" min="18" max="18" width="11.25"/>
    <col customWidth="1" min="19" max="19" width="13.13"/>
    <col customWidth="1" min="20" max="21" width="13.63"/>
  </cols>
  <sheetData>
    <row r="1">
      <c r="A1" s="784" t="s">
        <v>424</v>
      </c>
      <c r="B1" s="785" t="s">
        <v>797</v>
      </c>
      <c r="C1" s="510" t="s">
        <v>3</v>
      </c>
      <c r="D1" s="510" t="s">
        <v>4</v>
      </c>
      <c r="E1" s="510" t="s">
        <v>5</v>
      </c>
      <c r="F1" s="510" t="s">
        <v>975</v>
      </c>
      <c r="G1" s="505" t="s">
        <v>786</v>
      </c>
      <c r="H1" s="505" t="s">
        <v>976</v>
      </c>
      <c r="I1" s="506" t="s">
        <v>10</v>
      </c>
      <c r="J1" s="673" t="s">
        <v>11</v>
      </c>
      <c r="K1" s="508" t="s">
        <v>13</v>
      </c>
      <c r="L1" s="851" t="s">
        <v>845</v>
      </c>
      <c r="M1" s="508" t="s">
        <v>468</v>
      </c>
      <c r="N1" s="510" t="s">
        <v>16</v>
      </c>
      <c r="O1" s="510" t="s">
        <v>17</v>
      </c>
      <c r="P1" s="735" t="s">
        <v>977</v>
      </c>
      <c r="Q1" s="735" t="s">
        <v>27</v>
      </c>
      <c r="R1" s="735" t="s">
        <v>11</v>
      </c>
      <c r="S1" s="735" t="s">
        <v>948</v>
      </c>
      <c r="T1" s="735" t="s">
        <v>786</v>
      </c>
      <c r="U1" s="735" t="s">
        <v>950</v>
      </c>
      <c r="V1" s="735" t="s">
        <v>951</v>
      </c>
      <c r="W1" s="238" t="s">
        <v>16</v>
      </c>
      <c r="X1" s="238" t="s">
        <v>17</v>
      </c>
      <c r="Y1" s="238" t="s">
        <v>947</v>
      </c>
      <c r="Z1" s="238" t="s">
        <v>952</v>
      </c>
      <c r="AA1" s="238" t="s">
        <v>953</v>
      </c>
      <c r="AB1" s="238" t="s">
        <v>954</v>
      </c>
      <c r="AC1" s="238" t="s">
        <v>28</v>
      </c>
    </row>
    <row r="2">
      <c r="A2" s="502" t="s">
        <v>733</v>
      </c>
      <c r="B2" s="502" t="s">
        <v>729</v>
      </c>
      <c r="C2" s="519" t="s">
        <v>648</v>
      </c>
      <c r="D2" s="519" t="s">
        <v>36</v>
      </c>
      <c r="E2" s="638">
        <v>7.8</v>
      </c>
      <c r="F2" s="522">
        <v>23877.0</v>
      </c>
      <c r="G2" s="526">
        <f>F2+M2+T2-AC2</f>
        <v>48471.16079</v>
      </c>
      <c r="H2" s="521">
        <v>238.77</v>
      </c>
      <c r="I2" s="852">
        <f>IFERROR(__xludf.DUMMYFUNCTION("GOOGLEFINANCE(D2,""changepct"")"),-3.3)</f>
        <v>-3.3</v>
      </c>
      <c r="J2" s="516">
        <f>IFERROR(__xludf.DUMMYFUNCTION("googlefinance(D2,""price"")"),417.41)</f>
        <v>417.41</v>
      </c>
      <c r="K2" s="516">
        <f t="shared" ref="K2:K11" si="1">(J2-H2)</f>
        <v>178.64</v>
      </c>
      <c r="L2" s="853">
        <f t="shared" ref="L2:L11" si="2">J2/H2-1</f>
        <v>0.7481676928</v>
      </c>
      <c r="M2" s="526">
        <f t="shared" ref="M2:M11" si="3">F2*L2</f>
        <v>17864</v>
      </c>
      <c r="N2" s="638" t="s">
        <v>128</v>
      </c>
      <c r="O2" s="526"/>
      <c r="P2" s="854" t="s">
        <v>36</v>
      </c>
      <c r="Q2" s="790">
        <v>251.88</v>
      </c>
      <c r="R2" s="855">
        <f>IFERROR(__xludf.DUMMYFUNCTION("googlefinance(P2,""price"")"),417.41)</f>
        <v>417.41</v>
      </c>
      <c r="S2" s="788">
        <v>25698.0</v>
      </c>
      <c r="T2" s="805">
        <f t="shared" ref="T2:T4" si="4">S2+V2</f>
        <v>42586.16079</v>
      </c>
      <c r="U2" s="856">
        <f t="shared" ref="U2:U4" si="5">R2/Q2-1</f>
        <v>0.6571780213</v>
      </c>
      <c r="V2" s="842">
        <f t="shared" ref="V2:V4" si="6">S2*U2</f>
        <v>16888.16079</v>
      </c>
      <c r="W2" s="857" t="s">
        <v>128</v>
      </c>
      <c r="X2" s="858"/>
      <c r="Y2" s="858">
        <v>43758.0</v>
      </c>
      <c r="Z2" s="238" t="s">
        <v>36</v>
      </c>
      <c r="AA2" s="211">
        <v>43790.0</v>
      </c>
      <c r="AB2" s="859">
        <v>358.56</v>
      </c>
      <c r="AC2" s="859">
        <v>35856.0</v>
      </c>
    </row>
    <row r="3">
      <c r="A3" s="860">
        <f>(G12+G19+G24+G31+G37)/D68</f>
        <v>0.5480771784</v>
      </c>
      <c r="B3" s="861">
        <f>G12/D68</f>
        <v>0.1060973875</v>
      </c>
      <c r="C3" s="519" t="s">
        <v>445</v>
      </c>
      <c r="D3" s="519" t="s">
        <v>347</v>
      </c>
      <c r="E3" s="638">
        <v>8.1</v>
      </c>
      <c r="F3" s="522">
        <v>32754.0</v>
      </c>
      <c r="G3" s="526">
        <f t="shared" ref="G3:G4" si="7">F3+M3+T3</f>
        <v>26022.1966</v>
      </c>
      <c r="H3" s="521">
        <v>163.77</v>
      </c>
      <c r="I3" s="852">
        <f>IFERROR(__xludf.DUMMYFUNCTION("GOOGLEFINANCE(D3,""changepct"")"),-1.09)</f>
        <v>-1.09</v>
      </c>
      <c r="J3" s="516">
        <f>IFERROR(__xludf.DUMMYFUNCTION("googlefinance(D3,""price"")"),84.13)</f>
        <v>84.13</v>
      </c>
      <c r="K3" s="516">
        <f t="shared" si="1"/>
        <v>-79.64</v>
      </c>
      <c r="L3" s="853">
        <f t="shared" si="2"/>
        <v>-0.4862917506</v>
      </c>
      <c r="M3" s="526">
        <f t="shared" si="3"/>
        <v>-15928</v>
      </c>
      <c r="N3" s="638" t="s">
        <v>128</v>
      </c>
      <c r="O3" s="526"/>
      <c r="P3" s="854" t="s">
        <v>347</v>
      </c>
      <c r="Q3" s="790">
        <v>171.87</v>
      </c>
      <c r="R3" s="855">
        <f>IFERROR(__xludf.DUMMYFUNCTION("googlefinance(P3,""price"")"),84.13)</f>
        <v>84.13</v>
      </c>
      <c r="S3" s="788">
        <v>18787.0</v>
      </c>
      <c r="T3" s="805">
        <f t="shared" si="4"/>
        <v>9196.196602</v>
      </c>
      <c r="U3" s="856">
        <f t="shared" si="5"/>
        <v>-0.5105021237</v>
      </c>
      <c r="V3" s="842">
        <f t="shared" si="6"/>
        <v>-9590.803398</v>
      </c>
      <c r="W3" s="862" t="s">
        <v>128</v>
      </c>
      <c r="X3" s="858"/>
      <c r="Y3" s="858">
        <v>43758.0</v>
      </c>
      <c r="Z3" s="260"/>
      <c r="AA3" s="236"/>
      <c r="AB3" s="859"/>
      <c r="AC3" s="859"/>
    </row>
    <row r="4">
      <c r="A4" s="523"/>
      <c r="B4" s="523"/>
      <c r="C4" s="519" t="s">
        <v>32</v>
      </c>
      <c r="D4" s="519" t="s">
        <v>34</v>
      </c>
      <c r="E4" s="638">
        <v>8.0</v>
      </c>
      <c r="F4" s="522">
        <v>35605.5</v>
      </c>
      <c r="G4" s="526">
        <f t="shared" si="7"/>
        <v>46645.8887</v>
      </c>
      <c r="H4" s="521">
        <v>101.73</v>
      </c>
      <c r="I4" s="852">
        <f>IFERROR(__xludf.DUMMYFUNCTION("GOOGLEFINANCE(D4,""changepct"")"),-2.94)</f>
        <v>-2.94</v>
      </c>
      <c r="J4" s="516">
        <f>IFERROR(__xludf.DUMMYFUNCTION("googlefinance(D4,""price"")"),84.05)</f>
        <v>84.05</v>
      </c>
      <c r="K4" s="516">
        <f t="shared" si="1"/>
        <v>-17.68</v>
      </c>
      <c r="L4" s="853">
        <f t="shared" si="2"/>
        <v>-0.1737933746</v>
      </c>
      <c r="M4" s="526">
        <f t="shared" si="3"/>
        <v>-6188</v>
      </c>
      <c r="N4" s="638" t="s">
        <v>128</v>
      </c>
      <c r="O4" s="526"/>
      <c r="P4" s="854" t="s">
        <v>34</v>
      </c>
      <c r="Q4" s="790">
        <v>103.86</v>
      </c>
      <c r="R4" s="855">
        <f>IFERROR(__xludf.DUMMYFUNCTION("googlefinance(P4,""price"")"),84.05)</f>
        <v>84.05</v>
      </c>
      <c r="S4" s="788">
        <v>21289.0</v>
      </c>
      <c r="T4" s="805">
        <f t="shared" si="4"/>
        <v>17228.3887</v>
      </c>
      <c r="U4" s="856">
        <f t="shared" si="5"/>
        <v>-0.1907375313</v>
      </c>
      <c r="V4" s="842">
        <f t="shared" si="6"/>
        <v>-4060.611304</v>
      </c>
      <c r="W4" s="857" t="s">
        <v>128</v>
      </c>
      <c r="X4" s="858"/>
      <c r="Y4" s="858">
        <v>43758.0</v>
      </c>
      <c r="Z4" s="260"/>
      <c r="AA4" s="257"/>
      <c r="AB4" s="863"/>
      <c r="AC4" s="863"/>
    </row>
    <row r="5">
      <c r="A5" s="523"/>
      <c r="B5" s="523"/>
      <c r="C5" s="519" t="s">
        <v>749</v>
      </c>
      <c r="D5" s="519" t="s">
        <v>582</v>
      </c>
      <c r="E5" s="638">
        <v>6.4</v>
      </c>
      <c r="F5" s="522">
        <v>34300.5</v>
      </c>
      <c r="G5" s="526">
        <f>F5+M5-AC5</f>
        <v>86025.9</v>
      </c>
      <c r="H5" s="521">
        <v>263.85</v>
      </c>
      <c r="I5" s="852">
        <f>IFERROR(__xludf.DUMMYFUNCTION("GOOGLEFINANCE(D5,""changepct"")"),-0.78)</f>
        <v>-0.78</v>
      </c>
      <c r="J5" s="516">
        <f>IFERROR(__xludf.DUMMYFUNCTION("googlefinance(D5,""price"")"),900.43)</f>
        <v>900.43</v>
      </c>
      <c r="K5" s="516">
        <f t="shared" si="1"/>
        <v>636.58</v>
      </c>
      <c r="L5" s="853">
        <f t="shared" si="2"/>
        <v>2.412658708</v>
      </c>
      <c r="M5" s="526">
        <f t="shared" si="3"/>
        <v>82755.4</v>
      </c>
      <c r="N5" s="638" t="s">
        <v>128</v>
      </c>
      <c r="O5" s="526"/>
      <c r="P5" s="864"/>
      <c r="Q5" s="790"/>
      <c r="R5" s="855"/>
      <c r="S5" s="805"/>
      <c r="T5" s="800"/>
      <c r="U5" s="856"/>
      <c r="V5" s="833"/>
      <c r="W5" s="865"/>
      <c r="X5" s="257"/>
      <c r="Y5" s="257"/>
      <c r="Z5" s="238" t="s">
        <v>582</v>
      </c>
      <c r="AA5" s="211">
        <v>43790.0</v>
      </c>
      <c r="AB5" s="859">
        <v>310.3</v>
      </c>
      <c r="AC5" s="859">
        <v>31030.0</v>
      </c>
    </row>
    <row r="6">
      <c r="A6" s="523"/>
      <c r="B6" s="523"/>
      <c r="C6" s="519" t="s">
        <v>734</v>
      </c>
      <c r="D6" s="519" t="s">
        <v>74</v>
      </c>
      <c r="E6" s="638">
        <v>7.7</v>
      </c>
      <c r="F6" s="522">
        <v>24096.6</v>
      </c>
      <c r="G6" s="526">
        <f>F6+M6</f>
        <v>76469.4</v>
      </c>
      <c r="H6" s="521">
        <v>133.87</v>
      </c>
      <c r="I6" s="852">
        <f>IFERROR(__xludf.DUMMYFUNCTION("GOOGLEFINANCE(D6,""changepct"")"),-1.32)</f>
        <v>-1.32</v>
      </c>
      <c r="J6" s="516">
        <f>IFERROR(__xludf.DUMMYFUNCTION("googlefinance(D6,""price"")"),424.83)</f>
        <v>424.83</v>
      </c>
      <c r="K6" s="516">
        <f t="shared" si="1"/>
        <v>290.96</v>
      </c>
      <c r="L6" s="853">
        <f t="shared" si="2"/>
        <v>2.173451856</v>
      </c>
      <c r="M6" s="526">
        <f t="shared" si="3"/>
        <v>52372.8</v>
      </c>
      <c r="N6" s="866">
        <v>0.014</v>
      </c>
      <c r="O6" s="522">
        <v>100.0</v>
      </c>
      <c r="P6" s="864"/>
      <c r="Q6" s="807"/>
      <c r="R6" s="855"/>
      <c r="S6" s="805"/>
      <c r="T6" s="800"/>
      <c r="U6" s="856"/>
      <c r="V6" s="833"/>
      <c r="W6" s="865"/>
      <c r="X6" s="257"/>
      <c r="Y6" s="257"/>
      <c r="Z6" s="260"/>
      <c r="AA6" s="257"/>
      <c r="AB6" s="863"/>
      <c r="AC6" s="863"/>
    </row>
    <row r="7">
      <c r="A7" s="523"/>
      <c r="B7" s="523"/>
      <c r="C7" s="519" t="s">
        <v>30</v>
      </c>
      <c r="D7" s="519" t="s">
        <v>31</v>
      </c>
      <c r="E7" s="638">
        <v>7.9</v>
      </c>
      <c r="F7" s="522">
        <v>23578.0</v>
      </c>
      <c r="G7" s="526">
        <f>F7+M7+T7-AC7</f>
        <v>-18550.80458</v>
      </c>
      <c r="H7" s="521">
        <v>1178.9</v>
      </c>
      <c r="I7" s="852">
        <f>IFERROR(__xludf.DUMMYFUNCTION("GOOGLEFINANCE(D7,""changepct"")"),-0.7)</f>
        <v>-0.7</v>
      </c>
      <c r="J7" s="516">
        <f>IFERROR(__xludf.DUMMYFUNCTION("googlefinance(D7,""price"")"),192.69)</f>
        <v>192.69</v>
      </c>
      <c r="K7" s="516">
        <f t="shared" si="1"/>
        <v>-986.21</v>
      </c>
      <c r="L7" s="853">
        <f t="shared" si="2"/>
        <v>-0.8365510221</v>
      </c>
      <c r="M7" s="526">
        <f t="shared" si="3"/>
        <v>-19724.2</v>
      </c>
      <c r="N7" s="638" t="s">
        <v>128</v>
      </c>
      <c r="O7" s="526"/>
      <c r="P7" s="854" t="s">
        <v>31</v>
      </c>
      <c r="Q7" s="790">
        <v>1245.887</v>
      </c>
      <c r="R7" s="855">
        <f>IFERROR(__xludf.DUMMYFUNCTION("googlefinance(P7,""price"")"),192.69)</f>
        <v>192.69</v>
      </c>
      <c r="S7" s="788">
        <v>23900.0</v>
      </c>
      <c r="T7" s="805">
        <f>S7+V7</f>
        <v>3696.395419</v>
      </c>
      <c r="U7" s="856">
        <f>R7/Q7-1</f>
        <v>-0.8453391038</v>
      </c>
      <c r="V7" s="842">
        <f>S7*U7</f>
        <v>-20203.60458</v>
      </c>
      <c r="W7" s="857" t="s">
        <v>128</v>
      </c>
      <c r="X7" s="858"/>
      <c r="Y7" s="858">
        <v>43758.0</v>
      </c>
      <c r="Z7" s="238" t="s">
        <v>31</v>
      </c>
      <c r="AA7" s="211">
        <v>43790.0</v>
      </c>
      <c r="AB7" s="859">
        <v>1305.07</v>
      </c>
      <c r="AC7" s="859">
        <v>26101.0</v>
      </c>
    </row>
    <row r="8">
      <c r="A8" s="523"/>
      <c r="B8" s="523"/>
      <c r="C8" s="519" t="s">
        <v>898</v>
      </c>
      <c r="D8" s="519" t="s">
        <v>899</v>
      </c>
      <c r="E8" s="638">
        <v>6.8</v>
      </c>
      <c r="F8" s="522">
        <v>20844.0</v>
      </c>
      <c r="G8" s="526">
        <f>F8+M8-AC8</f>
        <v>-915</v>
      </c>
      <c r="H8" s="521">
        <v>52.11</v>
      </c>
      <c r="I8" s="852" t="str">
        <f>IFERROR(__xludf.DUMMYFUNCTION("GOOGLEFINANCE(D8,""changepct"")"),"#N/A")</f>
        <v>#N/A</v>
      </c>
      <c r="J8" s="597">
        <v>52.11</v>
      </c>
      <c r="K8" s="516">
        <f t="shared" si="1"/>
        <v>0</v>
      </c>
      <c r="L8" s="853">
        <f t="shared" si="2"/>
        <v>0</v>
      </c>
      <c r="M8" s="526">
        <f t="shared" si="3"/>
        <v>0</v>
      </c>
      <c r="N8" s="638" t="s">
        <v>128</v>
      </c>
      <c r="O8" s="526"/>
      <c r="P8" s="864"/>
      <c r="Q8" s="807"/>
      <c r="R8" s="855"/>
      <c r="S8" s="805"/>
      <c r="T8" s="800"/>
      <c r="U8" s="856"/>
      <c r="V8" s="833"/>
      <c r="W8" s="865"/>
      <c r="X8" s="257"/>
      <c r="Y8" s="257"/>
      <c r="Z8" s="238" t="s">
        <v>899</v>
      </c>
      <c r="AA8" s="211">
        <v>43790.0</v>
      </c>
      <c r="AB8" s="859">
        <v>72.53</v>
      </c>
      <c r="AC8" s="859">
        <v>21759.0</v>
      </c>
    </row>
    <row r="9">
      <c r="A9" s="523"/>
      <c r="B9" s="523"/>
      <c r="C9" s="519" t="s">
        <v>380</v>
      </c>
      <c r="D9" s="519" t="s">
        <v>53</v>
      </c>
      <c r="E9" s="638">
        <v>6.9</v>
      </c>
      <c r="F9" s="522">
        <v>17125.0</v>
      </c>
      <c r="G9" s="526">
        <f>F9+M9+T9-AC9</f>
        <v>-4157.361918</v>
      </c>
      <c r="H9" s="521">
        <v>171.25</v>
      </c>
      <c r="I9" s="852">
        <f>IFERROR(__xludf.DUMMYFUNCTION("GOOGLEFINANCE(D9,""changepct"")"),0.35)</f>
        <v>0.35</v>
      </c>
      <c r="J9" s="516">
        <f>IFERROR(__xludf.DUMMYFUNCTION("googlefinance(D9,""price"")"),137.49)</f>
        <v>137.49</v>
      </c>
      <c r="K9" s="516">
        <f t="shared" si="1"/>
        <v>-33.76</v>
      </c>
      <c r="L9" s="853">
        <f t="shared" si="2"/>
        <v>-0.1971386861</v>
      </c>
      <c r="M9" s="526">
        <f t="shared" si="3"/>
        <v>-3376</v>
      </c>
      <c r="N9" s="638" t="s">
        <v>128</v>
      </c>
      <c r="O9" s="526"/>
      <c r="P9" s="854" t="s">
        <v>53</v>
      </c>
      <c r="Q9" s="790">
        <v>193.87</v>
      </c>
      <c r="R9" s="855">
        <f>IFERROR(__xludf.DUMMYFUNCTION("googlefinance(P9,""price"")"),137.49)</f>
        <v>137.49</v>
      </c>
      <c r="S9" s="788">
        <v>19500.0</v>
      </c>
      <c r="T9" s="805">
        <f>S9+V9</f>
        <v>13829.13808</v>
      </c>
      <c r="U9" s="856">
        <f>R9/Q9-1</f>
        <v>-0.2908134317</v>
      </c>
      <c r="V9" s="842">
        <f>S9*U9</f>
        <v>-5670.861918</v>
      </c>
      <c r="W9" s="857" t="s">
        <v>128</v>
      </c>
      <c r="X9" s="858"/>
      <c r="Y9" s="858">
        <v>43758.0</v>
      </c>
      <c r="Z9" s="238" t="s">
        <v>53</v>
      </c>
      <c r="AA9" s="257"/>
      <c r="AB9" s="859">
        <v>211.57</v>
      </c>
      <c r="AC9" s="859">
        <v>31735.5</v>
      </c>
    </row>
    <row r="10">
      <c r="A10" s="523"/>
      <c r="B10" s="523"/>
      <c r="C10" s="519" t="s">
        <v>344</v>
      </c>
      <c r="D10" s="519" t="s">
        <v>978</v>
      </c>
      <c r="E10" s="638">
        <v>7.2</v>
      </c>
      <c r="F10" s="522">
        <v>20445.0</v>
      </c>
      <c r="G10" s="526">
        <f t="shared" ref="G10:G11" si="8">F10+M10</f>
        <v>26615</v>
      </c>
      <c r="H10" s="521">
        <v>40.89</v>
      </c>
      <c r="I10" s="852">
        <f>IFERROR(__xludf.DUMMYFUNCTION("GOOGLEFINANCE(D10,""changepct"")"),-0.69)</f>
        <v>-0.69</v>
      </c>
      <c r="J10" s="516">
        <f>IFERROR(__xludf.DUMMYFUNCTION("googlefinance(D10,""price"")"),53.23)</f>
        <v>53.23</v>
      </c>
      <c r="K10" s="516">
        <f t="shared" si="1"/>
        <v>12.34</v>
      </c>
      <c r="L10" s="853">
        <f t="shared" si="2"/>
        <v>0.3017852776</v>
      </c>
      <c r="M10" s="526">
        <f t="shared" si="3"/>
        <v>6170</v>
      </c>
      <c r="N10" s="866">
        <v>0.0063</v>
      </c>
      <c r="O10" s="522">
        <v>35.0</v>
      </c>
      <c r="P10" s="864"/>
      <c r="Q10" s="807"/>
      <c r="R10" s="855"/>
      <c r="S10" s="805"/>
      <c r="T10" s="800"/>
      <c r="U10" s="856"/>
      <c r="V10" s="833"/>
      <c r="W10" s="865"/>
      <c r="X10" s="257"/>
      <c r="Y10" s="257"/>
      <c r="Z10" s="260"/>
      <c r="AA10" s="257"/>
      <c r="AB10" s="863"/>
      <c r="AC10" s="863"/>
    </row>
    <row r="11">
      <c r="A11" s="523"/>
      <c r="B11" s="523"/>
      <c r="C11" s="519" t="s">
        <v>846</v>
      </c>
      <c r="D11" s="519" t="s">
        <v>652</v>
      </c>
      <c r="E11" s="638">
        <v>6.9</v>
      </c>
      <c r="F11" s="522">
        <v>23920.0</v>
      </c>
      <c r="G11" s="526">
        <f t="shared" si="8"/>
        <v>77920</v>
      </c>
      <c r="H11" s="521">
        <v>2.99</v>
      </c>
      <c r="I11" s="852">
        <f>IFERROR(__xludf.DUMMYFUNCTION("GOOGLEFINANCE(D11,""changepct"")"),13.39)</f>
        <v>13.39</v>
      </c>
      <c r="J11" s="516">
        <f>IFERROR(__xludf.DUMMYFUNCTION("googlefinance(D11,""price"")"),9.74)</f>
        <v>9.74</v>
      </c>
      <c r="K11" s="516">
        <f t="shared" si="1"/>
        <v>6.75</v>
      </c>
      <c r="L11" s="853">
        <f t="shared" si="2"/>
        <v>2.257525084</v>
      </c>
      <c r="M11" s="526">
        <f t="shared" si="3"/>
        <v>54000</v>
      </c>
      <c r="N11" s="638" t="s">
        <v>128</v>
      </c>
      <c r="O11" s="526"/>
      <c r="P11" s="864"/>
      <c r="Q11" s="807"/>
      <c r="R11" s="855"/>
      <c r="S11" s="805"/>
      <c r="T11" s="800"/>
      <c r="U11" s="856"/>
      <c r="V11" s="833"/>
      <c r="W11" s="865"/>
      <c r="X11" s="257"/>
      <c r="Y11" s="257"/>
      <c r="Z11" s="260"/>
      <c r="AA11" s="257"/>
      <c r="AB11" s="863"/>
      <c r="AC11" s="863"/>
    </row>
    <row r="12">
      <c r="A12" s="867"/>
      <c r="B12" s="868" t="s">
        <v>89</v>
      </c>
      <c r="C12" s="868"/>
      <c r="D12" s="868"/>
      <c r="E12" s="869" t="s">
        <v>128</v>
      </c>
      <c r="F12" s="870">
        <f t="shared" ref="F12:G12" si="9">SUM(F2:F11)</f>
        <v>256545.6</v>
      </c>
      <c r="G12" s="870">
        <f t="shared" si="9"/>
        <v>364546.3796</v>
      </c>
      <c r="H12" s="871" t="s">
        <v>128</v>
      </c>
      <c r="I12" s="869" t="s">
        <v>128</v>
      </c>
      <c r="J12" s="871" t="s">
        <v>128</v>
      </c>
      <c r="K12" s="869" t="s">
        <v>128</v>
      </c>
      <c r="L12" s="853">
        <f>M12/F12</f>
        <v>0.6546438528</v>
      </c>
      <c r="M12" s="870">
        <f>SUM(M2:M11)</f>
        <v>167946</v>
      </c>
      <c r="N12" s="872"/>
      <c r="O12" s="870">
        <f>SUM(O2:O11)</f>
        <v>135</v>
      </c>
      <c r="P12" s="864"/>
      <c r="Q12" s="807"/>
      <c r="R12" s="855"/>
      <c r="S12" s="805"/>
      <c r="T12" s="800"/>
      <c r="U12" s="856"/>
      <c r="V12" s="833"/>
      <c r="W12" s="865"/>
      <c r="X12" s="257"/>
      <c r="Y12" s="257"/>
      <c r="Z12" s="260"/>
      <c r="AA12" s="257"/>
      <c r="AB12" s="863"/>
      <c r="AC12" s="863"/>
    </row>
    <row r="13">
      <c r="A13" s="873"/>
      <c r="B13" s="785" t="s">
        <v>807</v>
      </c>
      <c r="C13" s="510" t="s">
        <v>3</v>
      </c>
      <c r="D13" s="510" t="s">
        <v>4</v>
      </c>
      <c r="E13" s="510" t="s">
        <v>5</v>
      </c>
      <c r="F13" s="544" t="s">
        <v>975</v>
      </c>
      <c r="G13" s="505" t="s">
        <v>786</v>
      </c>
      <c r="H13" s="673" t="s">
        <v>976</v>
      </c>
      <c r="I13" s="874" t="s">
        <v>10</v>
      </c>
      <c r="J13" s="673" t="s">
        <v>11</v>
      </c>
      <c r="K13" s="508" t="s">
        <v>13</v>
      </c>
      <c r="L13" s="875" t="s">
        <v>845</v>
      </c>
      <c r="M13" s="508" t="s">
        <v>468</v>
      </c>
      <c r="N13" s="510" t="s">
        <v>16</v>
      </c>
      <c r="O13" s="510" t="s">
        <v>17</v>
      </c>
      <c r="P13" s="864"/>
      <c r="Q13" s="807"/>
      <c r="R13" s="855"/>
      <c r="S13" s="805"/>
      <c r="T13" s="800"/>
      <c r="U13" s="856"/>
      <c r="V13" s="833"/>
      <c r="W13" s="865"/>
      <c r="X13" s="257"/>
      <c r="Y13" s="257"/>
      <c r="Z13" s="260"/>
      <c r="AA13" s="257"/>
      <c r="AB13" s="863"/>
      <c r="AC13" s="863"/>
    </row>
    <row r="14">
      <c r="A14" s="523"/>
      <c r="B14" s="502" t="s">
        <v>729</v>
      </c>
      <c r="C14" s="519" t="s">
        <v>589</v>
      </c>
      <c r="D14" s="519" t="s">
        <v>315</v>
      </c>
      <c r="E14" s="638">
        <v>7.8</v>
      </c>
      <c r="F14" s="522">
        <v>49688.0</v>
      </c>
      <c r="G14" s="526">
        <f t="shared" ref="G14:G15" si="10">F14+M14+T14-AC14</f>
        <v>87019.17293</v>
      </c>
      <c r="H14" s="521">
        <v>62.11</v>
      </c>
      <c r="I14" s="852">
        <f>IFERROR(__xludf.DUMMYFUNCTION("GOOGLEFINANCE(D14,""changepct"")"),-2.23)</f>
        <v>-2.23</v>
      </c>
      <c r="J14" s="516">
        <f>IFERROR(__xludf.DUMMYFUNCTION("googlefinance(D14,""price"")"),92.01)</f>
        <v>92.01</v>
      </c>
      <c r="K14" s="525">
        <f t="shared" ref="K14:K18" si="11">J14-H14</f>
        <v>29.9</v>
      </c>
      <c r="L14" s="853">
        <f t="shared" ref="L14:L18" si="12">J14/H14-1</f>
        <v>0.4814039607</v>
      </c>
      <c r="M14" s="526">
        <f t="shared" ref="M14:M18" si="13">F14*L14</f>
        <v>23920</v>
      </c>
      <c r="N14" s="866">
        <v>0.039</v>
      </c>
      <c r="O14" s="522">
        <v>505.0</v>
      </c>
      <c r="P14" s="854" t="s">
        <v>315</v>
      </c>
      <c r="Q14" s="790">
        <v>64.71</v>
      </c>
      <c r="R14" s="855">
        <f>IFERROR(__xludf.DUMMYFUNCTION("googlefinance(P14,""price"")"),92.01)</f>
        <v>92.01</v>
      </c>
      <c r="S14" s="788">
        <v>32500.0</v>
      </c>
      <c r="T14" s="805">
        <f t="shared" ref="T14:T15" si="14">S14+V14</f>
        <v>46211.17293</v>
      </c>
      <c r="U14" s="856">
        <f t="shared" ref="U14:U15" si="15">R14/Q14-1</f>
        <v>0.4218822439</v>
      </c>
      <c r="V14" s="842">
        <f t="shared" ref="V14:V15" si="16">S14*U14</f>
        <v>13711.17293</v>
      </c>
      <c r="W14" s="862" t="s">
        <v>128</v>
      </c>
      <c r="X14" s="858"/>
      <c r="Y14" s="858">
        <v>43758.0</v>
      </c>
      <c r="Z14" s="238" t="s">
        <v>315</v>
      </c>
      <c r="AA14" s="211">
        <v>43790.0</v>
      </c>
      <c r="AB14" s="859">
        <v>65.6</v>
      </c>
      <c r="AC14" s="859">
        <v>32800.0</v>
      </c>
    </row>
    <row r="15">
      <c r="A15" s="523"/>
      <c r="B15" s="861">
        <f>G19/D68</f>
        <v>0.07896622792</v>
      </c>
      <c r="C15" s="519" t="s">
        <v>750</v>
      </c>
      <c r="D15" s="519" t="s">
        <v>317</v>
      </c>
      <c r="E15" s="638">
        <v>7.7</v>
      </c>
      <c r="F15" s="522">
        <v>50240.0</v>
      </c>
      <c r="G15" s="526">
        <f t="shared" si="10"/>
        <v>47334.12756</v>
      </c>
      <c r="H15" s="521">
        <v>50.24</v>
      </c>
      <c r="I15" s="852">
        <f>IFERROR(__xludf.DUMMYFUNCTION("GOOGLEFINANCE(D15,""changepct"")"),-2.81)</f>
        <v>-2.81</v>
      </c>
      <c r="J15" s="516">
        <f>IFERROR(__xludf.DUMMYFUNCTION("googlefinance(D15,""price"")"),56.06)</f>
        <v>56.06</v>
      </c>
      <c r="K15" s="525">
        <f t="shared" si="11"/>
        <v>5.82</v>
      </c>
      <c r="L15" s="853">
        <f t="shared" si="12"/>
        <v>0.115843949</v>
      </c>
      <c r="M15" s="526">
        <f t="shared" si="13"/>
        <v>5820</v>
      </c>
      <c r="N15" s="866">
        <v>0.0281</v>
      </c>
      <c r="O15" s="522">
        <v>417.0</v>
      </c>
      <c r="P15" s="854" t="s">
        <v>317</v>
      </c>
      <c r="Q15" s="790">
        <v>52.21</v>
      </c>
      <c r="R15" s="855">
        <f>IFERROR(__xludf.DUMMYFUNCTION("googlefinance(P15,""price"")"),56.06)</f>
        <v>56.06</v>
      </c>
      <c r="S15" s="788">
        <v>26500.0</v>
      </c>
      <c r="T15" s="805">
        <f t="shared" si="14"/>
        <v>28454.12756</v>
      </c>
      <c r="U15" s="856">
        <f t="shared" si="15"/>
        <v>0.07374066271</v>
      </c>
      <c r="V15" s="842">
        <f t="shared" si="16"/>
        <v>1954.127562</v>
      </c>
      <c r="W15" s="857" t="s">
        <v>128</v>
      </c>
      <c r="X15" s="858"/>
      <c r="Y15" s="858">
        <v>43758.0</v>
      </c>
      <c r="Z15" s="238" t="s">
        <v>317</v>
      </c>
      <c r="AA15" s="211">
        <v>43790.0</v>
      </c>
      <c r="AB15" s="859">
        <v>57.2</v>
      </c>
      <c r="AC15" s="859">
        <v>37180.0</v>
      </c>
    </row>
    <row r="16">
      <c r="A16" s="523"/>
      <c r="B16" s="523"/>
      <c r="C16" s="519" t="s">
        <v>854</v>
      </c>
      <c r="D16" s="519" t="s">
        <v>855</v>
      </c>
      <c r="E16" s="638">
        <v>6.9</v>
      </c>
      <c r="F16" s="522">
        <v>22347.0</v>
      </c>
      <c r="G16" s="526">
        <f t="shared" ref="G16:G17" si="17">F16+M16</f>
        <v>15019</v>
      </c>
      <c r="H16" s="521">
        <v>223.47</v>
      </c>
      <c r="I16" s="852">
        <f>IFERROR(__xludf.DUMMYFUNCTION("GOOGLEFINANCE(D16,""changepct"")"),-0.74)</f>
        <v>-0.74</v>
      </c>
      <c r="J16" s="516">
        <f>IFERROR(__xludf.DUMMYFUNCTION("googlefinance(D16,""price"")"),150.19)</f>
        <v>150.19</v>
      </c>
      <c r="K16" s="525">
        <f t="shared" si="11"/>
        <v>-73.28</v>
      </c>
      <c r="L16" s="853">
        <f t="shared" si="12"/>
        <v>-0.3279187363</v>
      </c>
      <c r="M16" s="526">
        <f t="shared" si="13"/>
        <v>-7328</v>
      </c>
      <c r="N16" s="638" t="s">
        <v>128</v>
      </c>
      <c r="O16" s="526"/>
      <c r="P16" s="864"/>
      <c r="Q16" s="807"/>
      <c r="R16" s="855"/>
      <c r="S16" s="805"/>
      <c r="T16" s="800"/>
      <c r="U16" s="856"/>
      <c r="V16" s="833"/>
      <c r="W16" s="865"/>
      <c r="X16" s="257"/>
      <c r="Y16" s="257"/>
      <c r="Z16" s="260"/>
      <c r="AA16" s="257"/>
      <c r="AB16" s="863"/>
      <c r="AC16" s="863"/>
    </row>
    <row r="17">
      <c r="A17" s="523"/>
      <c r="B17" s="523"/>
      <c r="C17" s="519" t="s">
        <v>810</v>
      </c>
      <c r="D17" s="519" t="s">
        <v>811</v>
      </c>
      <c r="E17" s="638">
        <v>6.7</v>
      </c>
      <c r="F17" s="522">
        <v>39825.0</v>
      </c>
      <c r="G17" s="526">
        <f t="shared" si="17"/>
        <v>55365</v>
      </c>
      <c r="H17" s="521">
        <v>26.55</v>
      </c>
      <c r="I17" s="852">
        <f>IFERROR(__xludf.DUMMYFUNCTION("GOOGLEFINANCE(D17,""changepct"")"),-0.73)</f>
        <v>-0.73</v>
      </c>
      <c r="J17" s="516">
        <f>IFERROR(__xludf.DUMMYFUNCTION("googlefinance(D17,""price"")"),36.91)</f>
        <v>36.91</v>
      </c>
      <c r="K17" s="525">
        <f t="shared" si="11"/>
        <v>10.36</v>
      </c>
      <c r="L17" s="853">
        <f t="shared" si="12"/>
        <v>0.3902071563</v>
      </c>
      <c r="M17" s="526">
        <f t="shared" si="13"/>
        <v>15540</v>
      </c>
      <c r="N17" s="638" t="s">
        <v>128</v>
      </c>
      <c r="O17" s="526"/>
      <c r="P17" s="864"/>
      <c r="Q17" s="807"/>
      <c r="R17" s="855"/>
      <c r="S17" s="805"/>
      <c r="T17" s="800"/>
      <c r="U17" s="856"/>
      <c r="V17" s="833"/>
      <c r="W17" s="865"/>
      <c r="X17" s="257"/>
      <c r="Y17" s="257"/>
      <c r="Z17" s="260"/>
      <c r="AA17" s="257"/>
      <c r="AB17" s="863"/>
      <c r="AC17" s="863"/>
    </row>
    <row r="18">
      <c r="A18" s="523"/>
      <c r="B18" s="523"/>
      <c r="C18" s="631" t="s">
        <v>111</v>
      </c>
      <c r="D18" s="344" t="s">
        <v>112</v>
      </c>
      <c r="E18" s="638">
        <v>7.4</v>
      </c>
      <c r="F18" s="522">
        <v>36225.0</v>
      </c>
      <c r="G18" s="526">
        <f>F18+M18-AC18</f>
        <v>66587.5</v>
      </c>
      <c r="H18" s="521">
        <v>72.45</v>
      </c>
      <c r="I18" s="852">
        <f>IFERROR(__xludf.DUMMYFUNCTION("GOOGLEFINANCE(D18,""changepct"")"),-1.02)</f>
        <v>-1.02</v>
      </c>
      <c r="J18" s="516">
        <f>IFERROR(__xludf.DUMMYFUNCTION("googlefinance(D18,""price"")"),176.2)</f>
        <v>176.2</v>
      </c>
      <c r="K18" s="525">
        <f t="shared" si="11"/>
        <v>103.75</v>
      </c>
      <c r="L18" s="853">
        <f t="shared" si="12"/>
        <v>1.432022084</v>
      </c>
      <c r="M18" s="526">
        <f t="shared" si="13"/>
        <v>51875</v>
      </c>
      <c r="N18" s="866">
        <v>0.0546</v>
      </c>
      <c r="O18" s="522">
        <v>299.0</v>
      </c>
      <c r="P18" s="864"/>
      <c r="Q18" s="807"/>
      <c r="R18" s="855"/>
      <c r="S18" s="805"/>
      <c r="T18" s="800"/>
      <c r="U18" s="856"/>
      <c r="V18" s="833"/>
      <c r="W18" s="865"/>
      <c r="X18" s="257"/>
      <c r="Y18" s="257"/>
      <c r="Z18" s="238" t="s">
        <v>112</v>
      </c>
      <c r="AA18" s="211">
        <v>43790.0</v>
      </c>
      <c r="AB18" s="859">
        <v>87.29</v>
      </c>
      <c r="AC18" s="859">
        <v>21512.5</v>
      </c>
    </row>
    <row r="19">
      <c r="A19" s="867"/>
      <c r="B19" s="876" t="s">
        <v>89</v>
      </c>
      <c r="C19" s="877"/>
      <c r="D19" s="620"/>
      <c r="E19" s="869" t="s">
        <v>128</v>
      </c>
      <c r="F19" s="870">
        <f t="shared" ref="F19:G19" si="18">SUM(F14:F18)</f>
        <v>198325</v>
      </c>
      <c r="G19" s="870">
        <f t="shared" si="18"/>
        <v>271324.8005</v>
      </c>
      <c r="H19" s="869" t="s">
        <v>128</v>
      </c>
      <c r="I19" s="869" t="s">
        <v>128</v>
      </c>
      <c r="J19" s="869" t="s">
        <v>128</v>
      </c>
      <c r="K19" s="869" t="s">
        <v>128</v>
      </c>
      <c r="L19" s="878">
        <f>M19/F19</f>
        <v>0.4529282743</v>
      </c>
      <c r="M19" s="870">
        <f>SUM(M14:M18)</f>
        <v>89827</v>
      </c>
      <c r="N19" s="872"/>
      <c r="O19" s="870">
        <f>SUM(O14:O18)</f>
        <v>1221</v>
      </c>
      <c r="P19" s="864"/>
      <c r="Q19" s="807"/>
      <c r="R19" s="855"/>
      <c r="S19" s="805"/>
      <c r="T19" s="800"/>
      <c r="U19" s="856"/>
      <c r="V19" s="833"/>
      <c r="W19" s="865"/>
      <c r="X19" s="257"/>
      <c r="Y19" s="257"/>
      <c r="Z19" s="260"/>
      <c r="AA19" s="257"/>
      <c r="AB19" s="863"/>
      <c r="AC19" s="863"/>
    </row>
    <row r="20">
      <c r="A20" s="873"/>
      <c r="B20" s="785" t="s">
        <v>979</v>
      </c>
      <c r="C20" s="510" t="s">
        <v>3</v>
      </c>
      <c r="D20" s="510" t="s">
        <v>4</v>
      </c>
      <c r="E20" s="510" t="s">
        <v>5</v>
      </c>
      <c r="F20" s="544" t="s">
        <v>975</v>
      </c>
      <c r="G20" s="505" t="s">
        <v>786</v>
      </c>
      <c r="H20" s="673" t="s">
        <v>976</v>
      </c>
      <c r="I20" s="874" t="s">
        <v>10</v>
      </c>
      <c r="J20" s="673" t="s">
        <v>11</v>
      </c>
      <c r="K20" s="508" t="s">
        <v>13</v>
      </c>
      <c r="L20" s="875" t="s">
        <v>845</v>
      </c>
      <c r="M20" s="508" t="s">
        <v>468</v>
      </c>
      <c r="N20" s="510" t="s">
        <v>16</v>
      </c>
      <c r="O20" s="510" t="s">
        <v>17</v>
      </c>
      <c r="P20" s="864"/>
      <c r="Q20" s="807"/>
      <c r="R20" s="855"/>
      <c r="S20" s="805"/>
      <c r="T20" s="800"/>
      <c r="U20" s="856"/>
      <c r="V20" s="833"/>
      <c r="W20" s="865"/>
      <c r="X20" s="257"/>
      <c r="Y20" s="257"/>
      <c r="Z20" s="260"/>
      <c r="AA20" s="257"/>
      <c r="AB20" s="863"/>
      <c r="AC20" s="863"/>
    </row>
    <row r="21">
      <c r="A21" s="523"/>
      <c r="B21" s="502" t="s">
        <v>729</v>
      </c>
      <c r="C21" s="631" t="s">
        <v>483</v>
      </c>
      <c r="D21" s="631" t="s">
        <v>484</v>
      </c>
      <c r="E21" s="638">
        <v>7.3</v>
      </c>
      <c r="F21" s="522">
        <v>37450.0</v>
      </c>
      <c r="G21" s="522">
        <f>F21+M21+T21-AC21</f>
        <v>5899.386526</v>
      </c>
      <c r="H21" s="521">
        <v>37.45</v>
      </c>
      <c r="I21" s="852">
        <f>IFERROR(__xludf.DUMMYFUNCTION("GOOGLEFINANCE(D21,""changepct"")"),-1.09)</f>
        <v>-1.09</v>
      </c>
      <c r="J21" s="516">
        <f>IFERROR(__xludf.DUMMYFUNCTION("googlefinance(D21,""price"")"),22.61)</f>
        <v>22.61</v>
      </c>
      <c r="K21" s="525">
        <f t="shared" ref="K21:K23" si="19">J21-H21</f>
        <v>-14.84</v>
      </c>
      <c r="L21" s="853">
        <f t="shared" ref="L21:L23" si="20">J21/H21-1</f>
        <v>-0.3962616822</v>
      </c>
      <c r="M21" s="526">
        <f t="shared" ref="M21:M23" si="21">F21*L21</f>
        <v>-14840</v>
      </c>
      <c r="N21" s="866">
        <v>0.0521</v>
      </c>
      <c r="O21" s="522">
        <v>408.0</v>
      </c>
      <c r="P21" s="854" t="s">
        <v>484</v>
      </c>
      <c r="Q21" s="790">
        <v>37.85</v>
      </c>
      <c r="R21" s="855">
        <f>IFERROR(__xludf.DUMMYFUNCTION("googlefinance(P21,""price"")"),22.61)</f>
        <v>22.61</v>
      </c>
      <c r="S21" s="788">
        <v>22488.0</v>
      </c>
      <c r="T21" s="805">
        <f t="shared" ref="T21:T23" si="22">S21+V21</f>
        <v>13433.38653</v>
      </c>
      <c r="U21" s="856">
        <f t="shared" ref="U21:U23" si="23">R21/Q21-1</f>
        <v>-0.4026420079</v>
      </c>
      <c r="V21" s="842">
        <f t="shared" ref="V21:V23" si="24">S21*U21</f>
        <v>-9054.613474</v>
      </c>
      <c r="W21" s="862" t="s">
        <v>128</v>
      </c>
      <c r="X21" s="858"/>
      <c r="Y21" s="858">
        <v>43758.0</v>
      </c>
      <c r="Z21" s="238" t="s">
        <v>484</v>
      </c>
      <c r="AA21" s="211">
        <v>43790.0</v>
      </c>
      <c r="AB21" s="859">
        <v>37.68</v>
      </c>
      <c r="AC21" s="859">
        <v>30144.0</v>
      </c>
    </row>
    <row r="22">
      <c r="A22" s="523"/>
      <c r="B22" s="861">
        <f>G24/D68</f>
        <v>0.2140238311</v>
      </c>
      <c r="C22" s="631" t="s">
        <v>980</v>
      </c>
      <c r="D22" s="631" t="s">
        <v>956</v>
      </c>
      <c r="E22" s="638">
        <v>7.1</v>
      </c>
      <c r="F22" s="522">
        <v>18933.0</v>
      </c>
      <c r="G22" s="522">
        <f>F22+M22+T22</f>
        <v>233331.9765</v>
      </c>
      <c r="H22" s="521">
        <v>189.33</v>
      </c>
      <c r="I22" s="852">
        <f>IFERROR(__xludf.DUMMYFUNCTION("GOOGLEFINANCE(D22,""changepct"")"),-0.34)</f>
        <v>-0.34</v>
      </c>
      <c r="J22" s="516">
        <f>IFERROR(__xludf.DUMMYFUNCTION("googlefinance(D22,""price"")"),1168.0)</f>
        <v>1168</v>
      </c>
      <c r="K22" s="525">
        <f t="shared" si="19"/>
        <v>978.67</v>
      </c>
      <c r="L22" s="853">
        <f t="shared" si="20"/>
        <v>5.169122696</v>
      </c>
      <c r="M22" s="526">
        <f t="shared" si="21"/>
        <v>97867</v>
      </c>
      <c r="N22" s="866">
        <v>0.0175</v>
      </c>
      <c r="O22" s="522">
        <v>194.0</v>
      </c>
      <c r="P22" s="854" t="s">
        <v>956</v>
      </c>
      <c r="Q22" s="790">
        <v>200.46</v>
      </c>
      <c r="R22" s="855">
        <f>IFERROR(__xludf.DUMMYFUNCTION("googlefinance(P22,""price"")"),1168.0)</f>
        <v>1168</v>
      </c>
      <c r="S22" s="788">
        <v>20000.0</v>
      </c>
      <c r="T22" s="805">
        <f t="shared" si="22"/>
        <v>116531.9765</v>
      </c>
      <c r="U22" s="856">
        <f t="shared" si="23"/>
        <v>4.826598823</v>
      </c>
      <c r="V22" s="842">
        <f t="shared" si="24"/>
        <v>96531.97645</v>
      </c>
      <c r="W22" s="862" t="s">
        <v>128</v>
      </c>
      <c r="X22" s="858"/>
      <c r="Y22" s="858">
        <v>43758.0</v>
      </c>
      <c r="Z22" s="260"/>
      <c r="AA22" s="257"/>
      <c r="AB22" s="863"/>
      <c r="AC22" s="863"/>
    </row>
    <row r="23">
      <c r="A23" s="523"/>
      <c r="B23" s="523"/>
      <c r="C23" s="631" t="s">
        <v>981</v>
      </c>
      <c r="D23" s="631" t="s">
        <v>765</v>
      </c>
      <c r="E23" s="638">
        <v>5.7</v>
      </c>
      <c r="F23" s="522">
        <v>8570.0</v>
      </c>
      <c r="G23" s="522">
        <f>F23+M23+T23-AC23</f>
        <v>496145.9596</v>
      </c>
      <c r="H23" s="521">
        <v>8.57</v>
      </c>
      <c r="I23" s="852">
        <f>IFERROR(__xludf.DUMMYFUNCTION("GOOGLEFINANCE(D23,""changepct"")"),-1.16)</f>
        <v>-1.16</v>
      </c>
      <c r="J23" s="516">
        <f>IFERROR(__xludf.DUMMYFUNCTION("googlefinance(D23,""price"")"),168.1)</f>
        <v>168.1</v>
      </c>
      <c r="K23" s="525">
        <f t="shared" si="19"/>
        <v>159.53</v>
      </c>
      <c r="L23" s="853">
        <f t="shared" si="20"/>
        <v>18.61493582</v>
      </c>
      <c r="M23" s="526">
        <f t="shared" si="21"/>
        <v>159530</v>
      </c>
      <c r="N23" s="866">
        <v>0.0035</v>
      </c>
      <c r="O23" s="522">
        <v>17.0</v>
      </c>
      <c r="P23" s="854" t="s">
        <v>765</v>
      </c>
      <c r="Q23" s="790">
        <v>8.91</v>
      </c>
      <c r="R23" s="855">
        <f>IFERROR(__xludf.DUMMYFUNCTION("googlefinance(P23,""price"")"),168.1)</f>
        <v>168.1</v>
      </c>
      <c r="S23" s="788">
        <v>18000.0</v>
      </c>
      <c r="T23" s="805">
        <f t="shared" si="22"/>
        <v>339595.9596</v>
      </c>
      <c r="U23" s="856">
        <f t="shared" si="23"/>
        <v>17.8664422</v>
      </c>
      <c r="V23" s="842">
        <f t="shared" si="24"/>
        <v>321595.9596</v>
      </c>
      <c r="W23" s="862" t="s">
        <v>128</v>
      </c>
      <c r="X23" s="858"/>
      <c r="Y23" s="858">
        <v>43758.0</v>
      </c>
      <c r="Z23" s="238" t="s">
        <v>765</v>
      </c>
      <c r="AA23" s="211">
        <v>43790.0</v>
      </c>
      <c r="AB23" s="859">
        <v>11.55</v>
      </c>
      <c r="AC23" s="859">
        <v>11550.0</v>
      </c>
    </row>
    <row r="24">
      <c r="A24" s="867"/>
      <c r="B24" s="876" t="s">
        <v>89</v>
      </c>
      <c r="C24" s="877"/>
      <c r="D24" s="877"/>
      <c r="E24" s="869" t="s">
        <v>128</v>
      </c>
      <c r="F24" s="870">
        <f t="shared" ref="F24:G24" si="25">SUM(F21:F23)</f>
        <v>64953</v>
      </c>
      <c r="G24" s="870">
        <f t="shared" si="25"/>
        <v>735377.3226</v>
      </c>
      <c r="H24" s="869" t="s">
        <v>128</v>
      </c>
      <c r="I24" s="869" t="s">
        <v>128</v>
      </c>
      <c r="J24" s="869" t="s">
        <v>128</v>
      </c>
      <c r="K24" s="869" t="s">
        <v>128</v>
      </c>
      <c r="L24" s="853">
        <f>M24/F24</f>
        <v>3.734346374</v>
      </c>
      <c r="M24" s="870">
        <f>SUM(M21:M23)</f>
        <v>242557</v>
      </c>
      <c r="N24" s="872"/>
      <c r="O24" s="870">
        <f>SUM(O21:O23)</f>
        <v>619</v>
      </c>
      <c r="P24" s="864"/>
      <c r="Q24" s="807"/>
      <c r="R24" s="855"/>
      <c r="S24" s="805"/>
      <c r="T24" s="800"/>
      <c r="U24" s="856"/>
      <c r="V24" s="833"/>
      <c r="W24" s="865"/>
      <c r="X24" s="257"/>
      <c r="Y24" s="257"/>
      <c r="Z24" s="260"/>
      <c r="AA24" s="257"/>
      <c r="AB24" s="863"/>
      <c r="AC24" s="863"/>
    </row>
    <row r="25">
      <c r="A25" s="873"/>
      <c r="B25" s="785" t="s">
        <v>982</v>
      </c>
      <c r="C25" s="510" t="s">
        <v>3</v>
      </c>
      <c r="D25" s="510" t="s">
        <v>4</v>
      </c>
      <c r="E25" s="510" t="s">
        <v>5</v>
      </c>
      <c r="F25" s="544" t="s">
        <v>975</v>
      </c>
      <c r="G25" s="505" t="s">
        <v>786</v>
      </c>
      <c r="H25" s="673" t="s">
        <v>976</v>
      </c>
      <c r="I25" s="874" t="s">
        <v>10</v>
      </c>
      <c r="J25" s="673" t="s">
        <v>11</v>
      </c>
      <c r="K25" s="508" t="s">
        <v>13</v>
      </c>
      <c r="L25" s="875" t="s">
        <v>845</v>
      </c>
      <c r="M25" s="508" t="s">
        <v>468</v>
      </c>
      <c r="N25" s="510" t="s">
        <v>16</v>
      </c>
      <c r="O25" s="510" t="s">
        <v>17</v>
      </c>
      <c r="P25" s="864"/>
      <c r="Q25" s="807"/>
      <c r="R25" s="855"/>
      <c r="S25" s="805"/>
      <c r="T25" s="800"/>
      <c r="U25" s="856"/>
      <c r="V25" s="833"/>
      <c r="W25" s="865"/>
      <c r="X25" s="257"/>
      <c r="Y25" s="257"/>
      <c r="Z25" s="260"/>
      <c r="AA25" s="257"/>
      <c r="AB25" s="863"/>
      <c r="AC25" s="863"/>
    </row>
    <row r="26">
      <c r="A26" s="523"/>
      <c r="B26" s="502" t="s">
        <v>729</v>
      </c>
      <c r="C26" s="631" t="s">
        <v>94</v>
      </c>
      <c r="D26" s="631" t="s">
        <v>95</v>
      </c>
      <c r="E26" s="638">
        <v>7.8</v>
      </c>
      <c r="F26" s="522">
        <v>32450.0</v>
      </c>
      <c r="G26" s="526">
        <f t="shared" ref="G26:G27" si="26">F26+M26+T26-AC26</f>
        <v>38922.7965</v>
      </c>
      <c r="H26" s="521">
        <v>32.45</v>
      </c>
      <c r="I26" s="852">
        <f>IFERROR(__xludf.DUMMYFUNCTION("GOOGLEFINANCE(D26,""changepct"")"),0.03)</f>
        <v>0.03</v>
      </c>
      <c r="J26" s="516">
        <f>IFERROR(__xludf.DUMMYFUNCTION("googlefinance(D26,""price"")"),37.81)</f>
        <v>37.81</v>
      </c>
      <c r="K26" s="525">
        <f t="shared" ref="K26:K30" si="27">J26-H26</f>
        <v>5.36</v>
      </c>
      <c r="L26" s="853">
        <f t="shared" ref="L26:L30" si="28">J26/H26-1</f>
        <v>0.1651771957</v>
      </c>
      <c r="M26" s="526">
        <f t="shared" ref="M26:M30" si="29">F26*L26</f>
        <v>5360</v>
      </c>
      <c r="N26" s="866">
        <v>0.0554</v>
      </c>
      <c r="O26" s="522">
        <v>603.0</v>
      </c>
      <c r="P26" s="854" t="s">
        <v>95</v>
      </c>
      <c r="Q26" s="790">
        <v>32.04</v>
      </c>
      <c r="R26" s="855">
        <f>IFERROR(__xludf.DUMMYFUNCTION("googlefinance(P26,""price"")"),37.81)</f>
        <v>37.81</v>
      </c>
      <c r="S26" s="788">
        <v>32000.0</v>
      </c>
      <c r="T26" s="805">
        <f t="shared" ref="T26:T27" si="30">S26+V26</f>
        <v>37762.7965</v>
      </c>
      <c r="U26" s="856">
        <f t="shared" ref="U26:U27" si="31">R26/Q26-1</f>
        <v>0.1800873908</v>
      </c>
      <c r="V26" s="842">
        <f t="shared" ref="V26:V27" si="32">S26*U26</f>
        <v>5762.796504</v>
      </c>
      <c r="W26" s="862" t="s">
        <v>128</v>
      </c>
      <c r="X26" s="858"/>
      <c r="Y26" s="858">
        <v>43758.0</v>
      </c>
      <c r="Z26" s="238" t="s">
        <v>95</v>
      </c>
      <c r="AA26" s="211">
        <v>43790.0</v>
      </c>
      <c r="AB26" s="859">
        <v>36.65</v>
      </c>
      <c r="AC26" s="859">
        <v>36650.0</v>
      </c>
    </row>
    <row r="27">
      <c r="A27" s="523"/>
      <c r="B27" s="861">
        <f>G31/D68</f>
        <v>0.05895818026</v>
      </c>
      <c r="C27" s="600" t="s">
        <v>762</v>
      </c>
      <c r="D27" s="631" t="s">
        <v>763</v>
      </c>
      <c r="E27" s="638">
        <v>7.5</v>
      </c>
      <c r="F27" s="522">
        <v>36540.0</v>
      </c>
      <c r="G27" s="526">
        <f t="shared" si="26"/>
        <v>68609.15254</v>
      </c>
      <c r="H27" s="521">
        <v>18.27</v>
      </c>
      <c r="I27" s="852">
        <f>IFERROR(__xludf.DUMMYFUNCTION("GOOGLEFINANCE(D27,""changepct"")"),0.63)</f>
        <v>0.63</v>
      </c>
      <c r="J27" s="516">
        <f>IFERROR(__xludf.DUMMYFUNCTION("googlefinance(D27,""price"")"),26.96)</f>
        <v>26.96</v>
      </c>
      <c r="K27" s="525">
        <f t="shared" si="27"/>
        <v>8.69</v>
      </c>
      <c r="L27" s="853">
        <f t="shared" si="28"/>
        <v>0.4756431308</v>
      </c>
      <c r="M27" s="526">
        <f t="shared" si="29"/>
        <v>17380</v>
      </c>
      <c r="N27" s="866">
        <v>0.0342</v>
      </c>
      <c r="O27" s="522">
        <v>513.0</v>
      </c>
      <c r="P27" s="854" t="s">
        <v>763</v>
      </c>
      <c r="Q27" s="790">
        <v>18.88</v>
      </c>
      <c r="R27" s="855">
        <f>IFERROR(__xludf.DUMMYFUNCTION("googlefinance(P27,""price"")"),26.96)</f>
        <v>26.96</v>
      </c>
      <c r="S27" s="788">
        <v>25000.0</v>
      </c>
      <c r="T27" s="805">
        <f t="shared" si="30"/>
        <v>35699.15254</v>
      </c>
      <c r="U27" s="856">
        <f t="shared" si="31"/>
        <v>0.4279661017</v>
      </c>
      <c r="V27" s="842">
        <f t="shared" si="32"/>
        <v>10699.15254</v>
      </c>
      <c r="W27" s="862" t="s">
        <v>128</v>
      </c>
      <c r="X27" s="858"/>
      <c r="Y27" s="858">
        <v>43758.0</v>
      </c>
      <c r="Z27" s="238" t="s">
        <v>763</v>
      </c>
      <c r="AA27" s="211">
        <v>43790.0</v>
      </c>
      <c r="AB27" s="859">
        <v>21.01</v>
      </c>
      <c r="AC27" s="859">
        <v>21010.0</v>
      </c>
    </row>
    <row r="28">
      <c r="A28" s="523"/>
      <c r="B28" s="523"/>
      <c r="C28" s="600" t="s">
        <v>983</v>
      </c>
      <c r="D28" s="631" t="s">
        <v>984</v>
      </c>
      <c r="E28" s="638">
        <v>7.2</v>
      </c>
      <c r="F28" s="522">
        <v>38280.0</v>
      </c>
      <c r="G28" s="526">
        <f t="shared" ref="G28:G29" si="33">F28+M28</f>
        <v>31712</v>
      </c>
      <c r="H28" s="521">
        <v>47.85</v>
      </c>
      <c r="I28" s="852">
        <f>IFERROR(__xludf.DUMMYFUNCTION("GOOGLEFINANCE(D28,""changepct"")"),-0.08)</f>
        <v>-0.08</v>
      </c>
      <c r="J28" s="516">
        <f>IFERROR(__xludf.DUMMYFUNCTION("googlefinance(D28,""price"")"),39.64)</f>
        <v>39.64</v>
      </c>
      <c r="K28" s="525">
        <f t="shared" si="27"/>
        <v>-8.21</v>
      </c>
      <c r="L28" s="853">
        <f t="shared" si="28"/>
        <v>-0.1715778474</v>
      </c>
      <c r="M28" s="526">
        <f t="shared" si="29"/>
        <v>-6568</v>
      </c>
      <c r="N28" s="866">
        <v>0.0337</v>
      </c>
      <c r="O28" s="522">
        <v>310.0</v>
      </c>
      <c r="P28" s="864"/>
      <c r="Q28" s="807"/>
      <c r="R28" s="855"/>
      <c r="S28" s="805"/>
      <c r="T28" s="800"/>
      <c r="U28" s="856"/>
      <c r="V28" s="833"/>
      <c r="W28" s="865"/>
      <c r="X28" s="257"/>
      <c r="Y28" s="257"/>
      <c r="Z28" s="260"/>
      <c r="AA28" s="257"/>
      <c r="AB28" s="863"/>
      <c r="AC28" s="863"/>
    </row>
    <row r="29">
      <c r="A29" s="523"/>
      <c r="B29" s="523"/>
      <c r="C29" s="631" t="s">
        <v>815</v>
      </c>
      <c r="D29" s="631" t="s">
        <v>816</v>
      </c>
      <c r="E29" s="638">
        <v>6.9</v>
      </c>
      <c r="F29" s="522">
        <v>34200.0</v>
      </c>
      <c r="G29" s="526">
        <f t="shared" si="33"/>
        <v>35000</v>
      </c>
      <c r="H29" s="521">
        <v>6.84</v>
      </c>
      <c r="I29" s="852" t="str">
        <f>IFERROR(__xludf.DUMMYFUNCTION("GOOGLEFINANCE(D29,""changepct"")"),"#N/A")</f>
        <v>#N/A</v>
      </c>
      <c r="J29" s="597">
        <v>7.0</v>
      </c>
      <c r="K29" s="525">
        <f t="shared" si="27"/>
        <v>0.16</v>
      </c>
      <c r="L29" s="853">
        <f t="shared" si="28"/>
        <v>0.02339181287</v>
      </c>
      <c r="M29" s="526">
        <f t="shared" si="29"/>
        <v>800</v>
      </c>
      <c r="N29" s="866">
        <v>0.0636</v>
      </c>
      <c r="O29" s="522">
        <v>654.0</v>
      </c>
      <c r="P29" s="864"/>
      <c r="Q29" s="807"/>
      <c r="R29" s="855"/>
      <c r="S29" s="805"/>
      <c r="T29" s="800"/>
      <c r="U29" s="856"/>
      <c r="V29" s="833"/>
      <c r="W29" s="865"/>
      <c r="X29" s="257"/>
      <c r="Y29" s="257"/>
      <c r="Z29" s="260"/>
      <c r="AA29" s="257"/>
      <c r="AB29" s="863"/>
      <c r="AC29" s="863"/>
    </row>
    <row r="30">
      <c r="A30" s="523"/>
      <c r="B30" s="523"/>
      <c r="C30" s="631" t="s">
        <v>905</v>
      </c>
      <c r="D30" s="631" t="s">
        <v>567</v>
      </c>
      <c r="E30" s="638">
        <v>7.1</v>
      </c>
      <c r="F30" s="522">
        <v>33108.0</v>
      </c>
      <c r="G30" s="526">
        <f>F30+M30-AC30</f>
        <v>28334</v>
      </c>
      <c r="H30" s="521">
        <v>82.77</v>
      </c>
      <c r="I30" s="852">
        <f>IFERROR(__xludf.DUMMYFUNCTION("GOOGLEFINANCE(D30,""changepct"")"),0.01)</f>
        <v>0.01</v>
      </c>
      <c r="J30" s="516">
        <f>IFERROR(__xludf.DUMMYFUNCTION("googlefinance(D30,""price"")"),119.59)</f>
        <v>119.59</v>
      </c>
      <c r="K30" s="525">
        <f t="shared" si="27"/>
        <v>36.82</v>
      </c>
      <c r="L30" s="853">
        <f t="shared" si="28"/>
        <v>0.4448471668</v>
      </c>
      <c r="M30" s="526">
        <f t="shared" si="29"/>
        <v>14728</v>
      </c>
      <c r="N30" s="866">
        <v>0.0359</v>
      </c>
      <c r="O30" s="522">
        <v>162.0</v>
      </c>
      <c r="P30" s="864"/>
      <c r="Q30" s="807"/>
      <c r="R30" s="855"/>
      <c r="S30" s="805"/>
      <c r="T30" s="800"/>
      <c r="U30" s="856"/>
      <c r="V30" s="833"/>
      <c r="W30" s="865"/>
      <c r="X30" s="257"/>
      <c r="Y30" s="257"/>
      <c r="Z30" s="238" t="s">
        <v>567</v>
      </c>
      <c r="AA30" s="211">
        <v>43790.0</v>
      </c>
      <c r="AB30" s="859">
        <v>98.41</v>
      </c>
      <c r="AC30" s="859">
        <v>19502.0</v>
      </c>
    </row>
    <row r="31">
      <c r="A31" s="867"/>
      <c r="B31" s="868" t="s">
        <v>89</v>
      </c>
      <c r="C31" s="877"/>
      <c r="D31" s="877"/>
      <c r="E31" s="869" t="s">
        <v>128</v>
      </c>
      <c r="F31" s="870">
        <f t="shared" ref="F31:G31" si="34">SUM(F26:F30)</f>
        <v>174578</v>
      </c>
      <c r="G31" s="870">
        <f t="shared" si="34"/>
        <v>202577.949</v>
      </c>
      <c r="H31" s="869" t="s">
        <v>128</v>
      </c>
      <c r="I31" s="869" t="s">
        <v>128</v>
      </c>
      <c r="J31" s="869" t="s">
        <v>128</v>
      </c>
      <c r="K31" s="869" t="s">
        <v>128</v>
      </c>
      <c r="L31" s="878">
        <f>M31/F31</f>
        <v>0.1815807261</v>
      </c>
      <c r="M31" s="870">
        <f>SUM(M26:M30)</f>
        <v>31700</v>
      </c>
      <c r="N31" s="872"/>
      <c r="O31" s="870">
        <f>SUM(O26:O30)</f>
        <v>2242</v>
      </c>
      <c r="P31" s="864"/>
      <c r="Q31" s="807"/>
      <c r="R31" s="855"/>
      <c r="S31" s="805"/>
      <c r="T31" s="800"/>
      <c r="U31" s="856"/>
      <c r="V31" s="833"/>
      <c r="W31" s="865"/>
      <c r="X31" s="257"/>
      <c r="Y31" s="257"/>
      <c r="Z31" s="260"/>
      <c r="AA31" s="257"/>
      <c r="AB31" s="863"/>
      <c r="AC31" s="863"/>
    </row>
    <row r="32">
      <c r="A32" s="873"/>
      <c r="B32" s="785" t="s">
        <v>821</v>
      </c>
      <c r="C32" s="510" t="s">
        <v>3</v>
      </c>
      <c r="D32" s="510" t="s">
        <v>4</v>
      </c>
      <c r="E32" s="510" t="s">
        <v>5</v>
      </c>
      <c r="F32" s="544" t="s">
        <v>975</v>
      </c>
      <c r="G32" s="505" t="s">
        <v>786</v>
      </c>
      <c r="H32" s="673" t="s">
        <v>976</v>
      </c>
      <c r="I32" s="874" t="s">
        <v>10</v>
      </c>
      <c r="J32" s="673" t="s">
        <v>11</v>
      </c>
      <c r="K32" s="508" t="s">
        <v>13</v>
      </c>
      <c r="L32" s="875" t="s">
        <v>845</v>
      </c>
      <c r="M32" s="508" t="s">
        <v>468</v>
      </c>
      <c r="N32" s="510" t="s">
        <v>16</v>
      </c>
      <c r="O32" s="510" t="s">
        <v>17</v>
      </c>
      <c r="P32" s="864"/>
      <c r="Q32" s="879"/>
      <c r="R32" s="855"/>
      <c r="S32" s="805"/>
      <c r="T32" s="800"/>
      <c r="U32" s="856"/>
      <c r="V32" s="833"/>
      <c r="W32" s="865"/>
      <c r="X32" s="257"/>
      <c r="Y32" s="257"/>
      <c r="Z32" s="260"/>
      <c r="AA32" s="257"/>
      <c r="AB32" s="863"/>
      <c r="AC32" s="863"/>
    </row>
    <row r="33">
      <c r="A33" s="523"/>
      <c r="B33" s="502" t="s">
        <v>729</v>
      </c>
      <c r="C33" s="631" t="s">
        <v>539</v>
      </c>
      <c r="D33" s="631" t="s">
        <v>540</v>
      </c>
      <c r="E33" s="638">
        <v>6.7</v>
      </c>
      <c r="F33" s="522">
        <v>19884.0</v>
      </c>
      <c r="G33" s="526">
        <f>F33+M33+T33</f>
        <v>112425.547</v>
      </c>
      <c r="H33" s="521">
        <v>198.84</v>
      </c>
      <c r="I33" s="852">
        <f>IFERROR(__xludf.DUMMYFUNCTION("GOOGLEFINANCE(D33,""changepct"")"),-0.46)</f>
        <v>-0.46</v>
      </c>
      <c r="J33" s="516">
        <f>IFERROR(__xludf.DUMMYFUNCTION("googlefinance(D33,""price"")"),573.55)</f>
        <v>573.55</v>
      </c>
      <c r="K33" s="525">
        <f t="shared" ref="K33:K36" si="35">J33-H33</f>
        <v>374.71</v>
      </c>
      <c r="L33" s="853">
        <f t="shared" ref="L33:L36" si="36">J33/H33-1</f>
        <v>1.884479984</v>
      </c>
      <c r="M33" s="526">
        <f t="shared" ref="M33:M36" si="37">F33*L33</f>
        <v>37471</v>
      </c>
      <c r="N33" s="866">
        <v>0.0227</v>
      </c>
      <c r="O33" s="522">
        <v>256.0</v>
      </c>
      <c r="P33" s="854" t="s">
        <v>540</v>
      </c>
      <c r="Q33" s="790">
        <v>207.13</v>
      </c>
      <c r="R33" s="855">
        <f>IFERROR(__xludf.DUMMYFUNCTION("googlefinance(P33,""price"")"),573.55)</f>
        <v>573.55</v>
      </c>
      <c r="S33" s="788">
        <v>19888.0</v>
      </c>
      <c r="T33" s="805">
        <f t="shared" ref="T33:T36" si="38">S33+V33</f>
        <v>55070.547</v>
      </c>
      <c r="U33" s="856">
        <f t="shared" ref="U33:U36" si="39">R33/Q33-1</f>
        <v>1.76903394</v>
      </c>
      <c r="V33" s="842">
        <f t="shared" ref="V33:V36" si="40">S33*U33</f>
        <v>35182.547</v>
      </c>
      <c r="W33" s="862" t="s">
        <v>128</v>
      </c>
      <c r="X33" s="858"/>
      <c r="Y33" s="858">
        <v>43758.0</v>
      </c>
      <c r="Z33" s="260"/>
      <c r="AA33" s="257"/>
      <c r="AB33" s="863"/>
      <c r="AC33" s="863"/>
    </row>
    <row r="34">
      <c r="A34" s="523"/>
      <c r="B34" s="861">
        <f>G37/D68</f>
        <v>0.09003155166</v>
      </c>
      <c r="C34" s="631" t="s">
        <v>456</v>
      </c>
      <c r="D34" s="631" t="s">
        <v>457</v>
      </c>
      <c r="E34" s="638">
        <v>6.4</v>
      </c>
      <c r="F34" s="522">
        <v>17070.0</v>
      </c>
      <c r="G34" s="526">
        <f t="shared" ref="G34:G36" si="41">F34+M34</f>
        <v>17110</v>
      </c>
      <c r="H34" s="521">
        <v>17.07</v>
      </c>
      <c r="I34" s="852">
        <f>IFERROR(__xludf.DUMMYFUNCTION("GOOGLEFINANCE(D34,""changepct"")"),-0.52)</f>
        <v>-0.52</v>
      </c>
      <c r="J34" s="516">
        <f>IFERROR(__xludf.DUMMYFUNCTION("googlefinance(D34,""price"")"),17.11)</f>
        <v>17.11</v>
      </c>
      <c r="K34" s="525">
        <f t="shared" si="35"/>
        <v>0.04</v>
      </c>
      <c r="L34" s="853">
        <f t="shared" si="36"/>
        <v>0.002343292326</v>
      </c>
      <c r="M34" s="526">
        <f t="shared" si="37"/>
        <v>40</v>
      </c>
      <c r="N34" s="866">
        <v>0.0392</v>
      </c>
      <c r="O34" s="522">
        <v>198.0</v>
      </c>
      <c r="P34" s="854" t="s">
        <v>686</v>
      </c>
      <c r="Q34" s="790">
        <v>70.85</v>
      </c>
      <c r="R34" s="855">
        <f>IFERROR(__xludf.DUMMYFUNCTION("googlefinance(P34,""price"")"),70.39)</f>
        <v>70.39</v>
      </c>
      <c r="S34" s="788">
        <v>29687.0</v>
      </c>
      <c r="T34" s="805">
        <f t="shared" si="38"/>
        <v>29494.25448</v>
      </c>
      <c r="U34" s="856">
        <f t="shared" si="39"/>
        <v>-0.006492589979</v>
      </c>
      <c r="V34" s="842">
        <f t="shared" si="40"/>
        <v>-192.7455187</v>
      </c>
      <c r="W34" s="880">
        <v>0.0272</v>
      </c>
      <c r="X34" s="881">
        <v>228.0</v>
      </c>
      <c r="Y34" s="858">
        <v>43758.0</v>
      </c>
      <c r="Z34" s="260"/>
      <c r="AA34" s="257"/>
      <c r="AB34" s="863"/>
      <c r="AC34" s="863"/>
    </row>
    <row r="35">
      <c r="A35" s="523"/>
      <c r="B35" s="523"/>
      <c r="C35" s="631" t="s">
        <v>822</v>
      </c>
      <c r="D35" s="631" t="s">
        <v>823</v>
      </c>
      <c r="E35" s="638">
        <v>6.8</v>
      </c>
      <c r="F35" s="522">
        <v>28040.0</v>
      </c>
      <c r="G35" s="526">
        <f t="shared" si="41"/>
        <v>34000</v>
      </c>
      <c r="H35" s="521">
        <v>14.02</v>
      </c>
      <c r="I35" s="852" t="str">
        <f>IFERROR(__xludf.DUMMYFUNCTION("GOOGLEFINANCE(D35,""changepct"")"),"#N/A")</f>
        <v>#N/A</v>
      </c>
      <c r="J35" s="597">
        <v>17.0</v>
      </c>
      <c r="K35" s="525">
        <f t="shared" si="35"/>
        <v>2.98</v>
      </c>
      <c r="L35" s="853">
        <f t="shared" si="36"/>
        <v>0.212553495</v>
      </c>
      <c r="M35" s="526">
        <f t="shared" si="37"/>
        <v>5960</v>
      </c>
      <c r="N35" s="866">
        <v>0.0677</v>
      </c>
      <c r="O35" s="522">
        <v>555.0</v>
      </c>
      <c r="P35" s="854" t="s">
        <v>616</v>
      </c>
      <c r="Q35" s="790">
        <v>120.45</v>
      </c>
      <c r="R35" s="855">
        <f>IFERROR(__xludf.DUMMYFUNCTION("googlefinance(P35,""price"")"),239.32)</f>
        <v>239.32</v>
      </c>
      <c r="S35" s="788">
        <v>25000.0</v>
      </c>
      <c r="T35" s="805">
        <f t="shared" si="38"/>
        <v>49672.0631</v>
      </c>
      <c r="U35" s="856">
        <f t="shared" si="39"/>
        <v>0.9868825239</v>
      </c>
      <c r="V35" s="842">
        <f t="shared" si="40"/>
        <v>24672.0631</v>
      </c>
      <c r="W35" s="880">
        <v>0.0279</v>
      </c>
      <c r="X35" s="881">
        <v>202.0</v>
      </c>
      <c r="Y35" s="858">
        <v>43758.0</v>
      </c>
      <c r="Z35" s="260"/>
      <c r="AA35" s="257"/>
      <c r="AB35" s="863"/>
      <c r="AC35" s="863"/>
    </row>
    <row r="36">
      <c r="A36" s="523"/>
      <c r="B36" s="523"/>
      <c r="C36" s="631" t="s">
        <v>768</v>
      </c>
      <c r="D36" s="631" t="s">
        <v>769</v>
      </c>
      <c r="E36" s="638">
        <v>7.9</v>
      </c>
      <c r="F36" s="522">
        <v>31267.5</v>
      </c>
      <c r="G36" s="526">
        <f t="shared" si="41"/>
        <v>34729.5</v>
      </c>
      <c r="H36" s="521">
        <v>208.45</v>
      </c>
      <c r="I36" s="852">
        <f>IFERROR(__xludf.DUMMYFUNCTION("GOOGLEFINANCE(D36,""changepct"")"),-0.84)</f>
        <v>-0.84</v>
      </c>
      <c r="J36" s="516">
        <f>IFERROR(__xludf.DUMMYFUNCTION("googlefinance(D36,""price"")"),231.53)</f>
        <v>231.53</v>
      </c>
      <c r="K36" s="525">
        <f t="shared" si="35"/>
        <v>23.08</v>
      </c>
      <c r="L36" s="853">
        <f t="shared" si="36"/>
        <v>0.1107219957</v>
      </c>
      <c r="M36" s="526">
        <f t="shared" si="37"/>
        <v>3462</v>
      </c>
      <c r="N36" s="866">
        <v>0.0147</v>
      </c>
      <c r="O36" s="522">
        <v>111.0</v>
      </c>
      <c r="P36" s="854" t="s">
        <v>872</v>
      </c>
      <c r="Q36" s="790">
        <v>30.27</v>
      </c>
      <c r="R36" s="855">
        <f>IFERROR(__xludf.DUMMYFUNCTION("googlefinance(P36,""price"")"),43.91)</f>
        <v>43.91</v>
      </c>
      <c r="S36" s="788">
        <v>22000.0</v>
      </c>
      <c r="T36" s="805">
        <f t="shared" si="38"/>
        <v>31913.44566</v>
      </c>
      <c r="U36" s="856">
        <f t="shared" si="39"/>
        <v>0.4506111662</v>
      </c>
      <c r="V36" s="842">
        <f t="shared" si="40"/>
        <v>9913.445656</v>
      </c>
      <c r="W36" s="880">
        <v>0.0218</v>
      </c>
      <c r="X36" s="881">
        <v>140.0</v>
      </c>
      <c r="Y36" s="858">
        <v>43758.0</v>
      </c>
      <c r="Z36" s="260"/>
      <c r="AA36" s="257"/>
      <c r="AB36" s="863"/>
      <c r="AC36" s="863"/>
    </row>
    <row r="37">
      <c r="A37" s="867"/>
      <c r="B37" s="868" t="s">
        <v>89</v>
      </c>
      <c r="C37" s="877"/>
      <c r="D37" s="877"/>
      <c r="E37" s="869" t="s">
        <v>128</v>
      </c>
      <c r="F37" s="870">
        <f>SUM(F33:F36)</f>
        <v>96261.5</v>
      </c>
      <c r="G37" s="870">
        <f>SUM(G33:G36)+T34+T35+T36</f>
        <v>309344.8102</v>
      </c>
      <c r="H37" s="869" t="s">
        <v>128</v>
      </c>
      <c r="I37" s="869" t="s">
        <v>128</v>
      </c>
      <c r="J37" s="869" t="s">
        <v>128</v>
      </c>
      <c r="K37" s="869" t="s">
        <v>128</v>
      </c>
      <c r="L37" s="878">
        <f>M37/F37</f>
        <v>0.4875573308</v>
      </c>
      <c r="M37" s="870">
        <f>SUM(M33:M36)</f>
        <v>46933</v>
      </c>
      <c r="N37" s="872"/>
      <c r="O37" s="870">
        <f>SUM(O33:O36)</f>
        <v>1120</v>
      </c>
      <c r="P37" s="864"/>
      <c r="Q37" s="807"/>
      <c r="R37" s="855"/>
      <c r="S37" s="842"/>
      <c r="T37" s="800"/>
      <c r="U37" s="856"/>
      <c r="V37" s="833"/>
      <c r="W37" s="865"/>
      <c r="X37" s="658"/>
      <c r="Y37" s="257"/>
      <c r="Z37" s="260"/>
      <c r="AA37" s="257"/>
      <c r="AB37" s="863"/>
      <c r="AC37" s="863"/>
    </row>
    <row r="38">
      <c r="A38" s="784" t="s">
        <v>542</v>
      </c>
      <c r="B38" s="873"/>
      <c r="C38" s="510" t="s">
        <v>3</v>
      </c>
      <c r="D38" s="510" t="s">
        <v>4</v>
      </c>
      <c r="E38" s="510" t="s">
        <v>5</v>
      </c>
      <c r="F38" s="544" t="s">
        <v>975</v>
      </c>
      <c r="G38" s="505" t="s">
        <v>786</v>
      </c>
      <c r="H38" s="673" t="s">
        <v>976</v>
      </c>
      <c r="I38" s="874" t="s">
        <v>10</v>
      </c>
      <c r="J38" s="673" t="s">
        <v>11</v>
      </c>
      <c r="K38" s="508" t="s">
        <v>13</v>
      </c>
      <c r="L38" s="875" t="s">
        <v>845</v>
      </c>
      <c r="M38" s="508" t="s">
        <v>468</v>
      </c>
      <c r="N38" s="510" t="s">
        <v>16</v>
      </c>
      <c r="O38" s="510" t="s">
        <v>17</v>
      </c>
      <c r="P38" s="864"/>
      <c r="Q38" s="807"/>
      <c r="R38" s="855"/>
      <c r="S38" s="842"/>
      <c r="T38" s="800"/>
      <c r="U38" s="856"/>
      <c r="V38" s="833"/>
      <c r="W38" s="865"/>
      <c r="X38" s="658"/>
      <c r="Y38" s="257"/>
      <c r="Z38" s="260"/>
      <c r="AA38" s="257"/>
      <c r="AB38" s="863"/>
      <c r="AC38" s="863"/>
    </row>
    <row r="39">
      <c r="A39" s="502" t="s">
        <v>733</v>
      </c>
      <c r="B39" s="882">
        <f>G41/D68</f>
        <v>0.07876401355</v>
      </c>
      <c r="C39" s="685" t="s">
        <v>828</v>
      </c>
      <c r="D39" s="519" t="s">
        <v>408</v>
      </c>
      <c r="E39" s="638">
        <v>8.5</v>
      </c>
      <c r="F39" s="522">
        <v>215355.0</v>
      </c>
      <c r="G39" s="526">
        <f t="shared" ref="G39:G40" si="42">F39+M39</f>
        <v>131700</v>
      </c>
      <c r="H39" s="521">
        <v>143.57</v>
      </c>
      <c r="I39" s="852">
        <f>IFERROR(__xludf.DUMMYFUNCTION("GOOGLEFINANCE(D39,""changepct"")"),0.8)</f>
        <v>0.8</v>
      </c>
      <c r="J39" s="516">
        <f>IFERROR(__xludf.DUMMYFUNCTION("googlefinance(D39,""price"")"),87.8)</f>
        <v>87.8</v>
      </c>
      <c r="K39" s="525">
        <f t="shared" ref="K39:K40" si="43">J39-H39</f>
        <v>-55.77</v>
      </c>
      <c r="L39" s="853">
        <f t="shared" ref="L39:L40" si="44">J39/H39-1</f>
        <v>-0.3884516264</v>
      </c>
      <c r="M39" s="526">
        <f t="shared" ref="M39:M40" si="45">F39*L39</f>
        <v>-83655</v>
      </c>
      <c r="N39" s="866">
        <v>0.0225</v>
      </c>
      <c r="O39" s="522">
        <v>1143.0</v>
      </c>
      <c r="P39" s="864"/>
      <c r="Q39" s="807"/>
      <c r="R39" s="855"/>
      <c r="S39" s="842"/>
      <c r="T39" s="800"/>
      <c r="U39" s="856"/>
      <c r="V39" s="833"/>
      <c r="W39" s="865"/>
      <c r="X39" s="658"/>
      <c r="Y39" s="257"/>
      <c r="Z39" s="260"/>
      <c r="AA39" s="257"/>
      <c r="AB39" s="863"/>
      <c r="AC39" s="863"/>
    </row>
    <row r="40">
      <c r="A40" s="523"/>
      <c r="B40" s="883"/>
      <c r="C40" s="519" t="s">
        <v>829</v>
      </c>
      <c r="D40" s="519" t="s">
        <v>639</v>
      </c>
      <c r="E40" s="638">
        <v>8.7</v>
      </c>
      <c r="F40" s="522">
        <v>168795.0</v>
      </c>
      <c r="G40" s="526">
        <f t="shared" si="42"/>
        <v>138930</v>
      </c>
      <c r="H40" s="521">
        <v>112.53</v>
      </c>
      <c r="I40" s="852">
        <f>IFERROR(__xludf.DUMMYFUNCTION("GOOGLEFINANCE(D40,""changepct"")"),0.59)</f>
        <v>0.59</v>
      </c>
      <c r="J40" s="516">
        <f>IFERROR(__xludf.DUMMYFUNCTION("googlefinance(D40,""price"")"),92.62)</f>
        <v>92.62</v>
      </c>
      <c r="K40" s="525">
        <f t="shared" si="43"/>
        <v>-19.91</v>
      </c>
      <c r="L40" s="853">
        <f t="shared" si="44"/>
        <v>-0.1769305963</v>
      </c>
      <c r="M40" s="526">
        <f t="shared" si="45"/>
        <v>-29865</v>
      </c>
      <c r="N40" s="866">
        <v>0.0215</v>
      </c>
      <c r="O40" s="522">
        <v>889.0</v>
      </c>
      <c r="P40" s="864"/>
      <c r="Q40" s="807"/>
      <c r="R40" s="855"/>
      <c r="S40" s="842"/>
      <c r="T40" s="800"/>
      <c r="U40" s="856"/>
      <c r="V40" s="833"/>
      <c r="W40" s="865"/>
      <c r="X40" s="658"/>
      <c r="Y40" s="257"/>
      <c r="Z40" s="260"/>
      <c r="AA40" s="257"/>
      <c r="AB40" s="863"/>
      <c r="AC40" s="863"/>
    </row>
    <row r="41">
      <c r="A41" s="867"/>
      <c r="B41" s="876" t="s">
        <v>89</v>
      </c>
      <c r="C41" s="868"/>
      <c r="D41" s="868"/>
      <c r="E41" s="869" t="s">
        <v>128</v>
      </c>
      <c r="F41" s="870">
        <f t="shared" ref="F41:G41" si="46">SUM(F39:F40)</f>
        <v>384150</v>
      </c>
      <c r="G41" s="870">
        <f t="shared" si="46"/>
        <v>270630</v>
      </c>
      <c r="H41" s="869" t="s">
        <v>128</v>
      </c>
      <c r="I41" s="869" t="s">
        <v>128</v>
      </c>
      <c r="J41" s="869" t="s">
        <v>128</v>
      </c>
      <c r="K41" s="869" t="s">
        <v>128</v>
      </c>
      <c r="L41" s="853">
        <f>M41/F41</f>
        <v>-0.2955095666</v>
      </c>
      <c r="M41" s="870">
        <f>SUM(M39:M40)</f>
        <v>-113520</v>
      </c>
      <c r="N41" s="872"/>
      <c r="O41" s="870">
        <f>SUM(O39:O40)</f>
        <v>2032</v>
      </c>
      <c r="P41" s="854" t="s">
        <v>89</v>
      </c>
      <c r="Q41" s="884"/>
      <c r="R41" s="885"/>
      <c r="S41" s="886">
        <f t="shared" ref="S41:T41" si="47">SUM(S2:S40)</f>
        <v>382237</v>
      </c>
      <c r="T41" s="886">
        <f t="shared" si="47"/>
        <v>870375.1619</v>
      </c>
      <c r="U41" s="856">
        <f>V41/S41</f>
        <v>1.277056282</v>
      </c>
      <c r="V41" s="886">
        <f>SUM(V2:V40)</f>
        <v>488138.1619</v>
      </c>
      <c r="W41" s="887"/>
      <c r="X41" s="888">
        <f>SUM(X34:X40)</f>
        <v>570</v>
      </c>
      <c r="Y41" s="889"/>
      <c r="Z41" s="260"/>
      <c r="AA41" s="257"/>
      <c r="AB41" s="863"/>
      <c r="AC41" s="863"/>
    </row>
    <row r="42">
      <c r="A42" s="784" t="s">
        <v>985</v>
      </c>
      <c r="B42" s="785" t="s">
        <v>825</v>
      </c>
      <c r="C42" s="510" t="s">
        <v>3</v>
      </c>
      <c r="D42" s="510" t="s">
        <v>4</v>
      </c>
      <c r="E42" s="510" t="s">
        <v>5</v>
      </c>
      <c r="F42" s="544" t="s">
        <v>975</v>
      </c>
      <c r="G42" s="505" t="s">
        <v>786</v>
      </c>
      <c r="H42" s="673" t="s">
        <v>976</v>
      </c>
      <c r="I42" s="874" t="s">
        <v>10</v>
      </c>
      <c r="J42" s="673" t="s">
        <v>11</v>
      </c>
      <c r="K42" s="508" t="s">
        <v>13</v>
      </c>
      <c r="L42" s="875" t="s">
        <v>845</v>
      </c>
      <c r="M42" s="508" t="s">
        <v>468</v>
      </c>
      <c r="N42" s="510" t="s">
        <v>16</v>
      </c>
      <c r="O42" s="510" t="s">
        <v>17</v>
      </c>
      <c r="P42" s="854" t="s">
        <v>409</v>
      </c>
      <c r="Q42" s="735" t="s">
        <v>27</v>
      </c>
      <c r="R42" s="735" t="s">
        <v>11</v>
      </c>
      <c r="S42" s="735" t="s">
        <v>948</v>
      </c>
      <c r="T42" s="735" t="s">
        <v>786</v>
      </c>
      <c r="U42" s="735" t="s">
        <v>950</v>
      </c>
      <c r="V42" s="735" t="s">
        <v>951</v>
      </c>
      <c r="W42" s="238" t="s">
        <v>16</v>
      </c>
      <c r="X42" s="238" t="s">
        <v>17</v>
      </c>
      <c r="Y42" s="238" t="s">
        <v>947</v>
      </c>
      <c r="Z42" s="260"/>
      <c r="AA42" s="257"/>
      <c r="AB42" s="863"/>
      <c r="AC42" s="863"/>
    </row>
    <row r="43">
      <c r="A43" s="502" t="s">
        <v>986</v>
      </c>
      <c r="B43" s="882">
        <f>G53/D68</f>
        <v>0.300472066</v>
      </c>
      <c r="C43" s="519" t="s">
        <v>151</v>
      </c>
      <c r="D43" s="519" t="s">
        <v>152</v>
      </c>
      <c r="E43" s="638">
        <v>9.1</v>
      </c>
      <c r="F43" s="522">
        <v>147800.0</v>
      </c>
      <c r="G43" s="526">
        <f t="shared" ref="G43:G44" si="48">F43+M43</f>
        <v>150000</v>
      </c>
      <c r="H43" s="521">
        <v>1478.0</v>
      </c>
      <c r="I43" s="890" t="s">
        <v>128</v>
      </c>
      <c r="J43" s="597">
        <v>1500.0</v>
      </c>
      <c r="K43" s="525">
        <f t="shared" ref="K43:K52" si="49">J43-H43</f>
        <v>22</v>
      </c>
      <c r="L43" s="853">
        <f t="shared" ref="L43:L52" si="50">J43/H43-1</f>
        <v>0.0148849797</v>
      </c>
      <c r="M43" s="526">
        <f t="shared" ref="M43:M52" si="51">F43*L43</f>
        <v>2200</v>
      </c>
      <c r="N43" s="638" t="s">
        <v>128</v>
      </c>
      <c r="O43" s="526"/>
      <c r="P43" s="864"/>
      <c r="Q43" s="807"/>
      <c r="R43" s="855"/>
      <c r="S43" s="842"/>
      <c r="T43" s="800"/>
      <c r="U43" s="856"/>
      <c r="V43" s="833"/>
      <c r="W43" s="865"/>
      <c r="X43" s="257"/>
      <c r="Y43" s="257"/>
      <c r="Z43" s="260"/>
      <c r="AA43" s="257"/>
      <c r="AB43" s="863"/>
      <c r="AC43" s="863"/>
    </row>
    <row r="44">
      <c r="A44" s="502" t="s">
        <v>987</v>
      </c>
      <c r="B44" s="861">
        <f>(G43+G44)/D68</f>
        <v>0.06912187569</v>
      </c>
      <c r="C44" s="519" t="s">
        <v>154</v>
      </c>
      <c r="D44" s="519" t="s">
        <v>155</v>
      </c>
      <c r="E44" s="638">
        <v>9.3</v>
      </c>
      <c r="F44" s="522">
        <v>85250.0</v>
      </c>
      <c r="G44" s="526">
        <f t="shared" si="48"/>
        <v>87500</v>
      </c>
      <c r="H44" s="521">
        <v>17.05</v>
      </c>
      <c r="I44" s="579" t="s">
        <v>128</v>
      </c>
      <c r="J44" s="891">
        <v>17.5</v>
      </c>
      <c r="K44" s="525">
        <f t="shared" si="49"/>
        <v>0.45</v>
      </c>
      <c r="L44" s="853">
        <f t="shared" si="50"/>
        <v>0.02639296188</v>
      </c>
      <c r="M44" s="526">
        <f t="shared" si="51"/>
        <v>2250</v>
      </c>
      <c r="N44" s="638" t="s">
        <v>128</v>
      </c>
      <c r="O44" s="526"/>
      <c r="P44" s="864"/>
      <c r="Q44" s="807"/>
      <c r="R44" s="855"/>
      <c r="S44" s="842"/>
      <c r="T44" s="800"/>
      <c r="U44" s="856"/>
      <c r="V44" s="833"/>
      <c r="W44" s="865"/>
      <c r="X44" s="257"/>
      <c r="Y44" s="257"/>
      <c r="Z44" s="260"/>
      <c r="AA44" s="257"/>
      <c r="AB44" s="863"/>
      <c r="AC44" s="863"/>
    </row>
    <row r="45">
      <c r="A45" s="502" t="s">
        <v>988</v>
      </c>
      <c r="B45" s="861">
        <f>(G45+G46+G47+G48+G49+G50+G51+G52)/D68</f>
        <v>0.2313501903</v>
      </c>
      <c r="C45" s="892" t="s">
        <v>989</v>
      </c>
      <c r="D45" s="344" t="s">
        <v>774</v>
      </c>
      <c r="E45" s="638">
        <v>9.1</v>
      </c>
      <c r="F45" s="522">
        <v>63520.0</v>
      </c>
      <c r="G45" s="526">
        <f t="shared" ref="G45:G52" si="52">F45+M45+T45</f>
        <v>158580</v>
      </c>
      <c r="H45" s="521">
        <v>15.88</v>
      </c>
      <c r="I45" s="852">
        <f>IFERROR(__xludf.DUMMYFUNCTION("GOOGLEFINANCE(D45,""changepct"")"),-1.23)</f>
        <v>-1.23</v>
      </c>
      <c r="J45" s="516">
        <f>IFERROR(__xludf.DUMMYFUNCTION("googlefinance(D45,""price"")"),26.43)</f>
        <v>26.43</v>
      </c>
      <c r="K45" s="525">
        <f t="shared" si="49"/>
        <v>10.55</v>
      </c>
      <c r="L45" s="853">
        <f t="shared" si="50"/>
        <v>0.6643576826</v>
      </c>
      <c r="M45" s="526">
        <f t="shared" si="51"/>
        <v>42200</v>
      </c>
      <c r="N45" s="638" t="s">
        <v>128</v>
      </c>
      <c r="O45" s="526"/>
      <c r="P45" s="854" t="s">
        <v>774</v>
      </c>
      <c r="Q45" s="790">
        <v>15.82</v>
      </c>
      <c r="R45" s="855">
        <f>IFERROR(__xludf.DUMMYFUNCTION("googlefinance(P45,""price"")"),26.43)</f>
        <v>26.43</v>
      </c>
      <c r="S45" s="788">
        <v>31640.0</v>
      </c>
      <c r="T45" s="805">
        <f t="shared" ref="T45:T52" si="53">S45+V45</f>
        <v>52860</v>
      </c>
      <c r="U45" s="856">
        <f t="shared" ref="U45:U52" si="54">R45/Q45-1</f>
        <v>0.6706700379</v>
      </c>
      <c r="V45" s="842">
        <f t="shared" ref="V45:V52" si="55">S45*U45</f>
        <v>21220</v>
      </c>
      <c r="W45" s="865"/>
      <c r="X45" s="257"/>
      <c r="Y45" s="211">
        <v>43801.0</v>
      </c>
      <c r="Z45" s="260"/>
      <c r="AA45" s="257"/>
      <c r="AB45" s="863"/>
      <c r="AC45" s="863"/>
    </row>
    <row r="46">
      <c r="A46" s="523"/>
      <c r="B46" s="523"/>
      <c r="C46" s="892" t="s">
        <v>989</v>
      </c>
      <c r="D46" s="344" t="s">
        <v>158</v>
      </c>
      <c r="E46" s="638">
        <v>8.7</v>
      </c>
      <c r="F46" s="522">
        <v>79950.0</v>
      </c>
      <c r="G46" s="526">
        <f t="shared" si="52"/>
        <v>135080</v>
      </c>
      <c r="H46" s="521">
        <v>26.65</v>
      </c>
      <c r="I46" s="852">
        <f>IFERROR(__xludf.DUMMYFUNCTION("GOOGLEFINANCE(D46,""changepct"")"),-1.43)</f>
        <v>-1.43</v>
      </c>
      <c r="J46" s="516">
        <f>IFERROR(__xludf.DUMMYFUNCTION("googlefinance(D46,""price"")"),33.77)</f>
        <v>33.77</v>
      </c>
      <c r="K46" s="525">
        <f t="shared" si="49"/>
        <v>7.12</v>
      </c>
      <c r="L46" s="853">
        <f t="shared" si="50"/>
        <v>0.2671669794</v>
      </c>
      <c r="M46" s="526">
        <f t="shared" si="51"/>
        <v>21360</v>
      </c>
      <c r="N46" s="866">
        <v>0.0037</v>
      </c>
      <c r="O46" s="522">
        <v>108.0</v>
      </c>
      <c r="P46" s="854" t="s">
        <v>158</v>
      </c>
      <c r="Q46" s="790">
        <v>26.97</v>
      </c>
      <c r="R46" s="855">
        <f>IFERROR(__xludf.DUMMYFUNCTION("googlefinance(P46,""price"")"),33.77)</f>
        <v>33.77</v>
      </c>
      <c r="S46" s="788">
        <v>26970.0</v>
      </c>
      <c r="T46" s="805">
        <f t="shared" si="53"/>
        <v>33770</v>
      </c>
      <c r="U46" s="856">
        <f t="shared" si="54"/>
        <v>0.2521319985</v>
      </c>
      <c r="V46" s="842">
        <f t="shared" si="55"/>
        <v>6800</v>
      </c>
      <c r="W46" s="865"/>
      <c r="X46" s="257"/>
      <c r="Y46" s="211">
        <v>43801.0</v>
      </c>
      <c r="Z46" s="260"/>
      <c r="AA46" s="257"/>
      <c r="AB46" s="863"/>
      <c r="AC46" s="863"/>
    </row>
    <row r="47">
      <c r="A47" s="523"/>
      <c r="B47" s="523"/>
      <c r="C47" s="599" t="s">
        <v>989</v>
      </c>
      <c r="D47" s="344" t="s">
        <v>161</v>
      </c>
      <c r="E47" s="638">
        <v>8.5</v>
      </c>
      <c r="F47" s="522">
        <v>82012.5</v>
      </c>
      <c r="G47" s="526">
        <f t="shared" si="52"/>
        <v>126960</v>
      </c>
      <c r="H47" s="521">
        <v>36.45</v>
      </c>
      <c r="I47" s="852">
        <f>IFERROR(__xludf.DUMMYFUNCTION("GOOGLEFINANCE(D47,""changepct"")"),-1.7)</f>
        <v>-1.7</v>
      </c>
      <c r="J47" s="516">
        <f>IFERROR(__xludf.DUMMYFUNCTION("googlefinance(D47,""price"")"),42.32)</f>
        <v>42.32</v>
      </c>
      <c r="K47" s="525">
        <f t="shared" si="49"/>
        <v>5.87</v>
      </c>
      <c r="L47" s="853">
        <f t="shared" si="50"/>
        <v>0.161042524</v>
      </c>
      <c r="M47" s="526">
        <f t="shared" si="51"/>
        <v>13207.5</v>
      </c>
      <c r="N47" s="866">
        <v>0.0035</v>
      </c>
      <c r="O47" s="522">
        <v>111.0</v>
      </c>
      <c r="P47" s="854" t="s">
        <v>161</v>
      </c>
      <c r="Q47" s="790">
        <v>37.84</v>
      </c>
      <c r="R47" s="855">
        <f>IFERROR(__xludf.DUMMYFUNCTION("googlefinance(P47,""price"")"),42.32)</f>
        <v>42.32</v>
      </c>
      <c r="S47" s="788">
        <v>28380.0</v>
      </c>
      <c r="T47" s="805">
        <f t="shared" si="53"/>
        <v>31740</v>
      </c>
      <c r="U47" s="856">
        <f t="shared" si="54"/>
        <v>0.1183932347</v>
      </c>
      <c r="V47" s="842">
        <f t="shared" si="55"/>
        <v>3360</v>
      </c>
      <c r="W47" s="865"/>
      <c r="X47" s="257"/>
      <c r="Y47" s="211">
        <v>43801.0</v>
      </c>
      <c r="Z47" s="260"/>
      <c r="AA47" s="257"/>
      <c r="AB47" s="863"/>
      <c r="AC47" s="863"/>
    </row>
    <row r="48">
      <c r="A48" s="523"/>
      <c r="B48" s="523"/>
      <c r="C48" s="344" t="s">
        <v>989</v>
      </c>
      <c r="D48" s="344" t="s">
        <v>169</v>
      </c>
      <c r="E48" s="638">
        <v>8.8</v>
      </c>
      <c r="F48" s="522">
        <v>56460.0</v>
      </c>
      <c r="G48" s="526">
        <f t="shared" si="52"/>
        <v>85100</v>
      </c>
      <c r="H48" s="521">
        <v>37.64</v>
      </c>
      <c r="I48" s="852">
        <f>IFERROR(__xludf.DUMMYFUNCTION("GOOGLEFINANCE(D48,""changepct"")"),-2.22)</f>
        <v>-2.22</v>
      </c>
      <c r="J48" s="516">
        <f>IFERROR(__xludf.DUMMYFUNCTION("googlefinance(D48,""price"")"),37.0)</f>
        <v>37</v>
      </c>
      <c r="K48" s="525">
        <f t="shared" si="49"/>
        <v>-0.64</v>
      </c>
      <c r="L48" s="853">
        <f t="shared" si="50"/>
        <v>-0.0170031881</v>
      </c>
      <c r="M48" s="526">
        <f t="shared" si="51"/>
        <v>-960</v>
      </c>
      <c r="N48" s="866">
        <v>0.0152</v>
      </c>
      <c r="O48" s="522">
        <v>380.0</v>
      </c>
      <c r="P48" s="854" t="s">
        <v>169</v>
      </c>
      <c r="Q48" s="790">
        <v>38.53</v>
      </c>
      <c r="R48" s="855">
        <f>IFERROR(__xludf.DUMMYFUNCTION("googlefinance(P48,""price"")"),37.0)</f>
        <v>37</v>
      </c>
      <c r="S48" s="788">
        <v>30824.0</v>
      </c>
      <c r="T48" s="805">
        <f t="shared" si="53"/>
        <v>29600</v>
      </c>
      <c r="U48" s="856">
        <f t="shared" si="54"/>
        <v>-0.03970931742</v>
      </c>
      <c r="V48" s="842">
        <f t="shared" si="55"/>
        <v>-1224</v>
      </c>
      <c r="W48" s="865"/>
      <c r="X48" s="257"/>
      <c r="Y48" s="211">
        <v>43801.0</v>
      </c>
      <c r="Z48" s="260"/>
      <c r="AA48" s="257"/>
      <c r="AB48" s="863"/>
      <c r="AC48" s="863"/>
    </row>
    <row r="49">
      <c r="A49" s="523"/>
      <c r="B49" s="523"/>
      <c r="C49" s="344" t="s">
        <v>989</v>
      </c>
      <c r="D49" s="344" t="s">
        <v>710</v>
      </c>
      <c r="E49" s="638">
        <v>8.4</v>
      </c>
      <c r="F49" s="522">
        <v>57551.0</v>
      </c>
      <c r="G49" s="526">
        <f t="shared" si="52"/>
        <v>81000</v>
      </c>
      <c r="H49" s="521">
        <v>44.27</v>
      </c>
      <c r="I49" s="852" t="str">
        <f>IFERROR(__xludf.DUMMYFUNCTION("GOOGLEFINANCE(D49,""changepct"")"),"#N/A")</f>
        <v>#N/A</v>
      </c>
      <c r="J49" s="597">
        <v>45.0</v>
      </c>
      <c r="K49" s="525">
        <f t="shared" si="49"/>
        <v>0.73</v>
      </c>
      <c r="L49" s="853">
        <f t="shared" si="50"/>
        <v>0.01648972216</v>
      </c>
      <c r="M49" s="526">
        <f t="shared" si="51"/>
        <v>949</v>
      </c>
      <c r="N49" s="866">
        <v>0.0052</v>
      </c>
      <c r="O49" s="522">
        <v>103.0</v>
      </c>
      <c r="P49" s="854" t="s">
        <v>710</v>
      </c>
      <c r="Q49" s="790">
        <v>41.56</v>
      </c>
      <c r="R49" s="893">
        <v>45.0</v>
      </c>
      <c r="S49" s="788">
        <v>20780.0</v>
      </c>
      <c r="T49" s="805">
        <f t="shared" si="53"/>
        <v>22500</v>
      </c>
      <c r="U49" s="856">
        <f t="shared" si="54"/>
        <v>0.08277189605</v>
      </c>
      <c r="V49" s="842">
        <f t="shared" si="55"/>
        <v>1720</v>
      </c>
      <c r="W49" s="865"/>
      <c r="X49" s="257"/>
      <c r="Y49" s="211">
        <v>43801.0</v>
      </c>
      <c r="Z49" s="260"/>
      <c r="AA49" s="257"/>
      <c r="AB49" s="863"/>
      <c r="AC49" s="863"/>
    </row>
    <row r="50">
      <c r="A50" s="523"/>
      <c r="B50" s="523"/>
      <c r="C50" s="344" t="s">
        <v>989</v>
      </c>
      <c r="D50" s="344" t="s">
        <v>573</v>
      </c>
      <c r="E50" s="638">
        <v>7.8</v>
      </c>
      <c r="F50" s="522">
        <v>46800.0</v>
      </c>
      <c r="G50" s="526">
        <f t="shared" si="52"/>
        <v>105250</v>
      </c>
      <c r="H50" s="521">
        <v>3.12</v>
      </c>
      <c r="I50" s="852">
        <f>IFERROR(__xludf.DUMMYFUNCTION("GOOGLEFINANCE(D50,""changepct"")"),-2.55)</f>
        <v>-2.55</v>
      </c>
      <c r="J50" s="516">
        <f>IFERROR(__xludf.DUMMYFUNCTION("googlefinance(D50,""price"")"),4.21)</f>
        <v>4.21</v>
      </c>
      <c r="K50" s="525">
        <f t="shared" si="49"/>
        <v>1.09</v>
      </c>
      <c r="L50" s="853">
        <f t="shared" si="50"/>
        <v>0.3493589744</v>
      </c>
      <c r="M50" s="526">
        <f t="shared" si="51"/>
        <v>16350</v>
      </c>
      <c r="N50" s="638" t="s">
        <v>128</v>
      </c>
      <c r="O50" s="526"/>
      <c r="P50" s="854" t="s">
        <v>573</v>
      </c>
      <c r="Q50" s="790">
        <v>3.27</v>
      </c>
      <c r="R50" s="855">
        <f>IFERROR(__xludf.DUMMYFUNCTION("googlefinance(P50,""price"")"),4.21)</f>
        <v>4.21</v>
      </c>
      <c r="S50" s="788">
        <v>32700.0</v>
      </c>
      <c r="T50" s="805">
        <f t="shared" si="53"/>
        <v>42100</v>
      </c>
      <c r="U50" s="856">
        <f t="shared" si="54"/>
        <v>0.2874617737</v>
      </c>
      <c r="V50" s="842">
        <f t="shared" si="55"/>
        <v>9400</v>
      </c>
      <c r="W50" s="865"/>
      <c r="X50" s="257"/>
      <c r="Y50" s="211">
        <v>43801.0</v>
      </c>
      <c r="Z50" s="260"/>
      <c r="AA50" s="257"/>
      <c r="AB50" s="863"/>
      <c r="AC50" s="863"/>
    </row>
    <row r="51">
      <c r="A51" s="523"/>
      <c r="B51" s="523"/>
      <c r="C51" s="344" t="s">
        <v>989</v>
      </c>
      <c r="D51" s="344" t="s">
        <v>550</v>
      </c>
      <c r="E51" s="638">
        <v>8.1</v>
      </c>
      <c r="F51" s="522">
        <v>54480.0</v>
      </c>
      <c r="G51" s="526">
        <f t="shared" si="52"/>
        <v>43120</v>
      </c>
      <c r="H51" s="521">
        <v>9.08</v>
      </c>
      <c r="I51" s="852">
        <f>IFERROR(__xludf.DUMMYFUNCTION("GOOGLEFINANCE(D51,""changepct"")"),-2.71)</f>
        <v>-2.71</v>
      </c>
      <c r="J51" s="516">
        <f>IFERROR(__xludf.DUMMYFUNCTION("googlefinance(D51,""price"")"),5.39)</f>
        <v>5.39</v>
      </c>
      <c r="K51" s="525">
        <f t="shared" si="49"/>
        <v>-3.69</v>
      </c>
      <c r="L51" s="853">
        <f t="shared" si="50"/>
        <v>-0.4063876652</v>
      </c>
      <c r="M51" s="526">
        <f t="shared" si="51"/>
        <v>-22140</v>
      </c>
      <c r="N51" s="638" t="s">
        <v>128</v>
      </c>
      <c r="O51" s="526"/>
      <c r="P51" s="854" t="s">
        <v>550</v>
      </c>
      <c r="Q51" s="790">
        <v>10.72</v>
      </c>
      <c r="R51" s="855">
        <f>IFERROR(__xludf.DUMMYFUNCTION("googlefinance(P51,""price"")"),5.39)</f>
        <v>5.39</v>
      </c>
      <c r="S51" s="788">
        <v>21440.0</v>
      </c>
      <c r="T51" s="805">
        <f t="shared" si="53"/>
        <v>10780</v>
      </c>
      <c r="U51" s="856">
        <f t="shared" si="54"/>
        <v>-0.4972014925</v>
      </c>
      <c r="V51" s="842">
        <f t="shared" si="55"/>
        <v>-10660</v>
      </c>
      <c r="W51" s="865"/>
      <c r="X51" s="257"/>
      <c r="Y51" s="211">
        <v>43801.0</v>
      </c>
      <c r="Z51" s="260"/>
      <c r="AA51" s="257"/>
      <c r="AB51" s="863"/>
      <c r="AC51" s="863"/>
    </row>
    <row r="52">
      <c r="A52" s="523"/>
      <c r="B52" s="523"/>
      <c r="C52" s="344" t="s">
        <v>989</v>
      </c>
      <c r="D52" s="344" t="s">
        <v>174</v>
      </c>
      <c r="E52" s="638">
        <v>7.7</v>
      </c>
      <c r="F52" s="522">
        <v>31300.0</v>
      </c>
      <c r="G52" s="526">
        <f t="shared" si="52"/>
        <v>59820</v>
      </c>
      <c r="H52" s="521">
        <v>15.65</v>
      </c>
      <c r="I52" s="852">
        <f>IFERROR(__xludf.DUMMYFUNCTION("GOOGLEFINANCE(D52,""changepct"")"),-3.11)</f>
        <v>-3.11</v>
      </c>
      <c r="J52" s="516">
        <f>IFERROR(__xludf.DUMMYFUNCTION("googlefinance(D52,""price"")"),19.94)</f>
        <v>19.94</v>
      </c>
      <c r="K52" s="525">
        <f t="shared" si="49"/>
        <v>4.29</v>
      </c>
      <c r="L52" s="853">
        <f t="shared" si="50"/>
        <v>0.2741214058</v>
      </c>
      <c r="M52" s="526">
        <f t="shared" si="51"/>
        <v>8580</v>
      </c>
      <c r="N52" s="866">
        <v>0.0079</v>
      </c>
      <c r="O52" s="522">
        <v>140.0</v>
      </c>
      <c r="P52" s="854" t="s">
        <v>174</v>
      </c>
      <c r="Q52" s="790">
        <v>19.17</v>
      </c>
      <c r="R52" s="855">
        <f>IFERROR(__xludf.DUMMYFUNCTION("googlefinance(P52,""price"")"),19.94)</f>
        <v>19.94</v>
      </c>
      <c r="S52" s="894">
        <v>19170.0</v>
      </c>
      <c r="T52" s="805">
        <f t="shared" si="53"/>
        <v>19940</v>
      </c>
      <c r="U52" s="856">
        <f t="shared" si="54"/>
        <v>0.04016692749</v>
      </c>
      <c r="V52" s="842">
        <f t="shared" si="55"/>
        <v>770</v>
      </c>
      <c r="W52" s="865"/>
      <c r="X52" s="257"/>
      <c r="Y52" s="211">
        <v>43801.0</v>
      </c>
      <c r="Z52" s="260"/>
      <c r="AA52" s="257"/>
      <c r="AB52" s="863"/>
      <c r="AC52" s="863"/>
    </row>
    <row r="53">
      <c r="A53" s="895"/>
      <c r="B53" s="876" t="s">
        <v>89</v>
      </c>
      <c r="C53" s="877"/>
      <c r="D53" s="877"/>
      <c r="E53" s="869" t="s">
        <v>128</v>
      </c>
      <c r="F53" s="896">
        <f t="shared" ref="F53:G53" si="56">SUM(F43:F52)</f>
        <v>705123.5</v>
      </c>
      <c r="G53" s="896">
        <f t="shared" si="56"/>
        <v>1032410</v>
      </c>
      <c r="H53" s="869" t="s">
        <v>128</v>
      </c>
      <c r="I53" s="869" t="s">
        <v>128</v>
      </c>
      <c r="J53" s="869" t="s">
        <v>128</v>
      </c>
      <c r="K53" s="869" t="s">
        <v>128</v>
      </c>
      <c r="L53" s="897">
        <f>M53/F53</f>
        <v>0.119123104</v>
      </c>
      <c r="M53" s="896">
        <f>SUM(M43:M52)</f>
        <v>83996.5</v>
      </c>
      <c r="N53" s="898"/>
      <c r="O53" s="896">
        <f>SUM(O46:O52)</f>
        <v>842</v>
      </c>
      <c r="P53" s="854" t="s">
        <v>89</v>
      </c>
      <c r="Q53" s="884"/>
      <c r="R53" s="885"/>
      <c r="S53" s="886">
        <f t="shared" ref="S53:T53" si="57">SUM(S45:S52)</f>
        <v>211904</v>
      </c>
      <c r="T53" s="886">
        <f t="shared" si="57"/>
        <v>243290</v>
      </c>
      <c r="U53" s="856">
        <f>V53/S53</f>
        <v>0.1481142404</v>
      </c>
      <c r="V53" s="886">
        <f>SUM(V45:V52)</f>
        <v>31386</v>
      </c>
      <c r="W53" s="887"/>
      <c r="X53" s="889"/>
      <c r="Y53" s="889"/>
      <c r="Z53" s="260"/>
      <c r="AA53" s="257"/>
      <c r="AB53" s="863"/>
      <c r="AC53" s="863"/>
    </row>
    <row r="54">
      <c r="A54" s="784" t="s">
        <v>990</v>
      </c>
      <c r="B54" s="899" t="s">
        <v>991</v>
      </c>
      <c r="C54" s="510" t="s">
        <v>182</v>
      </c>
      <c r="D54" s="510" t="s">
        <v>4</v>
      </c>
      <c r="E54" s="510" t="s">
        <v>5</v>
      </c>
      <c r="F54" s="544" t="s">
        <v>975</v>
      </c>
      <c r="G54" s="505" t="s">
        <v>786</v>
      </c>
      <c r="H54" s="673" t="s">
        <v>992</v>
      </c>
      <c r="I54" s="874" t="s">
        <v>10</v>
      </c>
      <c r="J54" s="673" t="s">
        <v>11</v>
      </c>
      <c r="K54" s="508" t="s">
        <v>13</v>
      </c>
      <c r="L54" s="851" t="s">
        <v>845</v>
      </c>
      <c r="M54" s="508" t="s">
        <v>468</v>
      </c>
      <c r="N54" s="510" t="s">
        <v>16</v>
      </c>
      <c r="O54" s="510" t="s">
        <v>17</v>
      </c>
      <c r="P54" s="854"/>
      <c r="Q54" s="807"/>
      <c r="R54" s="855"/>
      <c r="S54" s="842"/>
      <c r="T54" s="800"/>
      <c r="U54" s="856"/>
      <c r="V54" s="833"/>
      <c r="W54" s="865"/>
      <c r="X54" s="257"/>
      <c r="Y54" s="257"/>
      <c r="Z54" s="260"/>
      <c r="AA54" s="257"/>
      <c r="AB54" s="863"/>
      <c r="AC54" s="863"/>
    </row>
    <row r="55">
      <c r="A55" s="502" t="s">
        <v>733</v>
      </c>
      <c r="B55" s="882">
        <f>G61/D68</f>
        <v>0</v>
      </c>
      <c r="C55" s="601" t="s">
        <v>413</v>
      </c>
      <c r="D55" s="344" t="s">
        <v>185</v>
      </c>
      <c r="E55" s="638">
        <v>8.9</v>
      </c>
      <c r="F55" s="522">
        <v>413600.0</v>
      </c>
      <c r="G55" s="526">
        <f t="shared" ref="G55:G60" si="58">F55+M55</f>
        <v>0</v>
      </c>
      <c r="H55" s="521">
        <v>8272.0</v>
      </c>
      <c r="I55" s="900"/>
      <c r="J55" s="901"/>
      <c r="K55" s="525">
        <f t="shared" ref="K55:K60" si="59">J55-H55</f>
        <v>-8272</v>
      </c>
      <c r="L55" s="853">
        <f t="shared" ref="L55:L60" si="60">J55/H55-1</f>
        <v>-1</v>
      </c>
      <c r="M55" s="526">
        <f t="shared" ref="M55:M60" si="61">F55*L55</f>
        <v>-413600</v>
      </c>
      <c r="N55" s="638" t="s">
        <v>128</v>
      </c>
      <c r="O55" s="524"/>
      <c r="P55" s="854"/>
      <c r="Q55" s="807"/>
      <c r="R55" s="855"/>
      <c r="S55" s="842"/>
      <c r="T55" s="800"/>
      <c r="U55" s="856"/>
      <c r="V55" s="833"/>
      <c r="W55" s="865"/>
      <c r="X55" s="257"/>
      <c r="Y55" s="257"/>
      <c r="Z55" s="260"/>
      <c r="AA55" s="257"/>
      <c r="AB55" s="863"/>
      <c r="AC55" s="863"/>
    </row>
    <row r="56">
      <c r="A56" s="883"/>
      <c r="B56" s="883"/>
      <c r="C56" s="344" t="s">
        <v>832</v>
      </c>
      <c r="D56" s="344" t="s">
        <v>204</v>
      </c>
      <c r="E56" s="638">
        <v>8.7</v>
      </c>
      <c r="F56" s="522">
        <v>167580.0</v>
      </c>
      <c r="G56" s="526">
        <f t="shared" si="58"/>
        <v>0</v>
      </c>
      <c r="H56" s="521">
        <v>55.86</v>
      </c>
      <c r="I56" s="900"/>
      <c r="J56" s="901"/>
      <c r="K56" s="525">
        <f t="shared" si="59"/>
        <v>-55.86</v>
      </c>
      <c r="L56" s="853">
        <f t="shared" si="60"/>
        <v>-1</v>
      </c>
      <c r="M56" s="526">
        <f t="shared" si="61"/>
        <v>-167580</v>
      </c>
      <c r="N56" s="638" t="s">
        <v>128</v>
      </c>
      <c r="O56" s="524"/>
      <c r="P56" s="864"/>
      <c r="Q56" s="807"/>
      <c r="R56" s="855"/>
      <c r="S56" s="842"/>
      <c r="T56" s="800"/>
      <c r="U56" s="856"/>
      <c r="V56" s="833"/>
      <c r="W56" s="865"/>
      <c r="X56" s="257"/>
      <c r="Y56" s="257"/>
      <c r="Z56" s="260"/>
      <c r="AA56" s="257"/>
      <c r="AB56" s="863"/>
      <c r="AC56" s="863"/>
    </row>
    <row r="57">
      <c r="A57" s="523"/>
      <c r="B57" s="523"/>
      <c r="C57" s="344" t="s">
        <v>359</v>
      </c>
      <c r="D57" s="563" t="s">
        <v>360</v>
      </c>
      <c r="E57" s="638">
        <v>8.4</v>
      </c>
      <c r="F57" s="522">
        <v>105600.0</v>
      </c>
      <c r="G57" s="526">
        <f t="shared" si="58"/>
        <v>0</v>
      </c>
      <c r="H57" s="521">
        <v>70.4</v>
      </c>
      <c r="I57" s="900"/>
      <c r="J57" s="901"/>
      <c r="K57" s="525">
        <f t="shared" si="59"/>
        <v>-70.4</v>
      </c>
      <c r="L57" s="853">
        <f t="shared" si="60"/>
        <v>-1</v>
      </c>
      <c r="M57" s="526">
        <f t="shared" si="61"/>
        <v>-105600</v>
      </c>
      <c r="N57" s="638" t="s">
        <v>128</v>
      </c>
      <c r="O57" s="524"/>
      <c r="P57" s="864"/>
      <c r="Q57" s="807"/>
      <c r="R57" s="855"/>
      <c r="S57" s="842"/>
      <c r="T57" s="800"/>
      <c r="U57" s="856"/>
      <c r="V57" s="833"/>
      <c r="W57" s="865"/>
      <c r="X57" s="257"/>
      <c r="Y57" s="257"/>
      <c r="Z57" s="260"/>
      <c r="AA57" s="257"/>
      <c r="AB57" s="863"/>
      <c r="AC57" s="863"/>
    </row>
    <row r="58">
      <c r="A58" s="523"/>
      <c r="B58" s="523"/>
      <c r="C58" s="344" t="s">
        <v>692</v>
      </c>
      <c r="D58" s="563" t="s">
        <v>418</v>
      </c>
      <c r="E58" s="638">
        <v>8.3</v>
      </c>
      <c r="F58" s="522">
        <v>124670.0</v>
      </c>
      <c r="G58" s="526">
        <f t="shared" si="58"/>
        <v>0</v>
      </c>
      <c r="H58" s="521">
        <v>38.36</v>
      </c>
      <c r="I58" s="900"/>
      <c r="J58" s="901"/>
      <c r="K58" s="525">
        <f t="shared" si="59"/>
        <v>-38.36</v>
      </c>
      <c r="L58" s="853">
        <f t="shared" si="60"/>
        <v>-1</v>
      </c>
      <c r="M58" s="526">
        <f t="shared" si="61"/>
        <v>-124670</v>
      </c>
      <c r="N58" s="638" t="s">
        <v>128</v>
      </c>
      <c r="O58" s="524"/>
      <c r="P58" s="864"/>
      <c r="Q58" s="807"/>
      <c r="R58" s="855"/>
      <c r="S58" s="842"/>
      <c r="T58" s="800"/>
      <c r="U58" s="856"/>
      <c r="V58" s="833"/>
      <c r="W58" s="865"/>
      <c r="X58" s="257"/>
      <c r="Y58" s="257"/>
      <c r="Z58" s="260"/>
      <c r="AA58" s="257"/>
      <c r="AB58" s="863"/>
      <c r="AC58" s="863"/>
    </row>
    <row r="59">
      <c r="A59" s="523"/>
      <c r="B59" s="523"/>
      <c r="C59" s="219" t="s">
        <v>933</v>
      </c>
      <c r="D59" s="519" t="s">
        <v>934</v>
      </c>
      <c r="E59" s="638">
        <v>8.1</v>
      </c>
      <c r="F59" s="522">
        <v>81690.0</v>
      </c>
      <c r="G59" s="526">
        <f t="shared" si="58"/>
        <v>0</v>
      </c>
      <c r="H59" s="521">
        <v>7.78</v>
      </c>
      <c r="I59" s="900"/>
      <c r="J59" s="901"/>
      <c r="K59" s="525">
        <f t="shared" si="59"/>
        <v>-7.78</v>
      </c>
      <c r="L59" s="853">
        <f t="shared" si="60"/>
        <v>-1</v>
      </c>
      <c r="M59" s="526">
        <f t="shared" si="61"/>
        <v>-81690</v>
      </c>
      <c r="N59" s="638" t="s">
        <v>128</v>
      </c>
      <c r="O59" s="524"/>
      <c r="P59" s="864"/>
      <c r="Q59" s="807"/>
      <c r="R59" s="855"/>
      <c r="S59" s="842"/>
      <c r="T59" s="800"/>
      <c r="U59" s="856"/>
      <c r="V59" s="833"/>
      <c r="W59" s="865"/>
      <c r="X59" s="257"/>
      <c r="Y59" s="257"/>
      <c r="Z59" s="260"/>
      <c r="AA59" s="257"/>
      <c r="AB59" s="863"/>
      <c r="AC59" s="863"/>
    </row>
    <row r="60">
      <c r="A60" s="523"/>
      <c r="B60" s="523"/>
      <c r="C60" s="519" t="s">
        <v>513</v>
      </c>
      <c r="D60" s="519" t="s">
        <v>514</v>
      </c>
      <c r="E60" s="638">
        <v>8.7</v>
      </c>
      <c r="F60" s="522">
        <v>111500.0</v>
      </c>
      <c r="G60" s="526">
        <f t="shared" si="58"/>
        <v>0</v>
      </c>
      <c r="H60" s="521">
        <v>55.75</v>
      </c>
      <c r="I60" s="900"/>
      <c r="J60" s="901"/>
      <c r="K60" s="525">
        <f t="shared" si="59"/>
        <v>-55.75</v>
      </c>
      <c r="L60" s="853">
        <f t="shared" si="60"/>
        <v>-1</v>
      </c>
      <c r="M60" s="526">
        <f t="shared" si="61"/>
        <v>-111500</v>
      </c>
      <c r="N60" s="638" t="s">
        <v>128</v>
      </c>
      <c r="O60" s="524"/>
      <c r="P60" s="864"/>
      <c r="Q60" s="807"/>
      <c r="R60" s="855"/>
      <c r="S60" s="842"/>
      <c r="T60" s="800"/>
      <c r="U60" s="856"/>
      <c r="V60" s="833"/>
      <c r="W60" s="865"/>
      <c r="X60" s="257"/>
      <c r="Y60" s="257"/>
      <c r="Z60" s="260"/>
      <c r="AA60" s="257"/>
      <c r="AB60" s="863"/>
      <c r="AC60" s="863"/>
    </row>
    <row r="61">
      <c r="A61" s="867"/>
      <c r="B61" s="868" t="s">
        <v>89</v>
      </c>
      <c r="C61" s="867"/>
      <c r="D61" s="867"/>
      <c r="E61" s="869" t="s">
        <v>128</v>
      </c>
      <c r="F61" s="870">
        <f t="shared" ref="F61:G61" si="62">SUM(F55:F60)</f>
        <v>1004640</v>
      </c>
      <c r="G61" s="870">
        <f t="shared" si="62"/>
        <v>0</v>
      </c>
      <c r="H61" s="869" t="s">
        <v>128</v>
      </c>
      <c r="I61" s="869" t="s">
        <v>128</v>
      </c>
      <c r="J61" s="869" t="s">
        <v>128</v>
      </c>
      <c r="K61" s="869" t="s">
        <v>128</v>
      </c>
      <c r="L61" s="853">
        <f>M61/F61</f>
        <v>-0.2189192148</v>
      </c>
      <c r="M61" s="902">
        <v>-219935.0</v>
      </c>
      <c r="N61" s="872"/>
      <c r="O61" s="872"/>
      <c r="P61" s="864"/>
      <c r="Q61" s="807"/>
      <c r="R61" s="855"/>
      <c r="S61" s="842"/>
      <c r="T61" s="800"/>
      <c r="U61" s="856"/>
      <c r="V61" s="833"/>
      <c r="W61" s="865"/>
      <c r="X61" s="257"/>
      <c r="Y61" s="257"/>
      <c r="Z61" s="260"/>
      <c r="AA61" s="257"/>
      <c r="AB61" s="863"/>
      <c r="AC61" s="863"/>
    </row>
    <row r="62">
      <c r="A62" s="784" t="s">
        <v>993</v>
      </c>
      <c r="B62" s="785" t="s">
        <v>994</v>
      </c>
      <c r="C62" s="785" t="s">
        <v>228</v>
      </c>
      <c r="D62" s="785" t="s">
        <v>995</v>
      </c>
      <c r="E62" s="785" t="s">
        <v>996</v>
      </c>
      <c r="F62" s="785" t="s">
        <v>997</v>
      </c>
      <c r="G62" s="510" t="s">
        <v>998</v>
      </c>
      <c r="H62" s="510" t="s">
        <v>999</v>
      </c>
      <c r="I62" s="510" t="s">
        <v>1000</v>
      </c>
      <c r="J62" s="610"/>
      <c r="K62" s="610"/>
      <c r="L62" s="610"/>
      <c r="M62" s="610"/>
      <c r="N62" s="610"/>
      <c r="O62" s="610"/>
      <c r="P62" s="735" t="s">
        <v>89</v>
      </c>
      <c r="Q62" s="821"/>
      <c r="R62" s="814"/>
      <c r="S62" s="812"/>
      <c r="T62" s="821"/>
      <c r="U62" s="903"/>
      <c r="V62" s="904"/>
      <c r="W62" s="821"/>
      <c r="X62" s="821"/>
      <c r="Y62" s="821"/>
      <c r="Z62" s="239"/>
      <c r="AA62" s="239"/>
      <c r="AB62" s="241"/>
      <c r="AC62" s="667">
        <f>SUM(AC2:AC61)</f>
        <v>356830</v>
      </c>
    </row>
    <row r="63">
      <c r="A63" s="519" t="s">
        <v>424</v>
      </c>
      <c r="B63" s="905">
        <f>F12+F19+F24+F31+F37+G63-G65</f>
        <v>816070.1</v>
      </c>
      <c r="C63" s="883">
        <f>D63/D68</f>
        <v>0.2949140851</v>
      </c>
      <c r="D63" s="906">
        <v>1013313.0</v>
      </c>
      <c r="E63" s="907">
        <f>D63/B63-1</f>
        <v>0.2416984766</v>
      </c>
      <c r="F63" s="905">
        <f>B63*E63</f>
        <v>197242.9</v>
      </c>
      <c r="G63" s="905">
        <f>S41</f>
        <v>382237</v>
      </c>
      <c r="H63" s="905">
        <f>F63+I64+I66</f>
        <v>260180.9</v>
      </c>
      <c r="I63" s="908">
        <f>I64/D68</f>
        <v>0.01576182493</v>
      </c>
      <c r="J63" s="610"/>
      <c r="K63" s="610"/>
      <c r="L63" s="610"/>
      <c r="M63" s="610"/>
      <c r="N63" s="610"/>
      <c r="O63" s="610"/>
      <c r="P63" s="909"/>
      <c r="Q63" s="909"/>
      <c r="R63" s="909"/>
      <c r="S63" s="909"/>
      <c r="T63" s="909"/>
      <c r="U63" s="910"/>
      <c r="V63" s="909"/>
      <c r="W63" s="909"/>
      <c r="X63" s="909"/>
      <c r="Y63" s="909"/>
    </row>
    <row r="64">
      <c r="A64" s="519" t="s">
        <v>409</v>
      </c>
      <c r="B64" s="905">
        <f>F53+S53</f>
        <v>917027.5</v>
      </c>
      <c r="C64" s="883">
        <f>D64/D68</f>
        <v>0.3014851744</v>
      </c>
      <c r="D64" s="906">
        <v>1035891.0</v>
      </c>
      <c r="E64" s="907">
        <f>M53/G53</f>
        <v>0.08135963425</v>
      </c>
      <c r="F64" s="906">
        <v>80228.0</v>
      </c>
      <c r="G64" s="510" t="s">
        <v>1001</v>
      </c>
      <c r="H64" s="510" t="s">
        <v>1002</v>
      </c>
      <c r="I64" s="906">
        <v>54157.0</v>
      </c>
      <c r="J64" s="610"/>
      <c r="K64" s="610"/>
      <c r="L64" s="610"/>
      <c r="M64" s="610"/>
      <c r="N64" s="610"/>
      <c r="O64" s="610"/>
      <c r="P64" s="909"/>
      <c r="Q64" s="909"/>
      <c r="R64" s="909"/>
      <c r="S64" s="909"/>
      <c r="T64" s="909"/>
      <c r="U64" s="909"/>
      <c r="V64" s="909"/>
      <c r="W64" s="909"/>
      <c r="X64" s="909"/>
      <c r="Y64" s="909"/>
    </row>
    <row r="65">
      <c r="A65" s="519" t="s">
        <v>1003</v>
      </c>
      <c r="B65" s="905">
        <f>F41</f>
        <v>384150</v>
      </c>
      <c r="C65" s="883">
        <f>D65/D68</f>
        <v>0.1072625991</v>
      </c>
      <c r="D65" s="906">
        <v>368550.0</v>
      </c>
      <c r="E65" s="907">
        <f t="shared" ref="E65:E66" si="63">D65/B65-1</f>
        <v>-0.04060913706</v>
      </c>
      <c r="F65" s="905">
        <f t="shared" ref="F65:F66" si="64">B65*E65</f>
        <v>-15600</v>
      </c>
      <c r="G65" s="905">
        <f>AC62</f>
        <v>356830</v>
      </c>
      <c r="H65" s="907">
        <f>E63+I63</f>
        <v>0.2574603016</v>
      </c>
      <c r="I65" s="510" t="s">
        <v>1004</v>
      </c>
      <c r="J65" s="610"/>
      <c r="K65" s="610"/>
      <c r="L65" s="610"/>
      <c r="M65" s="610"/>
      <c r="N65" s="610"/>
      <c r="O65" s="610"/>
      <c r="P65" s="909"/>
      <c r="Q65" s="909"/>
      <c r="R65" s="909"/>
      <c r="S65" s="909"/>
      <c r="T65" s="909"/>
      <c r="U65" s="909"/>
      <c r="V65" s="909"/>
      <c r="W65" s="909"/>
      <c r="X65" s="909"/>
      <c r="Y65" s="909"/>
    </row>
    <row r="66">
      <c r="A66" s="519" t="s">
        <v>1005</v>
      </c>
      <c r="B66" s="905">
        <f>F61</f>
        <v>1004640</v>
      </c>
      <c r="C66" s="883">
        <f>D66/D68</f>
        <v>0.2283801325</v>
      </c>
      <c r="D66" s="906">
        <v>784705.0</v>
      </c>
      <c r="E66" s="907">
        <f t="shared" si="63"/>
        <v>-0.2189192148</v>
      </c>
      <c r="F66" s="905">
        <f t="shared" si="64"/>
        <v>-219935</v>
      </c>
      <c r="G66" s="510" t="s">
        <v>1006</v>
      </c>
      <c r="H66" s="524"/>
      <c r="I66" s="905">
        <f>O53+O37+O31+O24+O19+O12+X41+O41</f>
        <v>8781</v>
      </c>
      <c r="J66" s="610"/>
      <c r="K66" s="610"/>
      <c r="L66" s="610"/>
      <c r="M66" s="610"/>
      <c r="N66" s="610"/>
      <c r="O66" s="610"/>
      <c r="P66" s="909"/>
      <c r="Q66" s="909"/>
      <c r="R66" s="909"/>
      <c r="S66" s="909"/>
      <c r="T66" s="909"/>
      <c r="U66" s="909"/>
      <c r="V66" s="909"/>
      <c r="W66" s="909"/>
      <c r="X66" s="909"/>
      <c r="Y66" s="909"/>
    </row>
    <row r="67">
      <c r="A67" s="519" t="s">
        <v>1007</v>
      </c>
      <c r="B67" s="906">
        <v>173432.0</v>
      </c>
      <c r="C67" s="883">
        <f>D67/D68</f>
        <v>0.06795800882</v>
      </c>
      <c r="D67" s="905">
        <f>407874+F67+AC62-S53-S41</f>
        <v>233501</v>
      </c>
      <c r="E67" s="219" t="s">
        <v>128</v>
      </c>
      <c r="F67" s="906">
        <f>I64+I66</f>
        <v>62938</v>
      </c>
      <c r="G67" s="905">
        <f>S53</f>
        <v>211904</v>
      </c>
      <c r="H67" s="524"/>
      <c r="I67" s="524"/>
      <c r="J67" s="610"/>
      <c r="K67" s="610"/>
      <c r="L67" s="610"/>
      <c r="M67" s="610"/>
      <c r="N67" s="610"/>
      <c r="O67" s="610"/>
      <c r="P67" s="909"/>
      <c r="Q67" s="909"/>
      <c r="R67" s="909"/>
      <c r="S67" s="909"/>
      <c r="T67" s="909"/>
      <c r="U67" s="909"/>
      <c r="V67" s="909"/>
      <c r="W67" s="909"/>
      <c r="X67" s="909"/>
      <c r="Y67" s="909"/>
    </row>
    <row r="68">
      <c r="A68" s="911" t="s">
        <v>113</v>
      </c>
      <c r="B68" s="912">
        <f t="shared" ref="B68:D68" si="65">SUM(B63:B67)</f>
        <v>3295319.6</v>
      </c>
      <c r="C68" s="913">
        <f t="shared" si="65"/>
        <v>1</v>
      </c>
      <c r="D68" s="914">
        <f t="shared" si="65"/>
        <v>3435960</v>
      </c>
      <c r="E68" s="907">
        <f>F68/B68</f>
        <v>0.03182510734</v>
      </c>
      <c r="F68" s="914">
        <f>SUM(F63:F67)</f>
        <v>104873.9</v>
      </c>
      <c r="G68" s="915"/>
      <c r="H68" s="915"/>
      <c r="I68" s="915"/>
      <c r="J68" s="610"/>
      <c r="K68" s="610"/>
      <c r="L68" s="610"/>
      <c r="M68" s="610"/>
      <c r="N68" s="610"/>
      <c r="O68" s="610"/>
      <c r="P68" s="909"/>
      <c r="Q68" s="909"/>
      <c r="R68" s="909"/>
      <c r="S68" s="909"/>
      <c r="T68" s="909"/>
      <c r="U68" s="909"/>
      <c r="V68" s="909"/>
      <c r="W68" s="909"/>
      <c r="X68" s="909"/>
      <c r="Y68" s="909"/>
    </row>
    <row r="69">
      <c r="A69" s="779" t="s">
        <v>892</v>
      </c>
      <c r="B69" s="909"/>
      <c r="C69" s="909"/>
      <c r="D69" s="909"/>
      <c r="E69" s="909"/>
      <c r="F69" s="909"/>
      <c r="G69" s="909"/>
      <c r="H69" s="909"/>
      <c r="I69" s="909"/>
      <c r="J69" s="909"/>
      <c r="K69" s="909"/>
      <c r="L69" s="909"/>
      <c r="M69" s="909"/>
      <c r="N69" s="909"/>
      <c r="O69" s="909"/>
      <c r="P69" s="909"/>
      <c r="Q69" s="909"/>
      <c r="R69" s="909"/>
      <c r="S69" s="909"/>
      <c r="T69" s="909"/>
      <c r="U69" s="909"/>
      <c r="V69" s="909"/>
      <c r="W69" s="909"/>
      <c r="X69" s="909"/>
      <c r="Y69" s="909"/>
    </row>
    <row r="70">
      <c r="A70" s="746" t="s">
        <v>970</v>
      </c>
      <c r="B70" s="916"/>
      <c r="C70" s="916"/>
      <c r="D70" s="916"/>
      <c r="E70" s="916"/>
      <c r="F70" s="226"/>
      <c r="G70" s="228" t="s">
        <v>1008</v>
      </c>
      <c r="H70" s="226"/>
      <c r="I70" s="228" t="s">
        <v>1009</v>
      </c>
      <c r="J70" s="226" t="s">
        <v>15</v>
      </c>
      <c r="K70" s="226" t="s">
        <v>578</v>
      </c>
      <c r="L70" s="909"/>
      <c r="M70" s="909"/>
      <c r="N70" s="909"/>
      <c r="O70" s="909"/>
      <c r="P70" s="909"/>
      <c r="Q70" s="909"/>
      <c r="R70" s="909"/>
      <c r="S70" s="909"/>
      <c r="T70" s="909"/>
      <c r="U70" s="909"/>
      <c r="V70" s="909"/>
      <c r="W70" s="909"/>
      <c r="X70" s="909"/>
      <c r="Y70" s="909"/>
    </row>
    <row r="71">
      <c r="A71" s="344" t="s">
        <v>265</v>
      </c>
      <c r="B71" s="231" t="s">
        <v>266</v>
      </c>
      <c r="C71" s="917"/>
      <c r="D71" s="917"/>
      <c r="E71" s="917"/>
      <c r="F71" s="918"/>
      <c r="G71" s="919">
        <v>27031.0</v>
      </c>
      <c r="H71" s="920"/>
      <c r="I71" s="234">
        <f>IFERROR(__xludf.DUMMYFUNCTION("GOOGLEFINANCE(B71,""price"")"),42573.73)</f>
        <v>42573.73</v>
      </c>
      <c r="J71" s="234">
        <f t="shared" ref="J71:J75" si="66">I71-G71</f>
        <v>15542.73</v>
      </c>
      <c r="K71" s="921">
        <f t="shared" ref="K71:K75" si="67">I71/G71-1</f>
        <v>0.5749964855</v>
      </c>
      <c r="L71" s="909"/>
      <c r="M71" s="909"/>
      <c r="N71" s="909"/>
      <c r="O71" s="909"/>
      <c r="P71" s="909"/>
      <c r="Q71" s="909"/>
      <c r="R71" s="909"/>
      <c r="S71" s="909"/>
      <c r="T71" s="909"/>
      <c r="U71" s="909"/>
      <c r="V71" s="909"/>
      <c r="W71" s="909"/>
      <c r="X71" s="909"/>
      <c r="Y71" s="909"/>
    </row>
    <row r="72">
      <c r="A72" s="344" t="s">
        <v>267</v>
      </c>
      <c r="B72" s="364" t="s">
        <v>268</v>
      </c>
      <c r="C72" s="922"/>
      <c r="D72" s="922"/>
      <c r="E72" s="917"/>
      <c r="F72" s="918"/>
      <c r="G72" s="919">
        <v>2992.0</v>
      </c>
      <c r="H72" s="920"/>
      <c r="I72" s="234">
        <f>IFERROR(__xludf.DUMMYFUNCTION("GOOGLEFINANCE(B72,""price"")"),5906.94)</f>
        <v>5906.94</v>
      </c>
      <c r="J72" s="234">
        <f t="shared" si="66"/>
        <v>2914.94</v>
      </c>
      <c r="K72" s="921">
        <f t="shared" si="67"/>
        <v>0.9742446524</v>
      </c>
      <c r="L72" s="909"/>
      <c r="M72" s="909"/>
      <c r="N72" s="909"/>
      <c r="O72" s="909"/>
      <c r="P72" s="909"/>
      <c r="Q72" s="909"/>
      <c r="R72" s="909"/>
      <c r="S72" s="909"/>
      <c r="T72" s="909"/>
      <c r="U72" s="909"/>
      <c r="V72" s="909"/>
      <c r="W72" s="909"/>
      <c r="X72" s="909"/>
      <c r="Y72" s="909"/>
    </row>
    <row r="73">
      <c r="A73" s="344" t="s">
        <v>269</v>
      </c>
      <c r="B73" s="231" t="s">
        <v>270</v>
      </c>
      <c r="C73" s="917"/>
      <c r="D73" s="917"/>
      <c r="E73" s="917"/>
      <c r="F73" s="918"/>
      <c r="G73" s="919">
        <v>8054.0</v>
      </c>
      <c r="H73" s="920"/>
      <c r="I73" s="234">
        <f>IFERROR(__xludf.DUMMYFUNCTION("GOOGLEFINANCE(B73,""price"")"),19486.79)</f>
        <v>19486.79</v>
      </c>
      <c r="J73" s="234">
        <f t="shared" si="66"/>
        <v>11432.79</v>
      </c>
      <c r="K73" s="921">
        <f t="shared" si="67"/>
        <v>1.41951701</v>
      </c>
      <c r="L73" s="909"/>
      <c r="M73" s="909"/>
      <c r="N73" s="909"/>
      <c r="O73" s="909"/>
      <c r="P73" s="909"/>
      <c r="Q73" s="909"/>
      <c r="R73" s="909"/>
      <c r="S73" s="909"/>
      <c r="T73" s="909"/>
      <c r="U73" s="909"/>
      <c r="V73" s="909"/>
      <c r="W73" s="909"/>
      <c r="X73" s="909"/>
      <c r="Y73" s="909"/>
    </row>
    <row r="74">
      <c r="A74" s="344" t="s">
        <v>271</v>
      </c>
      <c r="B74" s="231" t="s">
        <v>272</v>
      </c>
      <c r="C74" s="917"/>
      <c r="D74" s="917"/>
      <c r="E74" s="917"/>
      <c r="F74" s="918"/>
      <c r="G74" s="919">
        <v>1538.0</v>
      </c>
      <c r="H74" s="920"/>
      <c r="I74" s="234">
        <f>IFERROR(__xludf.DUMMYFUNCTION("GOOGLEFINANCE(B74,""price"")"),2227.78)</f>
        <v>2227.78</v>
      </c>
      <c r="J74" s="234">
        <f t="shared" si="66"/>
        <v>689.78</v>
      </c>
      <c r="K74" s="921">
        <f t="shared" si="67"/>
        <v>0.4484915475</v>
      </c>
      <c r="L74" s="909"/>
      <c r="M74" s="909"/>
      <c r="N74" s="909"/>
      <c r="O74" s="909"/>
      <c r="P74" s="909"/>
      <c r="Q74" s="909"/>
      <c r="R74" s="909"/>
      <c r="S74" s="909"/>
      <c r="T74" s="909"/>
      <c r="U74" s="909"/>
      <c r="V74" s="909"/>
      <c r="W74" s="909"/>
      <c r="X74" s="909"/>
      <c r="Y74" s="909"/>
    </row>
    <row r="75">
      <c r="A75" s="344" t="s">
        <v>273</v>
      </c>
      <c r="B75" s="231" t="s">
        <v>274</v>
      </c>
      <c r="C75" s="917"/>
      <c r="D75" s="917"/>
      <c r="E75" s="917"/>
      <c r="F75" s="918"/>
      <c r="G75" s="919">
        <v>13038.0</v>
      </c>
      <c r="H75" s="920"/>
      <c r="I75" s="234">
        <f>IFERROR(__xludf.DUMMYFUNCTION("GOOGLEFINANCE(B75,""price"")"),19077.93)</f>
        <v>19077.93</v>
      </c>
      <c r="J75" s="234">
        <f t="shared" si="66"/>
        <v>6039.93</v>
      </c>
      <c r="K75" s="921">
        <f t="shared" si="67"/>
        <v>0.4632558675</v>
      </c>
      <c r="L75" s="909"/>
      <c r="M75" s="909"/>
      <c r="N75" s="909"/>
      <c r="O75" s="909"/>
      <c r="P75" s="909"/>
      <c r="Q75" s="909"/>
      <c r="R75" s="909"/>
      <c r="S75" s="909"/>
      <c r="T75" s="909"/>
      <c r="U75" s="909"/>
      <c r="V75" s="909"/>
      <c r="W75" s="909"/>
      <c r="X75" s="909"/>
      <c r="Y75" s="909"/>
    </row>
    <row r="76">
      <c r="A76" s="781" t="s">
        <v>973</v>
      </c>
    </row>
    <row r="77">
      <c r="A77" s="781" t="s">
        <v>974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7.0"/>
    <col customWidth="1" min="3" max="3" width="24.13"/>
    <col customWidth="1" min="4" max="4" width="23.0"/>
    <col customWidth="1" min="5" max="5" width="17.5"/>
    <col customWidth="1" min="6" max="6" width="21.13"/>
    <col customWidth="1" min="7" max="7" width="24.5"/>
    <col customWidth="1" min="9" max="9" width="25.25"/>
    <col customWidth="1" min="10" max="10" width="23.38"/>
    <col customWidth="1" min="11" max="11" width="18.88"/>
    <col customWidth="1" min="12" max="12" width="13.38"/>
    <col customWidth="1" min="13" max="13" width="13.63"/>
    <col customWidth="1" min="14" max="14" width="27.38"/>
    <col customWidth="1" min="15" max="17" width="15.75"/>
    <col customWidth="1" min="19" max="20" width="14.25"/>
    <col customWidth="1" min="21" max="21" width="15.0"/>
    <col customWidth="1" min="22" max="23" width="18.25"/>
    <col customWidth="1" min="24" max="24" width="17.0"/>
    <col customWidth="1" min="26" max="26" width="15.75"/>
    <col customWidth="1" min="33" max="33" width="13.63"/>
  </cols>
  <sheetData>
    <row r="1">
      <c r="A1" s="923" t="s">
        <v>719</v>
      </c>
      <c r="B1" s="877" t="s">
        <v>3</v>
      </c>
      <c r="C1" s="924" t="s">
        <v>1010</v>
      </c>
      <c r="D1" s="925" t="s">
        <v>5</v>
      </c>
      <c r="E1" s="926" t="s">
        <v>1011</v>
      </c>
      <c r="F1" s="927" t="s">
        <v>1012</v>
      </c>
      <c r="G1" s="927" t="s">
        <v>1013</v>
      </c>
      <c r="H1" s="928" t="s">
        <v>10</v>
      </c>
      <c r="I1" s="928" t="s">
        <v>1014</v>
      </c>
      <c r="J1" s="924" t="s">
        <v>1015</v>
      </c>
      <c r="K1" s="925" t="s">
        <v>1016</v>
      </c>
      <c r="L1" s="925" t="s">
        <v>329</v>
      </c>
      <c r="M1" s="925" t="s">
        <v>1017</v>
      </c>
      <c r="N1" s="854" t="s">
        <v>17</v>
      </c>
      <c r="O1" s="854"/>
      <c r="P1" s="854" t="s">
        <v>1018</v>
      </c>
      <c r="Q1" s="854" t="s">
        <v>1019</v>
      </c>
      <c r="R1" s="854" t="s">
        <v>5</v>
      </c>
      <c r="S1" s="854" t="s">
        <v>1020</v>
      </c>
      <c r="T1" s="929" t="s">
        <v>1021</v>
      </c>
      <c r="U1" s="929" t="s">
        <v>1022</v>
      </c>
      <c r="V1" s="929" t="s">
        <v>1023</v>
      </c>
      <c r="W1" s="930" t="s">
        <v>786</v>
      </c>
      <c r="X1" s="930" t="s">
        <v>15</v>
      </c>
      <c r="Y1" s="854" t="s">
        <v>1024</v>
      </c>
      <c r="Z1" s="854" t="s">
        <v>1025</v>
      </c>
      <c r="AA1" s="854" t="s">
        <v>4</v>
      </c>
      <c r="AB1" s="854" t="s">
        <v>5</v>
      </c>
      <c r="AC1" s="854" t="s">
        <v>1020</v>
      </c>
      <c r="AD1" s="929" t="s">
        <v>1021</v>
      </c>
      <c r="AE1" s="929" t="s">
        <v>1022</v>
      </c>
      <c r="AF1" s="929" t="s">
        <v>1023</v>
      </c>
      <c r="AG1" s="854" t="s">
        <v>786</v>
      </c>
      <c r="AH1" s="854" t="s">
        <v>1026</v>
      </c>
      <c r="AI1" s="854" t="s">
        <v>732</v>
      </c>
    </row>
    <row r="2">
      <c r="A2" s="502" t="s">
        <v>729</v>
      </c>
      <c r="B2" s="631" t="s">
        <v>1027</v>
      </c>
      <c r="C2" s="820" t="s">
        <v>902</v>
      </c>
      <c r="D2" s="931">
        <v>6.2</v>
      </c>
      <c r="E2" s="932">
        <v>35888.0</v>
      </c>
      <c r="F2" s="933">
        <f>E2+L2-S49</f>
        <v>164573.3388</v>
      </c>
      <c r="G2" s="934">
        <v>49.0</v>
      </c>
      <c r="H2" s="935">
        <f>IFERROR(__xludf.DUMMYFUNCTION("GOOGLEFINANCE(C2,""changepct"")"),-1.33)</f>
        <v>-1.33</v>
      </c>
      <c r="I2" s="936">
        <f>IFERROR(__xludf.DUMMYFUNCTION("GOOGLEFINANCE(C2,""price"")"),252.2)</f>
        <v>252.2</v>
      </c>
      <c r="J2" s="936">
        <f t="shared" ref="J2:J14" si="1">(I2-G2)</f>
        <v>203.2</v>
      </c>
      <c r="K2" s="937">
        <f t="shared" ref="K2:K14" si="2">(I2/G2-1)</f>
        <v>4.146938776</v>
      </c>
      <c r="L2" s="933">
        <f t="shared" ref="L2:L14" si="3">(E2*K2)</f>
        <v>148825.3388</v>
      </c>
      <c r="M2" s="938">
        <v>0.0186</v>
      </c>
      <c r="N2" s="788">
        <v>135.0</v>
      </c>
      <c r="O2" s="736"/>
      <c r="P2" s="735" t="s">
        <v>37</v>
      </c>
      <c r="Q2" s="939" t="s">
        <v>36</v>
      </c>
      <c r="R2" s="846">
        <v>6.5</v>
      </c>
      <c r="S2" s="940">
        <v>43649.0</v>
      </c>
      <c r="T2" s="941">
        <f>IFERROR(__xludf.DUMMYFUNCTION("GOOGLEFINANCE(Q2,""price"")"),417.41)</f>
        <v>417.41</v>
      </c>
      <c r="U2" s="942">
        <v>234.0</v>
      </c>
      <c r="V2" s="943">
        <v>28800.0</v>
      </c>
      <c r="W2" s="944">
        <f t="shared" ref="W2:W27" si="4">V2+X2</f>
        <v>51373.53846</v>
      </c>
      <c r="X2" s="945">
        <f t="shared" ref="X2:X27" si="5">V2*Y2</f>
        <v>22573.53846</v>
      </c>
      <c r="Y2" s="819">
        <f t="shared" ref="Y2:Y27" si="6">(T2/U2-1)</f>
        <v>0.7838034188</v>
      </c>
      <c r="Z2" s="797" t="s">
        <v>734</v>
      </c>
      <c r="AA2" s="797" t="s">
        <v>74</v>
      </c>
      <c r="AB2" s="787">
        <v>7.2</v>
      </c>
      <c r="AC2" s="946">
        <v>43720.0</v>
      </c>
      <c r="AD2" s="792">
        <f>IFERROR(__xludf.DUMMYFUNCTION("GOOGLEFINANCE(AA2,""price"")"),424.83)</f>
        <v>424.83</v>
      </c>
      <c r="AE2" s="790">
        <v>137.34</v>
      </c>
      <c r="AF2" s="790">
        <v>20661.0</v>
      </c>
      <c r="AG2" s="879">
        <f t="shared" ref="AG2:AG5" si="7">AF2+AH2</f>
        <v>63910.09633</v>
      </c>
      <c r="AH2" s="947">
        <f t="shared" ref="AH2:AH5" si="8">AF2*AI2</f>
        <v>43249.09633</v>
      </c>
      <c r="AI2" s="819">
        <f t="shared" ref="AI2:AI5" si="9">(AD2/AE2-1)</f>
        <v>2.093272171</v>
      </c>
    </row>
    <row r="3">
      <c r="A3" s="948" t="str">
        <f>(F15)/G68</f>
        <v>#N/A</v>
      </c>
      <c r="B3" s="631" t="s">
        <v>346</v>
      </c>
      <c r="C3" s="820" t="s">
        <v>347</v>
      </c>
      <c r="D3" s="931">
        <v>7.4</v>
      </c>
      <c r="E3" s="932">
        <v>50552.0</v>
      </c>
      <c r="F3" s="933">
        <f>E3+L3</f>
        <v>25098.49371</v>
      </c>
      <c r="G3" s="934">
        <v>169.45</v>
      </c>
      <c r="H3" s="949">
        <f>IFERROR(__xludf.DUMMYFUNCTION("GOOGLEFINANCE(C3,""changepct"")"),-1.09)</f>
        <v>-1.09</v>
      </c>
      <c r="I3" s="936">
        <f>IFERROR(__xludf.DUMMYFUNCTION("GOOGLEFINANCE(C3,""price"")"),84.13)</f>
        <v>84.13</v>
      </c>
      <c r="J3" s="936">
        <f t="shared" si="1"/>
        <v>-85.32</v>
      </c>
      <c r="K3" s="937">
        <f t="shared" si="2"/>
        <v>-0.5035113603</v>
      </c>
      <c r="L3" s="933">
        <f t="shared" si="3"/>
        <v>-25453.50629</v>
      </c>
      <c r="M3" s="950" t="s">
        <v>128</v>
      </c>
      <c r="N3" s="805"/>
      <c r="O3" s="736"/>
      <c r="P3" s="735" t="s">
        <v>783</v>
      </c>
      <c r="Q3" s="736" t="s">
        <v>573</v>
      </c>
      <c r="R3" s="951">
        <v>8.1</v>
      </c>
      <c r="S3" s="952">
        <v>43654.0</v>
      </c>
      <c r="T3" s="953">
        <f>IFERROR(__xludf.DUMMYFUNCTION("GOOGLEFINANCE(Q3,""price"")"),4.21)</f>
        <v>4.21</v>
      </c>
      <c r="U3" s="954">
        <v>2.86</v>
      </c>
      <c r="V3" s="955">
        <v>28600.0</v>
      </c>
      <c r="W3" s="956">
        <f t="shared" si="4"/>
        <v>42100</v>
      </c>
      <c r="X3" s="957">
        <f t="shared" si="5"/>
        <v>13500</v>
      </c>
      <c r="Y3" s="819">
        <f t="shared" si="6"/>
        <v>0.472027972</v>
      </c>
      <c r="Z3" s="736" t="s">
        <v>1028</v>
      </c>
      <c r="AA3" s="736" t="s">
        <v>158</v>
      </c>
      <c r="AB3" s="951">
        <v>8.2</v>
      </c>
      <c r="AC3" s="952">
        <v>43720.0</v>
      </c>
      <c r="AD3" s="958">
        <f>IFERROR(__xludf.DUMMYFUNCTION("GOOGLEFINANCE(AA3,""price"")"),33.77)</f>
        <v>33.77</v>
      </c>
      <c r="AE3" s="954">
        <v>27.23</v>
      </c>
      <c r="AF3" s="954">
        <v>27230.0</v>
      </c>
      <c r="AG3" s="959">
        <f t="shared" si="7"/>
        <v>33770</v>
      </c>
      <c r="AH3" s="947">
        <f t="shared" si="8"/>
        <v>6540</v>
      </c>
      <c r="AI3" s="819">
        <f t="shared" si="9"/>
        <v>0.2401762762</v>
      </c>
    </row>
    <row r="4">
      <c r="A4" s="502" t="s">
        <v>1029</v>
      </c>
      <c r="B4" s="631" t="s">
        <v>1030</v>
      </c>
      <c r="C4" s="820" t="s">
        <v>31</v>
      </c>
      <c r="D4" s="931">
        <v>6.7</v>
      </c>
      <c r="E4" s="932">
        <v>41065.0</v>
      </c>
      <c r="F4" s="933">
        <f>E4+L4-S50-V50</f>
        <v>-16374.88779</v>
      </c>
      <c r="G4" s="934">
        <v>1080.91</v>
      </c>
      <c r="H4" s="949">
        <f>IFERROR(__xludf.DUMMYFUNCTION("GOOGLEFINANCE(C4,""changepct"")"),-0.7)</f>
        <v>-0.7</v>
      </c>
      <c r="I4" s="936">
        <f>IFERROR(__xludf.DUMMYFUNCTION("GOOGLEFINANCE(C4,""price"")"),192.69)</f>
        <v>192.69</v>
      </c>
      <c r="J4" s="936">
        <f t="shared" si="1"/>
        <v>-888.22</v>
      </c>
      <c r="K4" s="937">
        <f t="shared" si="2"/>
        <v>-0.8217335393</v>
      </c>
      <c r="L4" s="933">
        <f t="shared" si="3"/>
        <v>-33744.48779</v>
      </c>
      <c r="M4" s="950" t="s">
        <v>128</v>
      </c>
      <c r="N4" s="805"/>
      <c r="O4" s="736"/>
      <c r="P4" s="735" t="s">
        <v>530</v>
      </c>
      <c r="Q4" s="939" t="s">
        <v>34</v>
      </c>
      <c r="R4" s="846">
        <v>8.2</v>
      </c>
      <c r="S4" s="940">
        <v>43693.0</v>
      </c>
      <c r="T4" s="941">
        <f>IFERROR(__xludf.DUMMYFUNCTION("GOOGLEFINANCE(Q4,""price"")"),84.05)</f>
        <v>84.05</v>
      </c>
      <c r="U4" s="942">
        <v>94.82</v>
      </c>
      <c r="V4" s="943">
        <v>23705.0</v>
      </c>
      <c r="W4" s="944">
        <f t="shared" si="4"/>
        <v>21012.5</v>
      </c>
      <c r="X4" s="945">
        <f t="shared" si="5"/>
        <v>-2692.5</v>
      </c>
      <c r="Y4" s="819">
        <f t="shared" si="6"/>
        <v>-0.1135836321</v>
      </c>
      <c r="Z4" s="797" t="s">
        <v>1031</v>
      </c>
      <c r="AA4" s="797" t="s">
        <v>161</v>
      </c>
      <c r="AB4" s="787">
        <v>8.1</v>
      </c>
      <c r="AC4" s="946">
        <v>43720.0</v>
      </c>
      <c r="AD4" s="792">
        <f>IFERROR(__xludf.DUMMYFUNCTION("GOOGLEFINANCE(AA4,""price"")"),42.32)</f>
        <v>42.32</v>
      </c>
      <c r="AE4" s="790">
        <v>37.43</v>
      </c>
      <c r="AF4" s="790">
        <v>18715.0</v>
      </c>
      <c r="AG4" s="879">
        <f t="shared" si="7"/>
        <v>21160</v>
      </c>
      <c r="AH4" s="947">
        <f t="shared" si="8"/>
        <v>2445</v>
      </c>
      <c r="AI4" s="819">
        <f t="shared" si="9"/>
        <v>0.1306438686</v>
      </c>
    </row>
    <row r="5">
      <c r="A5" s="960" t="str">
        <f>F15</f>
        <v>#N/A</v>
      </c>
      <c r="B5" s="631" t="s">
        <v>734</v>
      </c>
      <c r="C5" s="820" t="s">
        <v>74</v>
      </c>
      <c r="D5" s="931">
        <v>6.6</v>
      </c>
      <c r="E5" s="932">
        <v>43638.0</v>
      </c>
      <c r="F5" s="933">
        <f>E5+L5-S65-V65+AG2-S80</f>
        <v>150829.1496</v>
      </c>
      <c r="G5" s="934">
        <v>133.96</v>
      </c>
      <c r="H5" s="935">
        <f>IFERROR(__xludf.DUMMYFUNCTION("GOOGLEFINANCE(C5,""changepct"")"),-1.32)</f>
        <v>-1.32</v>
      </c>
      <c r="I5" s="936">
        <f>IFERROR(__xludf.DUMMYFUNCTION("GOOGLEFINANCE(C5,""price"")"),424.83)</f>
        <v>424.83</v>
      </c>
      <c r="J5" s="936">
        <f t="shared" si="1"/>
        <v>290.87</v>
      </c>
      <c r="K5" s="937">
        <f t="shared" si="2"/>
        <v>2.171319797</v>
      </c>
      <c r="L5" s="933">
        <f t="shared" si="3"/>
        <v>94752.0533</v>
      </c>
      <c r="M5" s="938">
        <v>0.0181</v>
      </c>
      <c r="N5" s="788">
        <v>180.0</v>
      </c>
      <c r="O5" s="736"/>
      <c r="P5" s="735" t="s">
        <v>651</v>
      </c>
      <c r="Q5" s="736" t="s">
        <v>652</v>
      </c>
      <c r="R5" s="951">
        <v>6.4</v>
      </c>
      <c r="S5" s="952">
        <v>43693.0</v>
      </c>
      <c r="T5" s="953">
        <f>IFERROR(__xludf.DUMMYFUNCTION("GOOGLEFINANCE(Q5,""price"")"),9.74)</f>
        <v>9.74</v>
      </c>
      <c r="U5" s="954">
        <v>3.05</v>
      </c>
      <c r="V5" s="955">
        <v>15250.0</v>
      </c>
      <c r="W5" s="956">
        <f t="shared" si="4"/>
        <v>48700</v>
      </c>
      <c r="X5" s="957">
        <f t="shared" si="5"/>
        <v>33450</v>
      </c>
      <c r="Y5" s="819">
        <f t="shared" si="6"/>
        <v>2.193442623</v>
      </c>
      <c r="Z5" s="736" t="s">
        <v>1032</v>
      </c>
      <c r="AA5" s="736" t="s">
        <v>710</v>
      </c>
      <c r="AB5" s="951">
        <v>7.9</v>
      </c>
      <c r="AC5" s="952">
        <v>43720.0</v>
      </c>
      <c r="AD5" s="958" t="str">
        <f>IFERROR(__xludf.DUMMYFUNCTION("GOOGLEFINANCE(AA5,""price"")"),"#N/A")</f>
        <v>#N/A</v>
      </c>
      <c r="AE5" s="954">
        <v>43.95</v>
      </c>
      <c r="AF5" s="954">
        <v>21975.0</v>
      </c>
      <c r="AG5" s="959" t="str">
        <f t="shared" si="7"/>
        <v>#N/A</v>
      </c>
      <c r="AH5" s="947" t="str">
        <f t="shared" si="8"/>
        <v>#N/A</v>
      </c>
      <c r="AI5" s="819" t="str">
        <f t="shared" si="9"/>
        <v>#N/A</v>
      </c>
    </row>
    <row r="6">
      <c r="A6" s="565"/>
      <c r="B6" s="631" t="s">
        <v>632</v>
      </c>
      <c r="C6" s="820" t="s">
        <v>674</v>
      </c>
      <c r="D6" s="931">
        <v>6.2</v>
      </c>
      <c r="E6" s="932">
        <v>43889.0</v>
      </c>
      <c r="F6" s="933">
        <f>E6+L6-S51-V51+W20+W22-S81</f>
        <v>9077.891917</v>
      </c>
      <c r="G6" s="934">
        <v>193.0</v>
      </c>
      <c r="H6" s="949">
        <f>IFERROR(__xludf.DUMMYFUNCTION("GOOGLEFINANCE(C6,""changepct"")"),0.0)</f>
        <v>0</v>
      </c>
      <c r="I6" s="936">
        <f>IFERROR(__xludf.DUMMYFUNCTION("GOOGLEFINANCE(C6,""price"")"),185.26)</f>
        <v>185.26</v>
      </c>
      <c r="J6" s="936">
        <f t="shared" si="1"/>
        <v>-7.74</v>
      </c>
      <c r="K6" s="937">
        <f t="shared" si="2"/>
        <v>-0.04010362694</v>
      </c>
      <c r="L6" s="933">
        <f t="shared" si="3"/>
        <v>-1760.108083</v>
      </c>
      <c r="M6" s="950" t="s">
        <v>128</v>
      </c>
      <c r="N6" s="788"/>
      <c r="O6" s="961"/>
      <c r="P6" s="508" t="s">
        <v>94</v>
      </c>
      <c r="Q6" s="797" t="s">
        <v>95</v>
      </c>
      <c r="R6" s="787">
        <v>7.5</v>
      </c>
      <c r="S6" s="946">
        <v>43693.0</v>
      </c>
      <c r="T6" s="941">
        <f>IFERROR(__xludf.DUMMYFUNCTION("GOOGLEFINANCE(Q6,""price"")"),37.81)</f>
        <v>37.81</v>
      </c>
      <c r="U6" s="790">
        <v>31.92</v>
      </c>
      <c r="V6" s="788">
        <v>15960.0</v>
      </c>
      <c r="W6" s="944">
        <f t="shared" si="4"/>
        <v>18905</v>
      </c>
      <c r="X6" s="945">
        <f t="shared" si="5"/>
        <v>2945</v>
      </c>
      <c r="Y6" s="819">
        <f t="shared" si="6"/>
        <v>0.1845238095</v>
      </c>
      <c r="Z6" s="800"/>
      <c r="AA6" s="800"/>
      <c r="AB6" s="800"/>
      <c r="AC6" s="800"/>
      <c r="AD6" s="807"/>
      <c r="AE6" s="807"/>
      <c r="AF6" s="807"/>
      <c r="AG6" s="807"/>
      <c r="AH6" s="947"/>
      <c r="AI6" s="819"/>
    </row>
    <row r="7">
      <c r="A7" s="620"/>
      <c r="B7" s="631" t="s">
        <v>337</v>
      </c>
      <c r="C7" s="820" t="s">
        <v>338</v>
      </c>
      <c r="D7" s="931">
        <v>6.5</v>
      </c>
      <c r="E7" s="932">
        <v>35783.0</v>
      </c>
      <c r="F7" s="933">
        <f>E7+L7-S52</f>
        <v>-1595.977543</v>
      </c>
      <c r="G7" s="934">
        <v>47.87</v>
      </c>
      <c r="H7" s="949">
        <f>IFERROR(__xludf.DUMMYFUNCTION("GOOGLEFINANCE(C7,""changepct"")"),-2.36)</f>
        <v>-2.36</v>
      </c>
      <c r="I7" s="936">
        <f>IFERROR(__xludf.DUMMYFUNCTION("GOOGLEFINANCE(C7,""price"")"),19.82)</f>
        <v>19.82</v>
      </c>
      <c r="J7" s="936">
        <f t="shared" si="1"/>
        <v>-28.05</v>
      </c>
      <c r="K7" s="937">
        <f t="shared" si="2"/>
        <v>-0.5859619804</v>
      </c>
      <c r="L7" s="933">
        <f t="shared" si="3"/>
        <v>-20967.47754</v>
      </c>
      <c r="M7" s="938">
        <v>0.0264</v>
      </c>
      <c r="N7" s="788">
        <v>315.0</v>
      </c>
      <c r="O7" s="962"/>
      <c r="P7" s="963" t="s">
        <v>762</v>
      </c>
      <c r="Q7" s="964" t="s">
        <v>763</v>
      </c>
      <c r="R7" s="951">
        <v>7.8</v>
      </c>
      <c r="S7" s="952">
        <v>43693.0</v>
      </c>
      <c r="T7" s="953">
        <f>IFERROR(__xludf.DUMMYFUNCTION("GOOGLEFINANCE(Q7,""price"")"),26.96)</f>
        <v>26.96</v>
      </c>
      <c r="U7" s="954">
        <v>18.49</v>
      </c>
      <c r="V7" s="955">
        <v>11094.0</v>
      </c>
      <c r="W7" s="956">
        <f t="shared" si="4"/>
        <v>16176</v>
      </c>
      <c r="X7" s="957">
        <f t="shared" si="5"/>
        <v>5082</v>
      </c>
      <c r="Y7" s="819">
        <f t="shared" si="6"/>
        <v>0.4580854516</v>
      </c>
      <c r="Z7" s="800"/>
      <c r="AA7" s="800"/>
      <c r="AB7" s="800"/>
      <c r="AC7" s="800"/>
      <c r="AD7" s="807"/>
      <c r="AE7" s="807"/>
      <c r="AF7" s="807"/>
      <c r="AG7" s="807"/>
      <c r="AH7" s="947"/>
      <c r="AI7" s="819"/>
    </row>
    <row r="8">
      <c r="A8" s="565"/>
      <c r="B8" s="567" t="s">
        <v>380</v>
      </c>
      <c r="C8" s="965" t="s">
        <v>53</v>
      </c>
      <c r="D8" s="931">
        <v>6.4</v>
      </c>
      <c r="E8" s="932">
        <v>35912.0</v>
      </c>
      <c r="F8" s="932">
        <f>E8-S63</f>
        <v>12558.5</v>
      </c>
      <c r="G8" s="934">
        <v>164.23</v>
      </c>
      <c r="H8" s="949">
        <f>IFERROR(__xludf.DUMMYFUNCTION("GOOGLEFINANCE(C8,""changepct"")"),0.35)</f>
        <v>0.35</v>
      </c>
      <c r="I8" s="936">
        <f>IFERROR(__xludf.DUMMYFUNCTION("GOOGLEFINANCE(C8,""price"")"),137.49)</f>
        <v>137.49</v>
      </c>
      <c r="J8" s="936">
        <f t="shared" si="1"/>
        <v>-26.74</v>
      </c>
      <c r="K8" s="937">
        <f t="shared" si="2"/>
        <v>-0.1628204348</v>
      </c>
      <c r="L8" s="933">
        <f t="shared" si="3"/>
        <v>-5847.207453</v>
      </c>
      <c r="M8" s="931" t="s">
        <v>128</v>
      </c>
      <c r="N8" s="805"/>
      <c r="O8" s="962"/>
      <c r="P8" s="966" t="s">
        <v>906</v>
      </c>
      <c r="Q8" s="965" t="s">
        <v>496</v>
      </c>
      <c r="R8" s="787">
        <v>7.2</v>
      </c>
      <c r="S8" s="946">
        <v>43693.0</v>
      </c>
      <c r="T8" s="941">
        <f>IFERROR(__xludf.DUMMYFUNCTION("GOOGLEFINANCE(Q8,""price"")"),48.46)</f>
        <v>48.46</v>
      </c>
      <c r="U8" s="790">
        <v>44.59</v>
      </c>
      <c r="V8" s="788">
        <v>12262.25</v>
      </c>
      <c r="W8" s="944">
        <f t="shared" si="4"/>
        <v>13326.5</v>
      </c>
      <c r="X8" s="945">
        <f t="shared" si="5"/>
        <v>1064.25</v>
      </c>
      <c r="Y8" s="819">
        <f t="shared" si="6"/>
        <v>0.08679076026</v>
      </c>
      <c r="Z8" s="800"/>
      <c r="AA8" s="800"/>
      <c r="AB8" s="800"/>
      <c r="AC8" s="800"/>
      <c r="AD8" s="807"/>
      <c r="AE8" s="807"/>
      <c r="AF8" s="807"/>
      <c r="AG8" s="807"/>
      <c r="AH8" s="947"/>
      <c r="AI8" s="819"/>
    </row>
    <row r="9">
      <c r="A9" s="620"/>
      <c r="B9" s="631" t="s">
        <v>648</v>
      </c>
      <c r="C9" s="820" t="s">
        <v>36</v>
      </c>
      <c r="D9" s="931">
        <v>4.5</v>
      </c>
      <c r="E9" s="932">
        <v>48695.0</v>
      </c>
      <c r="F9" s="933">
        <f>E9+L9+W15-S64-V64+W24-S82</f>
        <v>73967.91611</v>
      </c>
      <c r="G9" s="934">
        <v>223.46</v>
      </c>
      <c r="H9" s="949">
        <f>IFERROR(__xludf.DUMMYFUNCTION("GOOGLEFINANCE(C9,""changepct"")"),-3.3)</f>
        <v>-3.3</v>
      </c>
      <c r="I9" s="936">
        <f>IFERROR(__xludf.DUMMYFUNCTION("GOOGLEFINANCE(C9,""price"")"),417.41)</f>
        <v>417.41</v>
      </c>
      <c r="J9" s="936">
        <f t="shared" si="1"/>
        <v>193.95</v>
      </c>
      <c r="K9" s="937">
        <f t="shared" si="2"/>
        <v>0.867940571</v>
      </c>
      <c r="L9" s="933">
        <f t="shared" si="3"/>
        <v>42264.36611</v>
      </c>
      <c r="M9" s="950" t="s">
        <v>128</v>
      </c>
      <c r="N9" s="805"/>
      <c r="O9" s="967"/>
      <c r="P9" s="507" t="s">
        <v>493</v>
      </c>
      <c r="Q9" s="968" t="s">
        <v>494</v>
      </c>
      <c r="R9" s="951">
        <v>7.5</v>
      </c>
      <c r="S9" s="952">
        <v>43693.0</v>
      </c>
      <c r="T9" s="953">
        <f>IFERROR(__xludf.DUMMYFUNCTION("GOOGLEFINANCE(Q9,""price"")"),29.09)</f>
        <v>29.09</v>
      </c>
      <c r="U9" s="954">
        <v>36.08</v>
      </c>
      <c r="V9" s="955">
        <v>18040.0</v>
      </c>
      <c r="W9" s="956">
        <f t="shared" si="4"/>
        <v>14545</v>
      </c>
      <c r="X9" s="957">
        <f t="shared" si="5"/>
        <v>-3495</v>
      </c>
      <c r="Y9" s="819">
        <f t="shared" si="6"/>
        <v>-0.1937361419</v>
      </c>
      <c r="Z9" s="800"/>
      <c r="AA9" s="800"/>
      <c r="AB9" s="800"/>
      <c r="AC9" s="800"/>
      <c r="AD9" s="807"/>
      <c r="AE9" s="807"/>
      <c r="AF9" s="807"/>
      <c r="AG9" s="807"/>
      <c r="AH9" s="947"/>
      <c r="AI9" s="819"/>
    </row>
    <row r="10">
      <c r="A10" s="565"/>
      <c r="B10" s="631" t="s">
        <v>749</v>
      </c>
      <c r="C10" s="820" t="s">
        <v>582</v>
      </c>
      <c r="D10" s="931">
        <v>4.8</v>
      </c>
      <c r="E10" s="932">
        <v>32090.0</v>
      </c>
      <c r="F10" s="933">
        <f>E10+L10-S48+W23-S83</f>
        <v>122221.8318</v>
      </c>
      <c r="G10" s="934">
        <v>367.32</v>
      </c>
      <c r="H10" s="935">
        <f>IFERROR(__xludf.DUMMYFUNCTION("GOOGLEFINANCE(C10,""changepct"")"),-0.78)</f>
        <v>-0.78</v>
      </c>
      <c r="I10" s="936">
        <f>IFERROR(__xludf.DUMMYFUNCTION("GOOGLEFINANCE(C10,""price"")"),900.43)</f>
        <v>900.43</v>
      </c>
      <c r="J10" s="936">
        <f t="shared" si="1"/>
        <v>533.11</v>
      </c>
      <c r="K10" s="937">
        <f t="shared" si="2"/>
        <v>1.451350321</v>
      </c>
      <c r="L10" s="933">
        <f t="shared" si="3"/>
        <v>46573.83181</v>
      </c>
      <c r="M10" s="950" t="s">
        <v>128</v>
      </c>
      <c r="N10" s="805"/>
      <c r="O10" s="967"/>
      <c r="P10" s="507" t="s">
        <v>981</v>
      </c>
      <c r="Q10" s="820" t="s">
        <v>765</v>
      </c>
      <c r="R10" s="787">
        <v>6.4</v>
      </c>
      <c r="S10" s="946">
        <v>43693.0</v>
      </c>
      <c r="T10" s="941">
        <f>IFERROR(__xludf.DUMMYFUNCTION("GOOGLEFINANCE(Q10,""price"")"),168.1)</f>
        <v>168.1</v>
      </c>
      <c r="U10" s="790">
        <v>8.43</v>
      </c>
      <c r="V10" s="788">
        <v>8430.0</v>
      </c>
      <c r="W10" s="944">
        <f t="shared" si="4"/>
        <v>168100</v>
      </c>
      <c r="X10" s="945">
        <f t="shared" si="5"/>
        <v>159670</v>
      </c>
      <c r="Y10" s="819">
        <f t="shared" si="6"/>
        <v>18.94068802</v>
      </c>
      <c r="Z10" s="800"/>
      <c r="AA10" s="800"/>
      <c r="AB10" s="800"/>
      <c r="AC10" s="800"/>
      <c r="AD10" s="807"/>
      <c r="AE10" s="807"/>
      <c r="AF10" s="807"/>
      <c r="AG10" s="807"/>
      <c r="AH10" s="947"/>
      <c r="AI10" s="819"/>
    </row>
    <row r="11">
      <c r="A11" s="620"/>
      <c r="B11" s="631" t="s">
        <v>344</v>
      </c>
      <c r="C11" s="965" t="s">
        <v>345</v>
      </c>
      <c r="D11" s="931">
        <v>7.1</v>
      </c>
      <c r="E11" s="932">
        <v>26789.0</v>
      </c>
      <c r="F11" s="933">
        <f t="shared" ref="F11:F12" si="10">E11+L11</f>
        <v>31506.37362</v>
      </c>
      <c r="G11" s="934">
        <v>45.26</v>
      </c>
      <c r="H11" s="935">
        <f>IFERROR(__xludf.DUMMYFUNCTION("GOOGLEFINANCE(C11,""changepct"")"),-0.69)</f>
        <v>-0.69</v>
      </c>
      <c r="I11" s="936">
        <f>IFERROR(__xludf.DUMMYFUNCTION("GOOGLEFINANCE(C11,""price"")"),53.23)</f>
        <v>53.23</v>
      </c>
      <c r="J11" s="936">
        <f t="shared" si="1"/>
        <v>7.97</v>
      </c>
      <c r="K11" s="937">
        <f t="shared" si="2"/>
        <v>0.176093681</v>
      </c>
      <c r="L11" s="933">
        <f t="shared" si="3"/>
        <v>4717.373619</v>
      </c>
      <c r="M11" s="950" t="s">
        <v>128</v>
      </c>
      <c r="N11" s="805"/>
      <c r="O11" s="961"/>
      <c r="P11" s="508" t="s">
        <v>810</v>
      </c>
      <c r="Q11" s="964" t="s">
        <v>811</v>
      </c>
      <c r="R11" s="951">
        <v>7.1</v>
      </c>
      <c r="S11" s="952">
        <v>43693.0</v>
      </c>
      <c r="T11" s="953">
        <f>IFERROR(__xludf.DUMMYFUNCTION("GOOGLEFINANCE(Q11,""price"")"),36.91)</f>
        <v>36.91</v>
      </c>
      <c r="U11" s="954">
        <v>27.1</v>
      </c>
      <c r="V11" s="955">
        <v>10840.0</v>
      </c>
      <c r="W11" s="956">
        <f t="shared" si="4"/>
        <v>14764</v>
      </c>
      <c r="X11" s="957">
        <f t="shared" si="5"/>
        <v>3924</v>
      </c>
      <c r="Y11" s="819">
        <f t="shared" si="6"/>
        <v>0.3619926199</v>
      </c>
      <c r="Z11" s="800"/>
      <c r="AA11" s="800"/>
      <c r="AB11" s="800"/>
      <c r="AC11" s="800"/>
      <c r="AD11" s="807"/>
      <c r="AE11" s="807"/>
      <c r="AF11" s="807"/>
      <c r="AG11" s="807"/>
      <c r="AH11" s="947"/>
      <c r="AI11" s="819"/>
    </row>
    <row r="12">
      <c r="A12" s="565"/>
      <c r="B12" s="567" t="s">
        <v>898</v>
      </c>
      <c r="C12" s="965" t="s">
        <v>899</v>
      </c>
      <c r="D12" s="931">
        <v>5.5</v>
      </c>
      <c r="E12" s="932">
        <v>22205.0</v>
      </c>
      <c r="F12" s="933" t="str">
        <f t="shared" si="10"/>
        <v>#N/A</v>
      </c>
      <c r="G12" s="934">
        <v>64.21</v>
      </c>
      <c r="H12" s="935" t="str">
        <f>IFERROR(__xludf.DUMMYFUNCTION("GOOGLEFINANCE(C12,""changepct"")"),"#N/A")</f>
        <v>#N/A</v>
      </c>
      <c r="I12" s="936" t="str">
        <f>IFERROR(__xludf.DUMMYFUNCTION("GOOGLEFINANCE(C12,""price"")"),"#N/A")</f>
        <v>#N/A</v>
      </c>
      <c r="J12" s="936" t="str">
        <f t="shared" si="1"/>
        <v>#N/A</v>
      </c>
      <c r="K12" s="937" t="str">
        <f t="shared" si="2"/>
        <v>#N/A</v>
      </c>
      <c r="L12" s="933" t="str">
        <f t="shared" si="3"/>
        <v>#N/A</v>
      </c>
      <c r="M12" s="931" t="s">
        <v>128</v>
      </c>
      <c r="N12" s="805"/>
      <c r="O12" s="736"/>
      <c r="P12" s="735" t="s">
        <v>549</v>
      </c>
      <c r="Q12" s="797" t="s">
        <v>550</v>
      </c>
      <c r="R12" s="787">
        <v>8.2</v>
      </c>
      <c r="S12" s="946">
        <v>43696.0</v>
      </c>
      <c r="T12" s="941">
        <f>IFERROR(__xludf.DUMMYFUNCTION("GOOGLEFINANCE(Q12,""price"")"),5.39)</f>
        <v>5.39</v>
      </c>
      <c r="U12" s="790">
        <v>9.54</v>
      </c>
      <c r="V12" s="788">
        <v>38160.0</v>
      </c>
      <c r="W12" s="944">
        <f t="shared" si="4"/>
        <v>21560</v>
      </c>
      <c r="X12" s="945">
        <f t="shared" si="5"/>
        <v>-16600</v>
      </c>
      <c r="Y12" s="819">
        <f t="shared" si="6"/>
        <v>-0.4350104822</v>
      </c>
      <c r="Z12" s="800"/>
      <c r="AA12" s="800"/>
      <c r="AB12" s="800"/>
      <c r="AC12" s="800"/>
      <c r="AD12" s="807"/>
      <c r="AE12" s="807"/>
      <c r="AF12" s="807"/>
      <c r="AG12" s="807"/>
      <c r="AH12" s="947"/>
      <c r="AI12" s="819"/>
    </row>
    <row r="13">
      <c r="A13" s="620"/>
      <c r="B13" s="567" t="s">
        <v>846</v>
      </c>
      <c r="C13" s="965" t="s">
        <v>652</v>
      </c>
      <c r="D13" s="931">
        <v>6.4</v>
      </c>
      <c r="E13" s="932">
        <v>31480.0</v>
      </c>
      <c r="F13" s="933">
        <f>E13+L13+W5-S84</f>
        <v>107390.1323</v>
      </c>
      <c r="G13" s="934">
        <v>3.78</v>
      </c>
      <c r="H13" s="935">
        <f>IFERROR(__xludf.DUMMYFUNCTION("GOOGLEFINANCE(C13,""changepct"")"),13.39)</f>
        <v>13.39</v>
      </c>
      <c r="I13" s="936">
        <f>IFERROR(__xludf.DUMMYFUNCTION("GOOGLEFINANCE(C13,""price"")"),9.74)</f>
        <v>9.74</v>
      </c>
      <c r="J13" s="936">
        <f t="shared" si="1"/>
        <v>5.96</v>
      </c>
      <c r="K13" s="937">
        <f t="shared" si="2"/>
        <v>1.576719577</v>
      </c>
      <c r="L13" s="933">
        <f t="shared" si="3"/>
        <v>49635.13228</v>
      </c>
      <c r="M13" s="931" t="s">
        <v>128</v>
      </c>
      <c r="N13" s="805"/>
      <c r="O13" s="736"/>
      <c r="P13" s="735" t="s">
        <v>1028</v>
      </c>
      <c r="Q13" s="736" t="s">
        <v>158</v>
      </c>
      <c r="R13" s="951">
        <v>8.2</v>
      </c>
      <c r="S13" s="952">
        <v>43696.0</v>
      </c>
      <c r="T13" s="953">
        <f>IFERROR(__xludf.DUMMYFUNCTION("GOOGLEFINANCE(Q13,""price"")"),33.77)</f>
        <v>33.77</v>
      </c>
      <c r="U13" s="954">
        <v>27.81</v>
      </c>
      <c r="V13" s="955">
        <v>13905.0</v>
      </c>
      <c r="W13" s="956">
        <f t="shared" si="4"/>
        <v>16885</v>
      </c>
      <c r="X13" s="957">
        <f t="shared" si="5"/>
        <v>2980</v>
      </c>
      <c r="Y13" s="819">
        <f t="shared" si="6"/>
        <v>0.2143113988</v>
      </c>
      <c r="Z13" s="800"/>
      <c r="AA13" s="800"/>
      <c r="AB13" s="800"/>
      <c r="AC13" s="800"/>
      <c r="AD13" s="807"/>
      <c r="AE13" s="807"/>
      <c r="AF13" s="807"/>
      <c r="AG13" s="807"/>
      <c r="AH13" s="947"/>
      <c r="AI13" s="819"/>
    </row>
    <row r="14">
      <c r="A14" s="565"/>
      <c r="B14" s="631" t="s">
        <v>530</v>
      </c>
      <c r="C14" s="820" t="s">
        <v>34</v>
      </c>
      <c r="D14" s="931">
        <v>8.1</v>
      </c>
      <c r="E14" s="932">
        <v>48768.0</v>
      </c>
      <c r="F14" s="933">
        <f>E14+L14+W4-S75</f>
        <v>30206.29857</v>
      </c>
      <c r="G14" s="934">
        <v>117.36</v>
      </c>
      <c r="H14" s="949">
        <f>IFERROR(__xludf.DUMMYFUNCTION("GOOGLEFINANCE(C14,""changepct"")"),-2.94)</f>
        <v>-2.94</v>
      </c>
      <c r="I14" s="936">
        <f>IFERROR(__xludf.DUMMYFUNCTION("GOOGLEFINANCE(C14,""price"")"),84.05)</f>
        <v>84.05</v>
      </c>
      <c r="J14" s="936">
        <f t="shared" si="1"/>
        <v>-33.31</v>
      </c>
      <c r="K14" s="937">
        <f t="shared" si="2"/>
        <v>-0.2838275392</v>
      </c>
      <c r="L14" s="933">
        <f t="shared" si="3"/>
        <v>-13841.70143</v>
      </c>
      <c r="M14" s="950" t="s">
        <v>128</v>
      </c>
      <c r="N14" s="805"/>
      <c r="O14" s="736"/>
      <c r="P14" s="735" t="s">
        <v>783</v>
      </c>
      <c r="Q14" s="939" t="s">
        <v>573</v>
      </c>
      <c r="R14" s="846">
        <v>8.1</v>
      </c>
      <c r="S14" s="940">
        <v>43696.0</v>
      </c>
      <c r="T14" s="941">
        <f>IFERROR(__xludf.DUMMYFUNCTION("GOOGLEFINANCE(Q14,""price"")"),4.21)</f>
        <v>4.21</v>
      </c>
      <c r="U14" s="942">
        <v>3.48</v>
      </c>
      <c r="V14" s="943">
        <v>17400.0</v>
      </c>
      <c r="W14" s="944">
        <f t="shared" si="4"/>
        <v>21050</v>
      </c>
      <c r="X14" s="945">
        <f t="shared" si="5"/>
        <v>3650</v>
      </c>
      <c r="Y14" s="819">
        <f t="shared" si="6"/>
        <v>0.2097701149</v>
      </c>
      <c r="Z14" s="800"/>
      <c r="AA14" s="800"/>
      <c r="AB14" s="800"/>
      <c r="AC14" s="800"/>
      <c r="AD14" s="807"/>
      <c r="AE14" s="807"/>
      <c r="AF14" s="807"/>
      <c r="AG14" s="807"/>
      <c r="AH14" s="947"/>
      <c r="AI14" s="819"/>
    </row>
    <row r="15">
      <c r="A15" s="967" t="s">
        <v>89</v>
      </c>
      <c r="B15" s="224"/>
      <c r="C15" s="82"/>
      <c r="D15" s="969"/>
      <c r="E15" s="970">
        <f t="shared" ref="E15:F15" si="11">SUM(E2:E14)</f>
        <v>496754</v>
      </c>
      <c r="F15" s="970" t="str">
        <f t="shared" si="11"/>
        <v>#N/A</v>
      </c>
      <c r="G15" s="969"/>
      <c r="H15" s="971"/>
      <c r="I15" s="969"/>
      <c r="J15" s="969"/>
      <c r="K15" s="972" t="str">
        <f>L15/E15</f>
        <v>#N/A</v>
      </c>
      <c r="L15" s="970" t="str">
        <f>SUM(L2:L14)</f>
        <v>#N/A</v>
      </c>
      <c r="M15" s="969"/>
      <c r="N15" s="973">
        <f>SUM(N2:N14)</f>
        <v>630</v>
      </c>
      <c r="O15" s="736"/>
      <c r="P15" s="735" t="s">
        <v>37</v>
      </c>
      <c r="Q15" s="736" t="s">
        <v>36</v>
      </c>
      <c r="R15" s="951">
        <v>6.5</v>
      </c>
      <c r="S15" s="952">
        <v>43696.0</v>
      </c>
      <c r="T15" s="953">
        <f>IFERROR(__xludf.DUMMYFUNCTION("GOOGLEFINANCE(Q15,""price"")"),417.41)</f>
        <v>417.41</v>
      </c>
      <c r="U15" s="954">
        <v>225.4</v>
      </c>
      <c r="V15" s="955">
        <v>16905.0</v>
      </c>
      <c r="W15" s="956">
        <f t="shared" si="4"/>
        <v>31305.75</v>
      </c>
      <c r="X15" s="957">
        <f t="shared" si="5"/>
        <v>14400.75</v>
      </c>
      <c r="Y15" s="819">
        <f t="shared" si="6"/>
        <v>0.851863354</v>
      </c>
      <c r="Z15" s="800"/>
      <c r="AA15" s="800"/>
      <c r="AB15" s="800"/>
      <c r="AC15" s="800"/>
      <c r="AD15" s="807"/>
      <c r="AE15" s="807"/>
      <c r="AF15" s="807"/>
      <c r="AG15" s="807"/>
      <c r="AH15" s="947"/>
      <c r="AI15" s="819"/>
    </row>
    <row r="16">
      <c r="A16" s="923" t="s">
        <v>239</v>
      </c>
      <c r="B16" s="877" t="s">
        <v>3</v>
      </c>
      <c r="C16" s="924" t="s">
        <v>1010</v>
      </c>
      <c r="D16" s="925" t="s">
        <v>5</v>
      </c>
      <c r="E16" s="926" t="s">
        <v>1011</v>
      </c>
      <c r="F16" s="927" t="s">
        <v>1012</v>
      </c>
      <c r="G16" s="927" t="s">
        <v>1013</v>
      </c>
      <c r="H16" s="928" t="s">
        <v>10</v>
      </c>
      <c r="I16" s="924" t="s">
        <v>1014</v>
      </c>
      <c r="J16" s="924" t="s">
        <v>1015</v>
      </c>
      <c r="K16" s="925" t="s">
        <v>1016</v>
      </c>
      <c r="L16" s="925" t="s">
        <v>329</v>
      </c>
      <c r="M16" s="925" t="s">
        <v>1017</v>
      </c>
      <c r="N16" s="929" t="s">
        <v>17</v>
      </c>
      <c r="O16" s="736"/>
      <c r="P16" s="735" t="s">
        <v>1033</v>
      </c>
      <c r="Q16" s="939" t="s">
        <v>1034</v>
      </c>
      <c r="R16" s="846">
        <v>7.2</v>
      </c>
      <c r="S16" s="940">
        <v>43696.0</v>
      </c>
      <c r="T16" s="941">
        <f>IFERROR(__xludf.DUMMYFUNCTION("GOOGLEFINANCE(Q16,""price"")"),267.56)</f>
        <v>267.56</v>
      </c>
      <c r="U16" s="942">
        <v>11.62</v>
      </c>
      <c r="V16" s="974">
        <v>14525.0</v>
      </c>
      <c r="W16" s="944">
        <f t="shared" si="4"/>
        <v>334450</v>
      </c>
      <c r="X16" s="945">
        <f t="shared" si="5"/>
        <v>319925</v>
      </c>
      <c r="Y16" s="819">
        <f t="shared" si="6"/>
        <v>22.02581756</v>
      </c>
      <c r="Z16" s="800"/>
      <c r="AA16" s="800"/>
      <c r="AB16" s="800"/>
      <c r="AC16" s="800"/>
      <c r="AD16" s="807"/>
      <c r="AE16" s="807"/>
      <c r="AF16" s="807"/>
      <c r="AG16" s="807"/>
      <c r="AH16" s="947"/>
      <c r="AI16" s="819"/>
    </row>
    <row r="17">
      <c r="A17" s="502" t="s">
        <v>729</v>
      </c>
      <c r="B17" s="631" t="s">
        <v>773</v>
      </c>
      <c r="C17" s="820" t="s">
        <v>774</v>
      </c>
      <c r="D17" s="931">
        <v>8.8</v>
      </c>
      <c r="E17" s="932">
        <v>88784.0</v>
      </c>
      <c r="F17" s="933">
        <f>E17+L17-S74+W21</f>
        <v>162311.6483</v>
      </c>
      <c r="G17" s="975">
        <v>14.33</v>
      </c>
      <c r="H17" s="935">
        <f>IFERROR(__xludf.DUMMYFUNCTION("GOOGLEFINANCE(C17,""changepct"")"),-1.23)</f>
        <v>-1.23</v>
      </c>
      <c r="I17" s="936">
        <f>IFERROR(__xludf.DUMMYFUNCTION("googlefinance(C17,""price"")"),26.43)</f>
        <v>26.43</v>
      </c>
      <c r="J17" s="936">
        <f t="shared" ref="J17:J21" si="12">(I17-G17)</f>
        <v>12.1</v>
      </c>
      <c r="K17" s="976">
        <f t="shared" ref="K17:K21" si="13">(I17/G17-1)</f>
        <v>0.8443824145</v>
      </c>
      <c r="L17" s="933">
        <f t="shared" ref="L17:L21" si="14">(E17*K17)</f>
        <v>74967.64829</v>
      </c>
      <c r="M17" s="950" t="s">
        <v>128</v>
      </c>
      <c r="N17" s="805"/>
      <c r="O17" s="967"/>
      <c r="P17" s="507" t="s">
        <v>170</v>
      </c>
      <c r="Q17" s="968" t="s">
        <v>169</v>
      </c>
      <c r="R17" s="977">
        <v>7.9</v>
      </c>
      <c r="S17" s="952">
        <v>43697.0</v>
      </c>
      <c r="T17" s="953">
        <f>IFERROR(__xludf.DUMMYFUNCTION("GOOGLEFINANCE(Q17,""price"")"),37.0)</f>
        <v>37</v>
      </c>
      <c r="U17" s="978">
        <v>38.13</v>
      </c>
      <c r="V17" s="955">
        <v>19065.0</v>
      </c>
      <c r="W17" s="956">
        <f t="shared" si="4"/>
        <v>18500</v>
      </c>
      <c r="X17" s="957">
        <f t="shared" si="5"/>
        <v>-565</v>
      </c>
      <c r="Y17" s="819">
        <f t="shared" si="6"/>
        <v>-0.02963545764</v>
      </c>
      <c r="Z17" s="800"/>
      <c r="AA17" s="800"/>
      <c r="AB17" s="800"/>
      <c r="AC17" s="800"/>
      <c r="AD17" s="807"/>
      <c r="AE17" s="807"/>
      <c r="AF17" s="807"/>
      <c r="AG17" s="807"/>
      <c r="AH17" s="947"/>
      <c r="AI17" s="819"/>
    </row>
    <row r="18">
      <c r="A18" s="948" t="str">
        <f>(F22+W3+W14+W12)/G68</f>
        <v>#N/A</v>
      </c>
      <c r="B18" s="631" t="s">
        <v>170</v>
      </c>
      <c r="C18" s="820" t="s">
        <v>169</v>
      </c>
      <c r="D18" s="931">
        <v>7.9</v>
      </c>
      <c r="E18" s="932">
        <v>53655.0</v>
      </c>
      <c r="F18" s="933">
        <f>E18+L18+W17</f>
        <v>70104.75695</v>
      </c>
      <c r="G18" s="975">
        <v>38.47</v>
      </c>
      <c r="H18" s="935">
        <f>IFERROR(__xludf.DUMMYFUNCTION("GOOGLEFINANCE(C18,""changepct"")"),-2.22)</f>
        <v>-2.22</v>
      </c>
      <c r="I18" s="936">
        <f>IFERROR(__xludf.DUMMYFUNCTION("googlefinance(C18,""price"")"),37.0)</f>
        <v>37</v>
      </c>
      <c r="J18" s="936">
        <f t="shared" si="12"/>
        <v>-1.47</v>
      </c>
      <c r="K18" s="976">
        <f t="shared" si="13"/>
        <v>-0.03821159345</v>
      </c>
      <c r="L18" s="933">
        <f t="shared" si="14"/>
        <v>-2050.243047</v>
      </c>
      <c r="M18" s="938">
        <v>0.0164</v>
      </c>
      <c r="N18" s="788">
        <v>298.0</v>
      </c>
      <c r="O18" s="736"/>
      <c r="P18" s="735" t="s">
        <v>1031</v>
      </c>
      <c r="Q18" s="939" t="s">
        <v>161</v>
      </c>
      <c r="R18" s="846">
        <v>8.1</v>
      </c>
      <c r="S18" s="940">
        <v>43697.0</v>
      </c>
      <c r="T18" s="941">
        <f>IFERROR(__xludf.DUMMYFUNCTION("GOOGLEFINANCE(Q18,""price"")"),42.32)</f>
        <v>42.32</v>
      </c>
      <c r="U18" s="979">
        <v>38.57</v>
      </c>
      <c r="V18" s="943">
        <v>19285.0</v>
      </c>
      <c r="W18" s="944">
        <f t="shared" si="4"/>
        <v>21160</v>
      </c>
      <c r="X18" s="945">
        <f t="shared" si="5"/>
        <v>1875</v>
      </c>
      <c r="Y18" s="819">
        <f t="shared" si="6"/>
        <v>0.09722582318</v>
      </c>
      <c r="Z18" s="800"/>
      <c r="AA18" s="800"/>
      <c r="AB18" s="800"/>
      <c r="AC18" s="800"/>
      <c r="AD18" s="807"/>
      <c r="AE18" s="807"/>
      <c r="AF18" s="807"/>
      <c r="AG18" s="807"/>
      <c r="AH18" s="947"/>
      <c r="AI18" s="819"/>
    </row>
    <row r="19">
      <c r="A19" s="502" t="s">
        <v>1029</v>
      </c>
      <c r="B19" s="631" t="s">
        <v>1035</v>
      </c>
      <c r="C19" s="820" t="s">
        <v>158</v>
      </c>
      <c r="D19" s="931">
        <v>8.2</v>
      </c>
      <c r="E19" s="932">
        <v>56050.0</v>
      </c>
      <c r="F19" s="933">
        <f>E19+L19+W13-S77+AG3</f>
        <v>94478.54069</v>
      </c>
      <c r="G19" s="975">
        <v>25.56</v>
      </c>
      <c r="H19" s="935">
        <f>IFERROR(__xludf.DUMMYFUNCTION("GOOGLEFINANCE(C19,""changepct"")"),-1.43)</f>
        <v>-1.43</v>
      </c>
      <c r="I19" s="936">
        <f>IFERROR(__xludf.DUMMYFUNCTION("googlefinance(C19,""price"")"),33.77)</f>
        <v>33.77</v>
      </c>
      <c r="J19" s="936">
        <f t="shared" si="12"/>
        <v>8.21</v>
      </c>
      <c r="K19" s="976">
        <f t="shared" si="13"/>
        <v>0.3212050078</v>
      </c>
      <c r="L19" s="933">
        <f t="shared" si="14"/>
        <v>18003.54069</v>
      </c>
      <c r="M19" s="938">
        <v>0.0092</v>
      </c>
      <c r="N19" s="788">
        <v>132.0</v>
      </c>
      <c r="O19" s="967"/>
      <c r="P19" s="507" t="s">
        <v>1032</v>
      </c>
      <c r="Q19" s="968" t="s">
        <v>710</v>
      </c>
      <c r="R19" s="977">
        <v>7.9</v>
      </c>
      <c r="S19" s="952">
        <v>43697.0</v>
      </c>
      <c r="T19" s="953" t="str">
        <f>IFERROR(__xludf.DUMMYFUNCTION("GOOGLEFINANCE(Q19,""price"")"),"#N/A")</f>
        <v>#N/A</v>
      </c>
      <c r="U19" s="978">
        <v>44.06</v>
      </c>
      <c r="V19" s="955">
        <v>22030.0</v>
      </c>
      <c r="W19" s="956" t="str">
        <f t="shared" si="4"/>
        <v>#N/A</v>
      </c>
      <c r="X19" s="980" t="str">
        <f t="shared" si="5"/>
        <v>#N/A</v>
      </c>
      <c r="Y19" s="819" t="str">
        <f t="shared" si="6"/>
        <v>#N/A</v>
      </c>
      <c r="Z19" s="800"/>
      <c r="AA19" s="800"/>
      <c r="AB19" s="800"/>
      <c r="AC19" s="800"/>
      <c r="AD19" s="807"/>
      <c r="AE19" s="807"/>
      <c r="AF19" s="807"/>
      <c r="AG19" s="807"/>
      <c r="AH19" s="947"/>
      <c r="AI19" s="819"/>
    </row>
    <row r="20">
      <c r="A20" s="620" t="str">
        <f>F22+W3+W12+W13</f>
        <v>#N/A</v>
      </c>
      <c r="B20" s="631" t="s">
        <v>1036</v>
      </c>
      <c r="C20" s="820" t="s">
        <v>161</v>
      </c>
      <c r="D20" s="931">
        <v>8.1</v>
      </c>
      <c r="E20" s="932">
        <v>57114.0</v>
      </c>
      <c r="F20" s="933">
        <f t="shared" ref="F20:F21" si="15">E20+L20+W18-S78+AG4</f>
        <v>69728</v>
      </c>
      <c r="G20" s="975">
        <v>34.96</v>
      </c>
      <c r="H20" s="935">
        <f>IFERROR(__xludf.DUMMYFUNCTION("GOOGLEFINANCE(C20,""changepct"")"),-1.7)</f>
        <v>-1.7</v>
      </c>
      <c r="I20" s="936">
        <f>IFERROR(__xludf.DUMMYFUNCTION("googlefinance(C20,""price"")"),42.32)</f>
        <v>42.32</v>
      </c>
      <c r="J20" s="936">
        <f t="shared" si="12"/>
        <v>7.36</v>
      </c>
      <c r="K20" s="976">
        <f t="shared" si="13"/>
        <v>0.2105263158</v>
      </c>
      <c r="L20" s="933">
        <f t="shared" si="14"/>
        <v>12024</v>
      </c>
      <c r="M20" s="950" t="s">
        <v>128</v>
      </c>
      <c r="N20" s="805"/>
      <c r="O20" s="736"/>
      <c r="P20" s="735" t="s">
        <v>632</v>
      </c>
      <c r="Q20" s="939" t="s">
        <v>674</v>
      </c>
      <c r="R20" s="981">
        <v>7.2</v>
      </c>
      <c r="S20" s="982">
        <v>43712.0</v>
      </c>
      <c r="T20" s="941">
        <f>IFERROR(__xludf.DUMMYFUNCTION("GOOGLEFINANCE(Q20,""price"")"),185.26)</f>
        <v>185.26</v>
      </c>
      <c r="U20" s="979">
        <v>185.62</v>
      </c>
      <c r="V20" s="943">
        <v>18562.0</v>
      </c>
      <c r="W20" s="944">
        <f t="shared" si="4"/>
        <v>18526</v>
      </c>
      <c r="X20" s="945">
        <f t="shared" si="5"/>
        <v>-36</v>
      </c>
      <c r="Y20" s="819">
        <f t="shared" si="6"/>
        <v>-0.00193944618</v>
      </c>
      <c r="Z20" s="800"/>
      <c r="AA20" s="800"/>
      <c r="AB20" s="800"/>
      <c r="AC20" s="800"/>
      <c r="AD20" s="807"/>
      <c r="AE20" s="807"/>
      <c r="AF20" s="807"/>
      <c r="AG20" s="807"/>
      <c r="AH20" s="947"/>
      <c r="AI20" s="819"/>
    </row>
    <row r="21">
      <c r="A21" s="565"/>
      <c r="B21" s="631" t="s">
        <v>1032</v>
      </c>
      <c r="C21" s="820" t="s">
        <v>710</v>
      </c>
      <c r="D21" s="931">
        <v>7.9</v>
      </c>
      <c r="E21" s="932">
        <v>44850.0</v>
      </c>
      <c r="F21" s="933" t="str">
        <f t="shared" si="15"/>
        <v>#N/A</v>
      </c>
      <c r="G21" s="975">
        <v>42.92</v>
      </c>
      <c r="H21" s="935" t="str">
        <f>IFERROR(__xludf.DUMMYFUNCTION("GOOGLEFINANCE(C21,""changepct"")"),"#N/A")</f>
        <v>#N/A</v>
      </c>
      <c r="I21" s="936" t="str">
        <f>IFERROR(__xludf.DUMMYFUNCTION("googlefinance(C21,""price"")"),"#N/A")</f>
        <v>#N/A</v>
      </c>
      <c r="J21" s="936" t="str">
        <f t="shared" si="12"/>
        <v>#N/A</v>
      </c>
      <c r="K21" s="976" t="str">
        <f t="shared" si="13"/>
        <v>#N/A</v>
      </c>
      <c r="L21" s="933" t="str">
        <f t="shared" si="14"/>
        <v>#N/A</v>
      </c>
      <c r="M21" s="938">
        <v>0.005</v>
      </c>
      <c r="N21" s="788">
        <v>63.0</v>
      </c>
      <c r="O21" s="736"/>
      <c r="P21" s="735" t="s">
        <v>773</v>
      </c>
      <c r="Q21" s="736" t="s">
        <v>774</v>
      </c>
      <c r="R21" s="983">
        <v>8.8</v>
      </c>
      <c r="S21" s="984">
        <v>43713.0</v>
      </c>
      <c r="T21" s="953">
        <f>IFERROR(__xludf.DUMMYFUNCTION("GOOGLEFINANCE(Q21,""price"")"),26.43)</f>
        <v>26.43</v>
      </c>
      <c r="U21" s="978">
        <v>17.31</v>
      </c>
      <c r="V21" s="955">
        <v>34620.0</v>
      </c>
      <c r="W21" s="956">
        <f t="shared" si="4"/>
        <v>52860</v>
      </c>
      <c r="X21" s="957">
        <f t="shared" si="5"/>
        <v>18240</v>
      </c>
      <c r="Y21" s="819">
        <f t="shared" si="6"/>
        <v>0.5268630849</v>
      </c>
      <c r="Z21" s="800"/>
      <c r="AA21" s="800"/>
      <c r="AB21" s="800"/>
      <c r="AC21" s="800"/>
      <c r="AD21" s="807"/>
      <c r="AE21" s="807"/>
      <c r="AF21" s="807"/>
      <c r="AG21" s="807"/>
      <c r="AH21" s="947"/>
      <c r="AI21" s="819"/>
    </row>
    <row r="22">
      <c r="A22" s="967" t="s">
        <v>89</v>
      </c>
      <c r="B22" s="224"/>
      <c r="C22" s="82"/>
      <c r="D22" s="969"/>
      <c r="E22" s="970">
        <f t="shared" ref="E22:F22" si="16">SUM(E17:E21)</f>
        <v>300453</v>
      </c>
      <c r="F22" s="970" t="str">
        <f t="shared" si="16"/>
        <v>#N/A</v>
      </c>
      <c r="G22" s="985"/>
      <c r="H22" s="971"/>
      <c r="I22" s="985"/>
      <c r="J22" s="985"/>
      <c r="K22" s="972" t="str">
        <f>L22/E22</f>
        <v>#N/A</v>
      </c>
      <c r="L22" s="970" t="str">
        <f>SUM(L17:L21)</f>
        <v>#N/A</v>
      </c>
      <c r="M22" s="969"/>
      <c r="N22" s="973">
        <f>SUM(N17:N21)</f>
        <v>493</v>
      </c>
      <c r="O22" s="736"/>
      <c r="P22" s="735" t="s">
        <v>632</v>
      </c>
      <c r="Q22" s="939" t="s">
        <v>674</v>
      </c>
      <c r="R22" s="981">
        <v>7.2</v>
      </c>
      <c r="S22" s="982">
        <v>43720.0</v>
      </c>
      <c r="T22" s="941">
        <f>IFERROR(__xludf.DUMMYFUNCTION("GOOGLEFINANCE(Q22,""price"")"),185.26)</f>
        <v>185.26</v>
      </c>
      <c r="U22" s="979">
        <v>188.02</v>
      </c>
      <c r="V22" s="943">
        <v>18802.0</v>
      </c>
      <c r="W22" s="944">
        <f t="shared" si="4"/>
        <v>18526</v>
      </c>
      <c r="X22" s="945">
        <f t="shared" si="5"/>
        <v>-276</v>
      </c>
      <c r="Y22" s="819">
        <f t="shared" si="6"/>
        <v>-0.01467928944</v>
      </c>
      <c r="Z22" s="800"/>
      <c r="AA22" s="800"/>
      <c r="AB22" s="800"/>
      <c r="AC22" s="800"/>
      <c r="AD22" s="807"/>
      <c r="AE22" s="807"/>
      <c r="AF22" s="807"/>
      <c r="AG22" s="807"/>
      <c r="AH22" s="947"/>
      <c r="AI22" s="819"/>
    </row>
    <row r="23">
      <c r="A23" s="923" t="s">
        <v>1037</v>
      </c>
      <c r="B23" s="877" t="s">
        <v>3</v>
      </c>
      <c r="C23" s="924" t="s">
        <v>1038</v>
      </c>
      <c r="D23" s="925" t="s">
        <v>5</v>
      </c>
      <c r="E23" s="926" t="s">
        <v>1011</v>
      </c>
      <c r="F23" s="927" t="s">
        <v>1012</v>
      </c>
      <c r="G23" s="927" t="s">
        <v>1013</v>
      </c>
      <c r="H23" s="928" t="s">
        <v>10</v>
      </c>
      <c r="I23" s="924" t="s">
        <v>1014</v>
      </c>
      <c r="J23" s="924" t="s">
        <v>1015</v>
      </c>
      <c r="K23" s="925" t="s">
        <v>1016</v>
      </c>
      <c r="L23" s="925" t="s">
        <v>329</v>
      </c>
      <c r="M23" s="925" t="s">
        <v>1017</v>
      </c>
      <c r="N23" s="929" t="s">
        <v>17</v>
      </c>
      <c r="O23" s="986"/>
      <c r="P23" s="987" t="s">
        <v>749</v>
      </c>
      <c r="Q23" s="736" t="s">
        <v>582</v>
      </c>
      <c r="R23" s="988">
        <v>6.8</v>
      </c>
      <c r="S23" s="984">
        <v>43720.0</v>
      </c>
      <c r="T23" s="953">
        <f>IFERROR(__xludf.DUMMYFUNCTION("GOOGLEFINANCE(Q23,""price"")"),900.43)</f>
        <v>900.43</v>
      </c>
      <c r="U23" s="954">
        <v>288.88</v>
      </c>
      <c r="V23" s="955">
        <v>28888.0</v>
      </c>
      <c r="W23" s="956">
        <f t="shared" si="4"/>
        <v>90043</v>
      </c>
      <c r="X23" s="957">
        <f t="shared" si="5"/>
        <v>61155</v>
      </c>
      <c r="Y23" s="819">
        <f t="shared" si="6"/>
        <v>2.116968984</v>
      </c>
      <c r="Z23" s="800"/>
      <c r="AA23" s="800"/>
      <c r="AB23" s="800"/>
      <c r="AC23" s="800"/>
      <c r="AD23" s="807"/>
      <c r="AE23" s="807"/>
      <c r="AF23" s="807"/>
      <c r="AG23" s="807"/>
      <c r="AH23" s="947"/>
      <c r="AI23" s="819"/>
    </row>
    <row r="24">
      <c r="A24" s="502" t="s">
        <v>729</v>
      </c>
      <c r="B24" s="631" t="s">
        <v>606</v>
      </c>
      <c r="C24" s="820" t="s">
        <v>607</v>
      </c>
      <c r="D24" s="931">
        <v>6.2</v>
      </c>
      <c r="E24" s="932">
        <v>31050.0</v>
      </c>
      <c r="F24" s="933">
        <f>E24+L24</f>
        <v>37464.55636</v>
      </c>
      <c r="G24" s="975">
        <v>52.52</v>
      </c>
      <c r="H24" s="935">
        <f>IFERROR(__xludf.DUMMYFUNCTION("GOOGLEFINANCE(C24,""changepct"")"),-0.91)</f>
        <v>-0.91</v>
      </c>
      <c r="I24" s="936">
        <f>IFERROR(__xludf.DUMMYFUNCTION("googlefinance(C24,""price"")"),63.37)</f>
        <v>63.37</v>
      </c>
      <c r="J24" s="936">
        <f t="shared" ref="J24:J27" si="17">(I24-G24)</f>
        <v>10.85</v>
      </c>
      <c r="K24" s="937">
        <f t="shared" ref="K24:K27" si="18">(I24/G24-1)</f>
        <v>0.2065879665</v>
      </c>
      <c r="L24" s="933">
        <f t="shared" ref="L24:L27" si="19">(E24*K24)</f>
        <v>6414.556359</v>
      </c>
      <c r="M24" s="938">
        <v>0.0502</v>
      </c>
      <c r="N24" s="788">
        <v>500.0</v>
      </c>
      <c r="O24" s="989"/>
      <c r="P24" s="735" t="s">
        <v>37</v>
      </c>
      <c r="Q24" s="797" t="s">
        <v>36</v>
      </c>
      <c r="R24" s="787">
        <v>6.9</v>
      </c>
      <c r="S24" s="982">
        <v>43720.0</v>
      </c>
      <c r="T24" s="941">
        <f>IFERROR(__xludf.DUMMYFUNCTION("GOOGLEFINANCE(Q24,""price"")"),417.41)</f>
        <v>417.41</v>
      </c>
      <c r="U24" s="790">
        <v>244.63</v>
      </c>
      <c r="V24" s="788">
        <v>24463.0</v>
      </c>
      <c r="W24" s="944">
        <f t="shared" si="4"/>
        <v>41741</v>
      </c>
      <c r="X24" s="945">
        <f t="shared" si="5"/>
        <v>17278</v>
      </c>
      <c r="Y24" s="819">
        <f t="shared" si="6"/>
        <v>0.7062911335</v>
      </c>
      <c r="Z24" s="800"/>
      <c r="AA24" s="800"/>
      <c r="AB24" s="800"/>
      <c r="AC24" s="800"/>
      <c r="AD24" s="807"/>
      <c r="AE24" s="807"/>
      <c r="AF24" s="807"/>
      <c r="AG24" s="807"/>
      <c r="AH24" s="947"/>
      <c r="AI24" s="819"/>
    </row>
    <row r="25">
      <c r="A25" s="990">
        <f>F28/G68</f>
        <v>0.04216249014</v>
      </c>
      <c r="B25" s="631" t="s">
        <v>483</v>
      </c>
      <c r="C25" s="820" t="s">
        <v>484</v>
      </c>
      <c r="D25" s="931">
        <v>6.8</v>
      </c>
      <c r="E25" s="932">
        <v>47040.0</v>
      </c>
      <c r="F25" s="933">
        <f>E25+L25-S57</f>
        <v>21440.01522</v>
      </c>
      <c r="G25" s="975">
        <v>33.51</v>
      </c>
      <c r="H25" s="935">
        <f>IFERROR(__xludf.DUMMYFUNCTION("GOOGLEFINANCE(C25,""changepct"")"),-1.09)</f>
        <v>-1.09</v>
      </c>
      <c r="I25" s="936">
        <f>IFERROR(__xludf.DUMMYFUNCTION("googlefinance(C25,""price"")"),22.61)</f>
        <v>22.61</v>
      </c>
      <c r="J25" s="936">
        <f t="shared" si="17"/>
        <v>-10.9</v>
      </c>
      <c r="K25" s="937">
        <f t="shared" si="18"/>
        <v>-0.325276037</v>
      </c>
      <c r="L25" s="933">
        <f t="shared" si="19"/>
        <v>-15300.98478</v>
      </c>
      <c r="M25" s="991">
        <v>0.0612</v>
      </c>
      <c r="N25" s="788">
        <v>689.0</v>
      </c>
      <c r="O25" s="989"/>
      <c r="P25" s="735" t="s">
        <v>539</v>
      </c>
      <c r="Q25" s="736" t="s">
        <v>540</v>
      </c>
      <c r="R25" s="951">
        <v>7.7</v>
      </c>
      <c r="S25" s="984">
        <v>43720.0</v>
      </c>
      <c r="T25" s="953">
        <f>IFERROR(__xludf.DUMMYFUNCTION("GOOGLEFINANCE(Q25,""price"")"),573.55)</f>
        <v>573.55</v>
      </c>
      <c r="U25" s="954">
        <v>216.62</v>
      </c>
      <c r="V25" s="955">
        <v>21662.0</v>
      </c>
      <c r="W25" s="956">
        <f t="shared" si="4"/>
        <v>57355</v>
      </c>
      <c r="X25" s="957">
        <f t="shared" si="5"/>
        <v>35693</v>
      </c>
      <c r="Y25" s="819">
        <f t="shared" si="6"/>
        <v>1.647724125</v>
      </c>
      <c r="Z25" s="800"/>
      <c r="AA25" s="800"/>
      <c r="AB25" s="800"/>
      <c r="AC25" s="800"/>
      <c r="AD25" s="807"/>
      <c r="AE25" s="807"/>
      <c r="AF25" s="807"/>
      <c r="AG25" s="807"/>
      <c r="AH25" s="947"/>
      <c r="AI25" s="819"/>
    </row>
    <row r="26">
      <c r="A26" s="992" t="s">
        <v>1029</v>
      </c>
      <c r="B26" s="631" t="s">
        <v>604</v>
      </c>
      <c r="C26" s="820" t="s">
        <v>605</v>
      </c>
      <c r="D26" s="931">
        <v>6.7</v>
      </c>
      <c r="E26" s="932">
        <v>39180.0</v>
      </c>
      <c r="F26" s="933">
        <f>E26+L26</f>
        <v>38321.67526</v>
      </c>
      <c r="G26" s="975">
        <v>31.04</v>
      </c>
      <c r="H26" s="949">
        <f>IFERROR(__xludf.DUMMYFUNCTION("GOOGLEFINANCE(C26,""changepct"")"),-1.04)</f>
        <v>-1.04</v>
      </c>
      <c r="I26" s="936">
        <f>IFERROR(__xludf.DUMMYFUNCTION("googlefinance(C26,""price"")"),30.36)</f>
        <v>30.36</v>
      </c>
      <c r="J26" s="936">
        <f t="shared" si="17"/>
        <v>-0.68</v>
      </c>
      <c r="K26" s="937">
        <f t="shared" si="18"/>
        <v>-0.02190721649</v>
      </c>
      <c r="L26" s="933">
        <f t="shared" si="19"/>
        <v>-858.3247423</v>
      </c>
      <c r="M26" s="991">
        <v>0.052</v>
      </c>
      <c r="N26" s="788">
        <v>360.0</v>
      </c>
      <c r="O26" s="989"/>
      <c r="P26" s="735" t="s">
        <v>615</v>
      </c>
      <c r="Q26" s="797" t="s">
        <v>616</v>
      </c>
      <c r="R26" s="787">
        <v>7.4</v>
      </c>
      <c r="S26" s="982">
        <v>43720.0</v>
      </c>
      <c r="T26" s="941">
        <f>IFERROR(__xludf.DUMMYFUNCTION("GOOGLEFINANCE(Q26,""price"")"),239.32)</f>
        <v>239.32</v>
      </c>
      <c r="U26" s="790">
        <v>117.45</v>
      </c>
      <c r="V26" s="788">
        <v>23490.0</v>
      </c>
      <c r="W26" s="944">
        <f t="shared" si="4"/>
        <v>47864</v>
      </c>
      <c r="X26" s="945">
        <f t="shared" si="5"/>
        <v>24374</v>
      </c>
      <c r="Y26" s="819">
        <f t="shared" si="6"/>
        <v>1.037633035</v>
      </c>
      <c r="Z26" s="800"/>
      <c r="AA26" s="800"/>
      <c r="AB26" s="800"/>
      <c r="AC26" s="800"/>
      <c r="AD26" s="807"/>
      <c r="AE26" s="807"/>
      <c r="AF26" s="807"/>
      <c r="AG26" s="807"/>
      <c r="AH26" s="947"/>
      <c r="AI26" s="819"/>
    </row>
    <row r="27">
      <c r="A27" s="960">
        <f>F28</f>
        <v>138938.897</v>
      </c>
      <c r="B27" s="567" t="s">
        <v>608</v>
      </c>
      <c r="C27" s="820" t="s">
        <v>1039</v>
      </c>
      <c r="D27" s="931">
        <v>7.3</v>
      </c>
      <c r="E27" s="932">
        <v>40166.0</v>
      </c>
      <c r="F27" s="933">
        <f>E27+L27-S58</f>
        <v>41712.65018</v>
      </c>
      <c r="G27" s="975">
        <v>53.57</v>
      </c>
      <c r="H27" s="949">
        <f>IFERROR(__xludf.DUMMYFUNCTION("GOOGLEFINANCE(C27,""changepct"")"),-0.43)</f>
        <v>-0.43</v>
      </c>
      <c r="I27" s="936">
        <f>IFERROR(__xludf.DUMMYFUNCTION("googlefinance(C27,""price"")"),80.82)</f>
        <v>80.82</v>
      </c>
      <c r="J27" s="936">
        <f t="shared" si="17"/>
        <v>27.25</v>
      </c>
      <c r="K27" s="937">
        <f t="shared" si="18"/>
        <v>0.5086802315</v>
      </c>
      <c r="L27" s="933">
        <f t="shared" si="19"/>
        <v>20431.65018</v>
      </c>
      <c r="M27" s="938">
        <v>0.039</v>
      </c>
      <c r="N27" s="788">
        <v>355.0</v>
      </c>
      <c r="O27" s="989"/>
      <c r="P27" s="735" t="s">
        <v>456</v>
      </c>
      <c r="Q27" s="736" t="s">
        <v>457</v>
      </c>
      <c r="R27" s="951">
        <v>7.5</v>
      </c>
      <c r="S27" s="984">
        <v>43720.0</v>
      </c>
      <c r="T27" s="953">
        <f>IFERROR(__xludf.DUMMYFUNCTION("GOOGLEFINANCE(Q27,""price"")"),17.11)</f>
        <v>17.11</v>
      </c>
      <c r="U27" s="954">
        <v>17.67</v>
      </c>
      <c r="V27" s="955">
        <v>21204.0</v>
      </c>
      <c r="W27" s="956">
        <f t="shared" si="4"/>
        <v>20532</v>
      </c>
      <c r="X27" s="957">
        <f t="shared" si="5"/>
        <v>-672</v>
      </c>
      <c r="Y27" s="819">
        <f t="shared" si="6"/>
        <v>-0.03169213356</v>
      </c>
      <c r="Z27" s="800"/>
      <c r="AA27" s="800"/>
      <c r="AB27" s="800"/>
      <c r="AC27" s="800"/>
      <c r="AD27" s="807"/>
      <c r="AE27" s="807"/>
      <c r="AF27" s="807"/>
      <c r="AG27" s="807"/>
      <c r="AH27" s="947"/>
      <c r="AI27" s="819"/>
    </row>
    <row r="28">
      <c r="A28" s="967" t="s">
        <v>89</v>
      </c>
      <c r="B28" s="224"/>
      <c r="C28" s="82"/>
      <c r="D28" s="969"/>
      <c r="E28" s="970">
        <f t="shared" ref="E28:F28" si="20">SUM(E24:E27)</f>
        <v>157436</v>
      </c>
      <c r="F28" s="970">
        <f t="shared" si="20"/>
        <v>138938.897</v>
      </c>
      <c r="G28" s="985"/>
      <c r="H28" s="971"/>
      <c r="I28" s="985"/>
      <c r="J28" s="985"/>
      <c r="K28" s="972">
        <f>L28/E28</f>
        <v>0.06788089772</v>
      </c>
      <c r="L28" s="970">
        <f>SUM(L24:L27)</f>
        <v>10686.89701</v>
      </c>
      <c r="M28" s="969"/>
      <c r="N28" s="973">
        <f>SUM(N24:N27)</f>
        <v>1904</v>
      </c>
      <c r="O28" s="854"/>
      <c r="P28" s="735" t="s">
        <v>89</v>
      </c>
      <c r="Q28" s="811"/>
      <c r="R28" s="811"/>
      <c r="S28" s="811"/>
      <c r="T28" s="993"/>
      <c r="U28" s="811"/>
      <c r="V28" s="812">
        <f t="shared" ref="V28:X28" si="21">SUM(V2:V27)</f>
        <v>525947.25</v>
      </c>
      <c r="W28" s="840" t="str">
        <f t="shared" si="21"/>
        <v>#N/A</v>
      </c>
      <c r="X28" s="821" t="str">
        <f t="shared" si="21"/>
        <v>#N/A</v>
      </c>
      <c r="Y28" s="815" t="str">
        <f>X28/V28</f>
        <v>#N/A</v>
      </c>
      <c r="Z28" s="811"/>
      <c r="AA28" s="811"/>
      <c r="AB28" s="811"/>
      <c r="AC28" s="811"/>
      <c r="AD28" s="814"/>
      <c r="AE28" s="814"/>
      <c r="AF28" s="904">
        <f t="shared" ref="AF28:AH28" si="22">SUM(AF2:AF27)</f>
        <v>88581</v>
      </c>
      <c r="AG28" s="904" t="str">
        <f t="shared" si="22"/>
        <v>#N/A</v>
      </c>
      <c r="AH28" s="904" t="str">
        <f t="shared" si="22"/>
        <v>#N/A</v>
      </c>
      <c r="AI28" s="819" t="str">
        <f>AH28/AF28</f>
        <v>#N/A</v>
      </c>
    </row>
    <row r="29">
      <c r="A29" s="923" t="s">
        <v>614</v>
      </c>
      <c r="B29" s="877" t="s">
        <v>3</v>
      </c>
      <c r="C29" s="924" t="s">
        <v>1038</v>
      </c>
      <c r="D29" s="925" t="s">
        <v>5</v>
      </c>
      <c r="E29" s="926" t="s">
        <v>1011</v>
      </c>
      <c r="F29" s="927" t="s">
        <v>1012</v>
      </c>
      <c r="G29" s="927" t="s">
        <v>1013</v>
      </c>
      <c r="H29" s="928" t="s">
        <v>10</v>
      </c>
      <c r="I29" s="924" t="s">
        <v>1014</v>
      </c>
      <c r="J29" s="924" t="s">
        <v>1015</v>
      </c>
      <c r="K29" s="925" t="s">
        <v>1016</v>
      </c>
      <c r="L29" s="925" t="s">
        <v>329</v>
      </c>
      <c r="M29" s="925" t="s">
        <v>1017</v>
      </c>
      <c r="N29" s="929" t="s">
        <v>17</v>
      </c>
      <c r="O29" s="736"/>
      <c r="P29" s="736" t="s">
        <v>1040</v>
      </c>
      <c r="Q29" s="989"/>
      <c r="R29" s="989"/>
      <c r="S29" s="989"/>
      <c r="T29" s="989"/>
      <c r="U29" s="989"/>
      <c r="V29" s="989"/>
      <c r="W29" s="989"/>
      <c r="X29" s="989"/>
      <c r="Y29" s="994"/>
      <c r="Z29" s="909"/>
      <c r="AA29" s="909"/>
      <c r="AB29" s="909"/>
      <c r="AC29" s="909"/>
      <c r="AD29" s="909"/>
      <c r="AE29" s="909"/>
      <c r="AF29" s="909"/>
      <c r="AG29" s="909"/>
      <c r="AH29" s="995"/>
      <c r="AI29" s="909"/>
    </row>
    <row r="30">
      <c r="A30" s="502" t="s">
        <v>729</v>
      </c>
      <c r="B30" s="631" t="s">
        <v>615</v>
      </c>
      <c r="C30" s="820" t="s">
        <v>616</v>
      </c>
      <c r="D30" s="931">
        <v>5.4</v>
      </c>
      <c r="E30" s="932">
        <v>34369.0</v>
      </c>
      <c r="F30" s="933">
        <f>E30+L30-S56-V56+W26-S86</f>
        <v>69131.56422</v>
      </c>
      <c r="G30" s="975">
        <v>111.8</v>
      </c>
      <c r="H30" s="935">
        <f>IFERROR(__xludf.DUMMYFUNCTION("GOOGLEFINANCE(C30,""changepct"")"),-0.77)</f>
        <v>-0.77</v>
      </c>
      <c r="I30" s="936">
        <f>IFERROR(__xludf.DUMMYFUNCTION("googlefinance(C30,""price"")"),239.32)</f>
        <v>239.32</v>
      </c>
      <c r="J30" s="936">
        <f t="shared" ref="J30:J36" si="23">(I30-G30)</f>
        <v>127.52</v>
      </c>
      <c r="K30" s="937">
        <f t="shared" ref="K30:K36" si="24">(I30/G30-1)</f>
        <v>1.140608229</v>
      </c>
      <c r="L30" s="933">
        <f t="shared" ref="L30:L36" si="25">(E30*K30)</f>
        <v>39201.56422</v>
      </c>
      <c r="M30" s="938">
        <v>0.0332</v>
      </c>
      <c r="N30" s="788">
        <v>240.0</v>
      </c>
      <c r="O30" s="735"/>
      <c r="P30" s="735" t="s">
        <v>1041</v>
      </c>
      <c r="Q30" s="735" t="s">
        <v>4</v>
      </c>
      <c r="R30" s="735"/>
      <c r="S30" s="735" t="s">
        <v>1042</v>
      </c>
      <c r="T30" s="735" t="s">
        <v>1043</v>
      </c>
      <c r="U30" s="735" t="s">
        <v>1014</v>
      </c>
      <c r="V30" s="987" t="s">
        <v>1044</v>
      </c>
      <c r="W30" s="735" t="s">
        <v>786</v>
      </c>
      <c r="X30" s="735" t="s">
        <v>951</v>
      </c>
      <c r="Y30" s="996" t="s">
        <v>1045</v>
      </c>
      <c r="Z30" s="909"/>
      <c r="AA30" s="909"/>
      <c r="AB30" s="909"/>
      <c r="AC30" s="909"/>
      <c r="AD30" s="909"/>
      <c r="AE30" s="909"/>
      <c r="AF30" s="909"/>
      <c r="AG30" s="909"/>
      <c r="AH30" s="909"/>
      <c r="AI30" s="909"/>
    </row>
    <row r="31">
      <c r="A31" s="948" t="str">
        <f>(F37)/G68</f>
        <v>#N/A</v>
      </c>
      <c r="B31" s="631" t="s">
        <v>539</v>
      </c>
      <c r="C31" s="820" t="s">
        <v>540</v>
      </c>
      <c r="D31" s="931">
        <v>5.7</v>
      </c>
      <c r="E31" s="932">
        <v>38398.0</v>
      </c>
      <c r="F31" s="933">
        <f>E31+L31-S54+W25-S85</f>
        <v>116082.1413</v>
      </c>
      <c r="G31" s="975">
        <v>204.6</v>
      </c>
      <c r="H31" s="935">
        <f>IFERROR(__xludf.DUMMYFUNCTION("GOOGLEFINANCE(C31,""changepct"")"),-0.46)</f>
        <v>-0.46</v>
      </c>
      <c r="I31" s="936">
        <f>IFERROR(__xludf.DUMMYFUNCTION("googlefinance(C31,""price"")"),573.55)</f>
        <v>573.55</v>
      </c>
      <c r="J31" s="936">
        <f t="shared" si="23"/>
        <v>368.95</v>
      </c>
      <c r="K31" s="937">
        <f t="shared" si="24"/>
        <v>1.803274682</v>
      </c>
      <c r="L31" s="933">
        <f t="shared" si="25"/>
        <v>69242.14125</v>
      </c>
      <c r="M31" s="938">
        <v>0.019</v>
      </c>
      <c r="N31" s="788">
        <v>140.0</v>
      </c>
      <c r="O31" s="736"/>
      <c r="P31" s="736" t="s">
        <v>933</v>
      </c>
      <c r="Q31" s="854" t="s">
        <v>934</v>
      </c>
      <c r="R31" s="946"/>
      <c r="S31" s="946">
        <v>43675.0</v>
      </c>
      <c r="T31" s="790">
        <v>19.3</v>
      </c>
      <c r="U31" s="839" t="str">
        <f t="shared" ref="U31:U36" si="26">cryptofinance(Q31, "price")</f>
        <v>Loading...</v>
      </c>
      <c r="V31" s="788">
        <v>19300.0</v>
      </c>
      <c r="W31" s="805" t="str">
        <f t="shared" ref="W31:W36" si="27">V31+X31</f>
        <v>Loading...</v>
      </c>
      <c r="X31" s="798" t="str">
        <f t="shared" ref="X31:X36" si="28">V31*Y31</f>
        <v>Loading...</v>
      </c>
      <c r="Y31" s="997" t="str">
        <f t="shared" ref="Y31:Y36" si="29">U31/T31-1</f>
        <v>Loading...</v>
      </c>
      <c r="Z31" s="909"/>
      <c r="AA31" s="909"/>
      <c r="AB31" s="909"/>
      <c r="AC31" s="909"/>
      <c r="AD31" s="909"/>
      <c r="AE31" s="909"/>
      <c r="AF31" s="909"/>
      <c r="AG31" s="909"/>
      <c r="AH31" s="909"/>
      <c r="AI31" s="909"/>
    </row>
    <row r="32">
      <c r="A32" s="502" t="s">
        <v>1046</v>
      </c>
      <c r="B32" s="631" t="s">
        <v>456</v>
      </c>
      <c r="C32" s="820" t="s">
        <v>457</v>
      </c>
      <c r="D32" s="931">
        <v>4.8</v>
      </c>
      <c r="E32" s="932">
        <v>33500.0</v>
      </c>
      <c r="F32" s="933">
        <f>E32+L32-S55+W27-S87</f>
        <v>4140.112676</v>
      </c>
      <c r="G32" s="975">
        <v>17.75</v>
      </c>
      <c r="H32" s="935">
        <f>IFERROR(__xludf.DUMMYFUNCTION("GOOGLEFINANCE(C32,""changepct"")"),-0.52)</f>
        <v>-0.52</v>
      </c>
      <c r="I32" s="936">
        <f>IFERROR(__xludf.DUMMYFUNCTION("googlefinance(C32,""price"")"),17.11)</f>
        <v>17.11</v>
      </c>
      <c r="J32" s="936">
        <f t="shared" si="23"/>
        <v>-0.64</v>
      </c>
      <c r="K32" s="937">
        <f t="shared" si="24"/>
        <v>-0.03605633803</v>
      </c>
      <c r="L32" s="933">
        <f t="shared" si="25"/>
        <v>-1207.887324</v>
      </c>
      <c r="M32" s="938">
        <v>0.0474</v>
      </c>
      <c r="N32" s="788">
        <v>360.0</v>
      </c>
      <c r="O32" s="736"/>
      <c r="P32" s="736" t="s">
        <v>417</v>
      </c>
      <c r="Q32" s="854" t="s">
        <v>418</v>
      </c>
      <c r="R32" s="946"/>
      <c r="S32" s="946">
        <v>43675.0</v>
      </c>
      <c r="T32" s="790">
        <v>68.87</v>
      </c>
      <c r="U32" s="998" t="str">
        <f t="shared" si="26"/>
        <v>Loading...</v>
      </c>
      <c r="V32" s="788">
        <v>34300.0</v>
      </c>
      <c r="W32" s="805" t="str">
        <f t="shared" si="27"/>
        <v>Loading...</v>
      </c>
      <c r="X32" s="798" t="str">
        <f t="shared" si="28"/>
        <v>Loading...</v>
      </c>
      <c r="Y32" s="997" t="str">
        <f t="shared" si="29"/>
        <v>Loading...</v>
      </c>
      <c r="Z32" s="909"/>
      <c r="AA32" s="909"/>
      <c r="AB32" s="909"/>
      <c r="AC32" s="909"/>
      <c r="AD32" s="909"/>
      <c r="AE32" s="909"/>
      <c r="AF32" s="909"/>
      <c r="AG32" s="909"/>
      <c r="AH32" s="909"/>
      <c r="AI32" s="909"/>
    </row>
    <row r="33">
      <c r="A33" s="960" t="str">
        <f>F37</f>
        <v>#N/A</v>
      </c>
      <c r="B33" s="631" t="s">
        <v>914</v>
      </c>
      <c r="C33" s="820" t="s">
        <v>686</v>
      </c>
      <c r="D33" s="931">
        <v>4.9</v>
      </c>
      <c r="E33" s="932">
        <v>31110.0</v>
      </c>
      <c r="F33" s="933">
        <f>E33+L33-S61</f>
        <v>11370.92575</v>
      </c>
      <c r="G33" s="975">
        <v>70.03</v>
      </c>
      <c r="H33" s="935">
        <f>IFERROR(__xludf.DUMMYFUNCTION("GOOGLEFINANCE(C33,""changepct"")"),-0.86)</f>
        <v>-0.86</v>
      </c>
      <c r="I33" s="936">
        <f>IFERROR(__xludf.DUMMYFUNCTION("googlefinance(C33,""price"")"),70.39)</f>
        <v>70.39</v>
      </c>
      <c r="J33" s="936">
        <f t="shared" si="23"/>
        <v>0.36</v>
      </c>
      <c r="K33" s="937">
        <f t="shared" si="24"/>
        <v>0.005140654005</v>
      </c>
      <c r="L33" s="933">
        <f t="shared" si="25"/>
        <v>159.9257461</v>
      </c>
      <c r="M33" s="938">
        <v>0.0341</v>
      </c>
      <c r="N33" s="788">
        <v>200.0</v>
      </c>
      <c r="O33" s="736"/>
      <c r="P33" s="736" t="s">
        <v>621</v>
      </c>
      <c r="Q33" s="854" t="s">
        <v>514</v>
      </c>
      <c r="R33" s="982"/>
      <c r="S33" s="982">
        <v>43675.0</v>
      </c>
      <c r="T33" s="790">
        <v>80.69</v>
      </c>
      <c r="U33" s="839" t="str">
        <f t="shared" si="26"/>
        <v>Loading...</v>
      </c>
      <c r="V33" s="788">
        <v>20500.0</v>
      </c>
      <c r="W33" s="805" t="str">
        <f t="shared" si="27"/>
        <v>Loading...</v>
      </c>
      <c r="X33" s="798" t="str">
        <f t="shared" si="28"/>
        <v>Loading...</v>
      </c>
      <c r="Y33" s="997" t="str">
        <f t="shared" si="29"/>
        <v>Loading...</v>
      </c>
      <c r="Z33" s="909"/>
      <c r="AA33" s="909"/>
      <c r="AB33" s="909"/>
      <c r="AC33" s="909"/>
      <c r="AD33" s="909"/>
      <c r="AE33" s="909"/>
      <c r="AF33" s="909"/>
      <c r="AG33" s="909"/>
      <c r="AH33" s="909"/>
      <c r="AI33" s="909"/>
    </row>
    <row r="34">
      <c r="A34" s="565"/>
      <c r="B34" s="567" t="s">
        <v>768</v>
      </c>
      <c r="C34" s="965" t="s">
        <v>769</v>
      </c>
      <c r="D34" s="931">
        <v>7.3</v>
      </c>
      <c r="E34" s="932">
        <v>22458.0</v>
      </c>
      <c r="F34" s="933">
        <f t="shared" ref="F34:F35" si="30">E34+L34</f>
        <v>26787.39241</v>
      </c>
      <c r="G34" s="975">
        <v>194.11</v>
      </c>
      <c r="H34" s="935">
        <f>IFERROR(__xludf.DUMMYFUNCTION("GOOGLEFINANCE(C34,""changepct"")"),-0.84)</f>
        <v>-0.84</v>
      </c>
      <c r="I34" s="936">
        <f>IFERROR(__xludf.DUMMYFUNCTION("googlefinance(C34,""price"")"),231.53)</f>
        <v>231.53</v>
      </c>
      <c r="J34" s="936">
        <f t="shared" si="23"/>
        <v>37.42</v>
      </c>
      <c r="K34" s="937">
        <f t="shared" si="24"/>
        <v>0.1927772912</v>
      </c>
      <c r="L34" s="933">
        <f t="shared" si="25"/>
        <v>4329.392406</v>
      </c>
      <c r="M34" s="991">
        <v>0.0152</v>
      </c>
      <c r="N34" s="788">
        <v>98.0</v>
      </c>
      <c r="O34" s="736"/>
      <c r="P34" s="736" t="s">
        <v>832</v>
      </c>
      <c r="Q34" s="854" t="s">
        <v>204</v>
      </c>
      <c r="R34" s="982"/>
      <c r="S34" s="982">
        <v>43675.0</v>
      </c>
      <c r="T34" s="790">
        <v>89.73</v>
      </c>
      <c r="U34" s="839" t="str">
        <f t="shared" si="26"/>
        <v>Loading...</v>
      </c>
      <c r="V34" s="788">
        <v>30400.0</v>
      </c>
      <c r="W34" s="805" t="str">
        <f t="shared" si="27"/>
        <v>Loading...</v>
      </c>
      <c r="X34" s="798" t="str">
        <f t="shared" si="28"/>
        <v>Loading...</v>
      </c>
      <c r="Y34" s="997" t="str">
        <f t="shared" si="29"/>
        <v>Loading...</v>
      </c>
      <c r="Z34" s="909"/>
      <c r="AA34" s="909"/>
      <c r="AB34" s="909"/>
      <c r="AC34" s="909"/>
      <c r="AD34" s="909"/>
      <c r="AE34" s="909"/>
      <c r="AF34" s="909"/>
      <c r="AG34" s="909"/>
      <c r="AH34" s="909"/>
      <c r="AI34" s="909"/>
    </row>
    <row r="35">
      <c r="A35" s="620"/>
      <c r="B35" s="631" t="s">
        <v>822</v>
      </c>
      <c r="C35" s="820" t="s">
        <v>823</v>
      </c>
      <c r="D35" s="931">
        <v>7.2</v>
      </c>
      <c r="E35" s="932">
        <v>31360.0</v>
      </c>
      <c r="F35" s="933" t="str">
        <f t="shared" si="30"/>
        <v>#N/A</v>
      </c>
      <c r="G35" s="975">
        <v>15.28</v>
      </c>
      <c r="H35" s="935" t="str">
        <f>IFERROR(__xludf.DUMMYFUNCTION("GOOGLEFINANCE(C35,""changepct"")"),"#N/A")</f>
        <v>#N/A</v>
      </c>
      <c r="I35" s="936" t="str">
        <f>IFERROR(__xludf.DUMMYFUNCTION("googlefinance(C35,""price"")"),"#N/A")</f>
        <v>#N/A</v>
      </c>
      <c r="J35" s="936" t="str">
        <f t="shared" si="23"/>
        <v>#N/A</v>
      </c>
      <c r="K35" s="937" t="str">
        <f t="shared" si="24"/>
        <v>#N/A</v>
      </c>
      <c r="L35" s="933" t="str">
        <f t="shared" si="25"/>
        <v>#N/A</v>
      </c>
      <c r="M35" s="991">
        <v>0.0643</v>
      </c>
      <c r="N35" s="788">
        <v>660.0</v>
      </c>
      <c r="O35" s="736"/>
      <c r="P35" s="736" t="s">
        <v>1047</v>
      </c>
      <c r="Q35" s="854" t="s">
        <v>207</v>
      </c>
      <c r="R35" s="982"/>
      <c r="S35" s="982">
        <v>43675.0</v>
      </c>
      <c r="T35" s="790">
        <v>310.44</v>
      </c>
      <c r="U35" s="839" t="str">
        <f t="shared" si="26"/>
        <v>Loading...</v>
      </c>
      <c r="V35" s="788">
        <v>31000.0</v>
      </c>
      <c r="W35" s="805" t="str">
        <f t="shared" si="27"/>
        <v>Loading...</v>
      </c>
      <c r="X35" s="798" t="str">
        <f t="shared" si="28"/>
        <v>Loading...</v>
      </c>
      <c r="Y35" s="997" t="str">
        <f t="shared" si="29"/>
        <v>Loading...</v>
      </c>
      <c r="Z35" s="909"/>
      <c r="AA35" s="909"/>
      <c r="AB35" s="909"/>
      <c r="AC35" s="909"/>
      <c r="AD35" s="909"/>
      <c r="AE35" s="909"/>
      <c r="AF35" s="909"/>
      <c r="AG35" s="909"/>
      <c r="AH35" s="909"/>
      <c r="AI35" s="909"/>
    </row>
    <row r="36">
      <c r="A36" s="565"/>
      <c r="B36" s="631" t="s">
        <v>1048</v>
      </c>
      <c r="C36" s="820" t="s">
        <v>1049</v>
      </c>
      <c r="D36" s="931">
        <v>4.8</v>
      </c>
      <c r="E36" s="932">
        <v>33480.0</v>
      </c>
      <c r="F36" s="932">
        <v>0.0</v>
      </c>
      <c r="G36" s="975">
        <v>27.6</v>
      </c>
      <c r="H36" s="935">
        <f>IFERROR(__xludf.DUMMYFUNCTION("GOOGLEFINANCE(C36,""changepct"")"),-0.96)</f>
        <v>-0.96</v>
      </c>
      <c r="I36" s="936">
        <f>IFERROR(__xludf.DUMMYFUNCTION("googlefinance(C36,""price"")"),48.28)</f>
        <v>48.28</v>
      </c>
      <c r="J36" s="936">
        <f t="shared" si="23"/>
        <v>20.68</v>
      </c>
      <c r="K36" s="937">
        <f t="shared" si="24"/>
        <v>0.7492753623</v>
      </c>
      <c r="L36" s="933">
        <f t="shared" si="25"/>
        <v>25085.73913</v>
      </c>
      <c r="M36" s="938">
        <v>0.0177</v>
      </c>
      <c r="N36" s="788">
        <v>0.0</v>
      </c>
      <c r="O36" s="736"/>
      <c r="P36" s="736" t="s">
        <v>413</v>
      </c>
      <c r="Q36" s="854" t="s">
        <v>185</v>
      </c>
      <c r="R36" s="982"/>
      <c r="S36" s="982">
        <v>43675.0</v>
      </c>
      <c r="T36" s="942">
        <v>9542.0</v>
      </c>
      <c r="U36" s="999" t="str">
        <f t="shared" si="26"/>
        <v>Loading...</v>
      </c>
      <c r="V36" s="943">
        <v>95420.0</v>
      </c>
      <c r="W36" s="944" t="str">
        <f t="shared" si="27"/>
        <v>Loading...</v>
      </c>
      <c r="X36" s="945" t="str">
        <f t="shared" si="28"/>
        <v>Loading...</v>
      </c>
      <c r="Y36" s="997" t="str">
        <f t="shared" si="29"/>
        <v>Loading...</v>
      </c>
      <c r="Z36" s="909"/>
      <c r="AA36" s="909"/>
      <c r="AB36" s="909"/>
      <c r="AC36" s="909"/>
      <c r="AD36" s="909"/>
      <c r="AE36" s="909"/>
      <c r="AF36" s="909"/>
      <c r="AG36" s="909"/>
      <c r="AH36" s="909"/>
      <c r="AI36" s="909"/>
    </row>
    <row r="37">
      <c r="A37" s="967" t="s">
        <v>89</v>
      </c>
      <c r="B37" s="224"/>
      <c r="C37" s="82"/>
      <c r="D37" s="969"/>
      <c r="E37" s="970">
        <f t="shared" ref="E37:F37" si="31">SUM(E30:E36)</f>
        <v>224675</v>
      </c>
      <c r="F37" s="970" t="str">
        <f t="shared" si="31"/>
        <v>#N/A</v>
      </c>
      <c r="G37" s="985"/>
      <c r="H37" s="971"/>
      <c r="I37" s="969"/>
      <c r="J37" s="969"/>
      <c r="K37" s="972" t="str">
        <f>L37/E37</f>
        <v>#N/A</v>
      </c>
      <c r="L37" s="970" t="str">
        <f>SUM(L30:L36)</f>
        <v>#N/A</v>
      </c>
      <c r="M37" s="969"/>
      <c r="N37" s="973">
        <f>SUM(N30:N36)</f>
        <v>1698</v>
      </c>
      <c r="O37" s="987"/>
      <c r="P37" s="987" t="s">
        <v>1050</v>
      </c>
      <c r="Q37" s="735"/>
      <c r="R37" s="821"/>
      <c r="S37" s="821"/>
      <c r="T37" s="821"/>
      <c r="U37" s="1000"/>
      <c r="V37" s="1001"/>
      <c r="W37" s="1002"/>
      <c r="X37" s="1003"/>
      <c r="Y37" s="1004"/>
      <c r="Z37" s="909"/>
      <c r="AA37" s="909"/>
      <c r="AB37" s="909"/>
      <c r="AC37" s="909"/>
      <c r="AD37" s="909"/>
      <c r="AE37" s="909"/>
      <c r="AF37" s="909"/>
      <c r="AG37" s="909"/>
      <c r="AH37" s="909"/>
      <c r="AI37" s="909"/>
    </row>
    <row r="38">
      <c r="A38" s="923" t="s">
        <v>1051</v>
      </c>
      <c r="B38" s="877" t="s">
        <v>3</v>
      </c>
      <c r="C38" s="924" t="s">
        <v>1038</v>
      </c>
      <c r="D38" s="925" t="s">
        <v>5</v>
      </c>
      <c r="E38" s="926" t="s">
        <v>1011</v>
      </c>
      <c r="F38" s="927" t="s">
        <v>1012</v>
      </c>
      <c r="G38" s="927" t="s">
        <v>1013</v>
      </c>
      <c r="H38" s="928" t="s">
        <v>10</v>
      </c>
      <c r="I38" s="924" t="s">
        <v>1014</v>
      </c>
      <c r="J38" s="924" t="s">
        <v>1015</v>
      </c>
      <c r="K38" s="925" t="s">
        <v>1016</v>
      </c>
      <c r="L38" s="925" t="s">
        <v>329</v>
      </c>
      <c r="M38" s="1005" t="s">
        <v>1017</v>
      </c>
      <c r="N38" s="929" t="s">
        <v>17</v>
      </c>
      <c r="O38" s="736"/>
      <c r="P38" s="736" t="s">
        <v>417</v>
      </c>
      <c r="Q38" s="854" t="s">
        <v>418</v>
      </c>
      <c r="R38" s="946"/>
      <c r="S38" s="946">
        <v>43693.0</v>
      </c>
      <c r="T38" s="1006">
        <v>48.2</v>
      </c>
      <c r="U38" s="1007" t="str">
        <f t="shared" ref="U38:U44" si="32">cryptofinance(Q38, "price")</f>
        <v>Loading...</v>
      </c>
      <c r="V38" s="788">
        <v>13400.0</v>
      </c>
      <c r="W38" s="944" t="str">
        <f t="shared" ref="W38:W44" si="33">V38+X38</f>
        <v>Loading...</v>
      </c>
      <c r="X38" s="945" t="str">
        <f t="shared" ref="X38:X44" si="34">V38*Y38</f>
        <v>Loading...</v>
      </c>
      <c r="Y38" s="997" t="str">
        <f t="shared" ref="Y38:Y44" si="35">U38/T38-1</f>
        <v>Loading...</v>
      </c>
      <c r="Z38" s="909"/>
      <c r="AA38" s="909"/>
      <c r="AB38" s="909"/>
      <c r="AC38" s="909"/>
      <c r="AD38" s="909"/>
      <c r="AE38" s="909"/>
      <c r="AF38" s="909"/>
      <c r="AG38" s="909"/>
      <c r="AH38" s="909"/>
      <c r="AI38" s="909"/>
    </row>
    <row r="39">
      <c r="A39" s="502" t="s">
        <v>729</v>
      </c>
      <c r="B39" s="571" t="s">
        <v>589</v>
      </c>
      <c r="C39" s="728" t="s">
        <v>315</v>
      </c>
      <c r="D39" s="1008">
        <v>7.8</v>
      </c>
      <c r="E39" s="1009">
        <v>52008.0</v>
      </c>
      <c r="F39" s="933">
        <f>E39+L39</f>
        <v>70829.72291</v>
      </c>
      <c r="G39" s="1010">
        <v>67.56</v>
      </c>
      <c r="H39" s="935">
        <f>IFERROR(__xludf.DUMMYFUNCTION("GOOGLEFINANCE(C39,""changepct"")"),-2.23)</f>
        <v>-2.23</v>
      </c>
      <c r="I39" s="936">
        <f>IFERROR(__xludf.DUMMYFUNCTION("googlefinance(C39,""price"")"),92.01)</f>
        <v>92.01</v>
      </c>
      <c r="J39" s="936">
        <f t="shared" ref="J39:J44" si="36">(I39-G39)</f>
        <v>24.45</v>
      </c>
      <c r="K39" s="937">
        <f t="shared" ref="K39:K44" si="37">(I39/G39-1)</f>
        <v>0.3619005329</v>
      </c>
      <c r="L39" s="933">
        <f t="shared" ref="L39:L44" si="38">(E39*K39)</f>
        <v>18821.72291</v>
      </c>
      <c r="M39" s="1011">
        <v>0.0361</v>
      </c>
      <c r="N39" s="788">
        <v>450.0</v>
      </c>
      <c r="O39" s="736"/>
      <c r="P39" s="736" t="s">
        <v>832</v>
      </c>
      <c r="Q39" s="854" t="s">
        <v>204</v>
      </c>
      <c r="R39" s="946"/>
      <c r="S39" s="946">
        <v>43693.0</v>
      </c>
      <c r="T39" s="1006">
        <v>71.43</v>
      </c>
      <c r="U39" s="1007" t="str">
        <f t="shared" si="32"/>
        <v>Loading...</v>
      </c>
      <c r="V39" s="788">
        <v>12000.0</v>
      </c>
      <c r="W39" s="944" t="str">
        <f t="shared" si="33"/>
        <v>Loading...</v>
      </c>
      <c r="X39" s="945" t="str">
        <f t="shared" si="34"/>
        <v>Loading...</v>
      </c>
      <c r="Y39" s="997" t="str">
        <f t="shared" si="35"/>
        <v>Loading...</v>
      </c>
      <c r="Z39" s="909"/>
      <c r="AA39" s="909"/>
      <c r="AB39" s="909"/>
      <c r="AC39" s="909"/>
      <c r="AD39" s="909"/>
      <c r="AE39" s="909"/>
      <c r="AF39" s="909"/>
      <c r="AG39" s="909"/>
      <c r="AH39" s="909"/>
      <c r="AI39" s="909"/>
    </row>
    <row r="40">
      <c r="A40" s="1012">
        <f>(F45)/G68</f>
        <v>0.09208512392</v>
      </c>
      <c r="B40" s="519" t="s">
        <v>1052</v>
      </c>
      <c r="C40" s="797" t="s">
        <v>317</v>
      </c>
      <c r="D40" s="787">
        <v>7.4</v>
      </c>
      <c r="E40" s="1013">
        <v>52444.0</v>
      </c>
      <c r="F40" s="933">
        <f>E40+L40-S69</f>
        <v>50855.34157</v>
      </c>
      <c r="G40" s="1010">
        <v>45.35</v>
      </c>
      <c r="H40" s="935">
        <f>IFERROR(__xludf.DUMMYFUNCTION("GOOGLEFINANCE(C40,""changepct"")"),-2.81)</f>
        <v>-2.81</v>
      </c>
      <c r="I40" s="936">
        <f>IFERROR(__xludf.DUMMYFUNCTION("googlefinance(C40,""price"")"),56.06)</f>
        <v>56.06</v>
      </c>
      <c r="J40" s="936">
        <f t="shared" si="36"/>
        <v>10.71</v>
      </c>
      <c r="K40" s="937">
        <f t="shared" si="37"/>
        <v>0.2361631753</v>
      </c>
      <c r="L40" s="933">
        <f t="shared" si="38"/>
        <v>12385.34157</v>
      </c>
      <c r="M40" s="1011">
        <v>0.0323</v>
      </c>
      <c r="N40" s="788">
        <v>450.0</v>
      </c>
      <c r="O40" s="736"/>
      <c r="P40" s="736" t="s">
        <v>933</v>
      </c>
      <c r="Q40" s="854" t="s">
        <v>934</v>
      </c>
      <c r="R40" s="946"/>
      <c r="S40" s="946">
        <v>43693.0</v>
      </c>
      <c r="T40" s="1006">
        <v>13.22</v>
      </c>
      <c r="U40" s="1007" t="str">
        <f t="shared" si="32"/>
        <v>Loading...</v>
      </c>
      <c r="V40" s="788">
        <v>7000.0</v>
      </c>
      <c r="W40" s="944" t="str">
        <f t="shared" si="33"/>
        <v>Loading...</v>
      </c>
      <c r="X40" s="945" t="str">
        <f t="shared" si="34"/>
        <v>Loading...</v>
      </c>
      <c r="Y40" s="997" t="str">
        <f t="shared" si="35"/>
        <v>Loading...</v>
      </c>
      <c r="Z40" s="909"/>
      <c r="AA40" s="909"/>
      <c r="AB40" s="909"/>
      <c r="AC40" s="909"/>
      <c r="AD40" s="909"/>
      <c r="AE40" s="909"/>
      <c r="AF40" s="909"/>
      <c r="AG40" s="909"/>
      <c r="AH40" s="909"/>
      <c r="AI40" s="909"/>
    </row>
    <row r="41">
      <c r="A41" s="502" t="s">
        <v>1046</v>
      </c>
      <c r="B41" s="1014" t="s">
        <v>111</v>
      </c>
      <c r="C41" s="797" t="s">
        <v>112</v>
      </c>
      <c r="D41" s="1015">
        <v>7.1</v>
      </c>
      <c r="E41" s="1009">
        <v>39877.0</v>
      </c>
      <c r="F41" s="933">
        <f t="shared" ref="F41:F42" si="39">E41+L41-S67</f>
        <v>77154.66392</v>
      </c>
      <c r="G41" s="1010">
        <v>72.72</v>
      </c>
      <c r="H41" s="935">
        <f>IFERROR(__xludf.DUMMYFUNCTION("GOOGLEFINANCE(C41,""changepct"")"),-1.02)</f>
        <v>-1.02</v>
      </c>
      <c r="I41" s="936">
        <f>IFERROR(__xludf.DUMMYFUNCTION("googlefinance(C41,""price"")"),176.2)</f>
        <v>176.2</v>
      </c>
      <c r="J41" s="936">
        <f t="shared" si="36"/>
        <v>103.48</v>
      </c>
      <c r="K41" s="937">
        <f t="shared" si="37"/>
        <v>1.422992299</v>
      </c>
      <c r="L41" s="933">
        <f t="shared" si="38"/>
        <v>56744.66392</v>
      </c>
      <c r="M41" s="1011">
        <v>0.0565</v>
      </c>
      <c r="N41" s="788">
        <v>424.0</v>
      </c>
      <c r="O41" s="736"/>
      <c r="P41" s="736" t="s">
        <v>1047</v>
      </c>
      <c r="Q41" s="854" t="s">
        <v>207</v>
      </c>
      <c r="R41" s="946"/>
      <c r="S41" s="946">
        <v>43693.0</v>
      </c>
      <c r="T41" s="1006">
        <v>308.07</v>
      </c>
      <c r="U41" s="1007" t="str">
        <f t="shared" si="32"/>
        <v>Loading...</v>
      </c>
      <c r="V41" s="788">
        <v>10000.0</v>
      </c>
      <c r="W41" s="944" t="str">
        <f t="shared" si="33"/>
        <v>Loading...</v>
      </c>
      <c r="X41" s="945" t="str">
        <f t="shared" si="34"/>
        <v>Loading...</v>
      </c>
      <c r="Y41" s="997" t="str">
        <f t="shared" si="35"/>
        <v>Loading...</v>
      </c>
      <c r="Z41" s="909"/>
      <c r="AA41" s="909"/>
      <c r="AB41" s="909"/>
      <c r="AC41" s="909"/>
      <c r="AD41" s="909"/>
      <c r="AE41" s="909"/>
      <c r="AF41" s="909"/>
      <c r="AG41" s="909"/>
      <c r="AH41" s="909"/>
      <c r="AI41" s="909"/>
    </row>
    <row r="42">
      <c r="A42" s="1016">
        <f>F45</f>
        <v>303449.9506</v>
      </c>
      <c r="B42" s="519" t="s">
        <v>1053</v>
      </c>
      <c r="C42" s="797" t="s">
        <v>855</v>
      </c>
      <c r="D42" s="787">
        <v>7.4</v>
      </c>
      <c r="E42" s="1009">
        <v>44678.0</v>
      </c>
      <c r="F42" s="933">
        <f t="shared" si="39"/>
        <v>5643.960576</v>
      </c>
      <c r="G42" s="1010">
        <v>233.87</v>
      </c>
      <c r="H42" s="935">
        <f>IFERROR(__xludf.DUMMYFUNCTION("GOOGLEFINANCE(C42,""changepct"")"),-0.74)</f>
        <v>-0.74</v>
      </c>
      <c r="I42" s="936">
        <f>IFERROR(__xludf.DUMMYFUNCTION("googlefinance(C42,""price"")"),150.19)</f>
        <v>150.19</v>
      </c>
      <c r="J42" s="936">
        <f t="shared" si="36"/>
        <v>-83.68</v>
      </c>
      <c r="K42" s="937">
        <f t="shared" si="37"/>
        <v>-0.3578056185</v>
      </c>
      <c r="L42" s="933">
        <f t="shared" si="38"/>
        <v>-15986.03942</v>
      </c>
      <c r="M42" s="1008" t="s">
        <v>128</v>
      </c>
      <c r="N42" s="788"/>
      <c r="O42" s="736"/>
      <c r="P42" s="736" t="s">
        <v>413</v>
      </c>
      <c r="Q42" s="854" t="s">
        <v>185</v>
      </c>
      <c r="R42" s="946"/>
      <c r="S42" s="946">
        <v>43693.0</v>
      </c>
      <c r="T42" s="1006">
        <v>9890.0</v>
      </c>
      <c r="U42" s="1007" t="str">
        <f t="shared" si="32"/>
        <v>Loading...</v>
      </c>
      <c r="V42" s="788">
        <v>45000.0</v>
      </c>
      <c r="W42" s="944" t="str">
        <f t="shared" si="33"/>
        <v>Loading...</v>
      </c>
      <c r="X42" s="945" t="str">
        <f t="shared" si="34"/>
        <v>Loading...</v>
      </c>
      <c r="Y42" s="997" t="str">
        <f t="shared" si="35"/>
        <v>Loading...</v>
      </c>
      <c r="Z42" s="909"/>
      <c r="AA42" s="909"/>
      <c r="AB42" s="909"/>
      <c r="AC42" s="909"/>
      <c r="AD42" s="909"/>
      <c r="AE42" s="909"/>
      <c r="AF42" s="909"/>
      <c r="AG42" s="909"/>
      <c r="AH42" s="909"/>
      <c r="AI42" s="909"/>
    </row>
    <row r="43">
      <c r="A43" s="502"/>
      <c r="B43" s="571" t="s">
        <v>810</v>
      </c>
      <c r="C43" s="728" t="s">
        <v>811</v>
      </c>
      <c r="D43" s="1008">
        <v>7.1</v>
      </c>
      <c r="E43" s="1009">
        <v>52560.0</v>
      </c>
      <c r="F43" s="933">
        <f>E43+L43+W11</f>
        <v>73391.66999</v>
      </c>
      <c r="G43" s="1010">
        <v>33.09</v>
      </c>
      <c r="H43" s="935">
        <f>IFERROR(__xludf.DUMMYFUNCTION("GOOGLEFINANCE(C43,""changepct"")"),-0.73)</f>
        <v>-0.73</v>
      </c>
      <c r="I43" s="936">
        <f>IFERROR(__xludf.DUMMYFUNCTION("googlefinance(C43,""price"")"),36.91)</f>
        <v>36.91</v>
      </c>
      <c r="J43" s="936">
        <f t="shared" si="36"/>
        <v>3.82</v>
      </c>
      <c r="K43" s="937">
        <f t="shared" si="37"/>
        <v>0.1154427319</v>
      </c>
      <c r="L43" s="933">
        <f t="shared" si="38"/>
        <v>6067.669991</v>
      </c>
      <c r="M43" s="1011" t="s">
        <v>128</v>
      </c>
      <c r="N43" s="788"/>
      <c r="O43" s="989"/>
      <c r="P43" s="736" t="s">
        <v>832</v>
      </c>
      <c r="Q43" s="854" t="s">
        <v>204</v>
      </c>
      <c r="R43" s="800"/>
      <c r="S43" s="946">
        <v>43718.0</v>
      </c>
      <c r="T43" s="1006">
        <v>53.32</v>
      </c>
      <c r="U43" s="1007" t="str">
        <f t="shared" si="32"/>
        <v>Loading...</v>
      </c>
      <c r="V43" s="788">
        <v>53320.0</v>
      </c>
      <c r="W43" s="944" t="str">
        <f t="shared" si="33"/>
        <v>Loading...</v>
      </c>
      <c r="X43" s="945" t="str">
        <f t="shared" si="34"/>
        <v>Loading...</v>
      </c>
      <c r="Y43" s="997" t="str">
        <f t="shared" si="35"/>
        <v>Loading...</v>
      </c>
      <c r="Z43" s="909"/>
      <c r="AA43" s="909"/>
      <c r="AB43" s="909"/>
      <c r="AC43" s="909"/>
      <c r="AD43" s="909"/>
      <c r="AE43" s="909"/>
      <c r="AF43" s="909"/>
      <c r="AG43" s="909"/>
      <c r="AH43" s="909"/>
      <c r="AI43" s="909"/>
    </row>
    <row r="44">
      <c r="A44" s="877"/>
      <c r="B44" s="571" t="s">
        <v>590</v>
      </c>
      <c r="C44" s="728" t="s">
        <v>104</v>
      </c>
      <c r="D44" s="1008">
        <v>7.2</v>
      </c>
      <c r="E44" s="1009">
        <v>37996.0</v>
      </c>
      <c r="F44" s="933">
        <f>E44+L44-S66</f>
        <v>25574.5916</v>
      </c>
      <c r="G44" s="1010">
        <v>184.28</v>
      </c>
      <c r="H44" s="935">
        <f>IFERROR(__xludf.DUMMYFUNCTION("GOOGLEFINANCE(C44,""changepct"")"),-1.28)</f>
        <v>-1.28</v>
      </c>
      <c r="I44" s="936">
        <f>IFERROR(__xludf.DUMMYFUNCTION("googlefinance(C44,""price"")"),259.3)</f>
        <v>259.3</v>
      </c>
      <c r="J44" s="936">
        <f t="shared" si="36"/>
        <v>75.02</v>
      </c>
      <c r="K44" s="937">
        <f t="shared" si="37"/>
        <v>0.4070978945</v>
      </c>
      <c r="L44" s="933">
        <f t="shared" si="38"/>
        <v>15468.0916</v>
      </c>
      <c r="M44" s="1011">
        <v>0.0305</v>
      </c>
      <c r="N44" s="788">
        <v>263.0</v>
      </c>
      <c r="O44" s="989"/>
      <c r="P44" s="736" t="s">
        <v>417</v>
      </c>
      <c r="Q44" s="854" t="s">
        <v>418</v>
      </c>
      <c r="R44" s="800"/>
      <c r="S44" s="946">
        <v>43718.0</v>
      </c>
      <c r="T44" s="1006">
        <v>33.43</v>
      </c>
      <c r="U44" s="1007" t="str">
        <f t="shared" si="32"/>
        <v>Loading...</v>
      </c>
      <c r="V44" s="788">
        <v>33340.0</v>
      </c>
      <c r="W44" s="944" t="str">
        <f t="shared" si="33"/>
        <v>Loading...</v>
      </c>
      <c r="X44" s="945" t="str">
        <f t="shared" si="34"/>
        <v>Loading...</v>
      </c>
      <c r="Y44" s="997" t="str">
        <f t="shared" si="35"/>
        <v>Loading...</v>
      </c>
      <c r="Z44" s="909"/>
      <c r="AA44" s="909"/>
      <c r="AB44" s="909"/>
      <c r="AC44" s="909"/>
      <c r="AD44" s="909"/>
      <c r="AE44" s="909"/>
      <c r="AF44" s="909"/>
      <c r="AG44" s="909"/>
      <c r="AH44" s="909"/>
      <c r="AI44" s="909"/>
    </row>
    <row r="45">
      <c r="A45" s="961" t="s">
        <v>89</v>
      </c>
      <c r="B45" s="967"/>
      <c r="C45" s="968"/>
      <c r="D45" s="968"/>
      <c r="E45" s="1017">
        <f t="shared" ref="E45:F45" si="40">SUM(E39:E44)</f>
        <v>279563</v>
      </c>
      <c r="F45" s="1017">
        <f t="shared" si="40"/>
        <v>303449.9506</v>
      </c>
      <c r="G45" s="1018"/>
      <c r="H45" s="1018"/>
      <c r="I45" s="968"/>
      <c r="J45" s="968"/>
      <c r="K45" s="1019">
        <f>L45/E45</f>
        <v>0.3344557419</v>
      </c>
      <c r="L45" s="970">
        <f>SUM(L39:L44)</f>
        <v>93501.45056</v>
      </c>
      <c r="M45" s="968"/>
      <c r="N45" s="973">
        <f>SUM(N39:N44)</f>
        <v>1587</v>
      </c>
      <c r="O45" s="735"/>
      <c r="P45" s="735"/>
      <c r="Q45" s="735"/>
      <c r="R45" s="821"/>
      <c r="S45" s="821"/>
      <c r="T45" s="821"/>
      <c r="U45" s="812"/>
      <c r="V45" s="812">
        <f>SUM(V38:V44)</f>
        <v>174060</v>
      </c>
      <c r="W45" s="904" t="str">
        <f>SUM(W31:W44)</f>
        <v>Loading...</v>
      </c>
      <c r="X45" s="1020" t="str">
        <f>SUM(X38:X44)</f>
        <v>Loading...</v>
      </c>
      <c r="Y45" s="1021" t="str">
        <f>X44/V45</f>
        <v>Loading...</v>
      </c>
      <c r="Z45" s="909"/>
      <c r="AA45" s="909"/>
      <c r="AB45" s="909"/>
      <c r="AC45" s="909"/>
      <c r="AD45" s="909"/>
      <c r="AE45" s="909"/>
      <c r="AF45" s="909"/>
      <c r="AG45" s="909"/>
      <c r="AH45" s="909"/>
      <c r="AI45" s="909"/>
    </row>
    <row r="46">
      <c r="A46" s="923" t="s">
        <v>303</v>
      </c>
      <c r="B46" s="877" t="s">
        <v>3</v>
      </c>
      <c r="C46" s="924" t="s">
        <v>1038</v>
      </c>
      <c r="D46" s="925" t="s">
        <v>5</v>
      </c>
      <c r="E46" s="926" t="s">
        <v>1011</v>
      </c>
      <c r="F46" s="927" t="s">
        <v>1012</v>
      </c>
      <c r="G46" s="927" t="s">
        <v>1013</v>
      </c>
      <c r="H46" s="928" t="s">
        <v>10</v>
      </c>
      <c r="I46" s="924" t="s">
        <v>1014</v>
      </c>
      <c r="J46" s="924" t="s">
        <v>1015</v>
      </c>
      <c r="K46" s="925" t="s">
        <v>1016</v>
      </c>
      <c r="L46" s="925" t="s">
        <v>329</v>
      </c>
      <c r="M46" s="925" t="s">
        <v>1017</v>
      </c>
      <c r="N46" s="929" t="s">
        <v>1054</v>
      </c>
      <c r="O46" s="854"/>
      <c r="P46" s="854" t="s">
        <v>1055</v>
      </c>
      <c r="Q46" s="854" t="s">
        <v>953</v>
      </c>
      <c r="R46" s="854" t="s">
        <v>954</v>
      </c>
      <c r="S46" s="854" t="s">
        <v>1056</v>
      </c>
      <c r="T46" s="854" t="s">
        <v>953</v>
      </c>
      <c r="U46" s="854" t="s">
        <v>954</v>
      </c>
      <c r="V46" s="854" t="s">
        <v>1056</v>
      </c>
      <c r="W46" s="909"/>
      <c r="X46" s="909"/>
      <c r="Y46" s="909"/>
      <c r="Z46" s="909"/>
      <c r="AA46" s="909"/>
      <c r="AB46" s="909"/>
      <c r="AC46" s="909"/>
      <c r="AD46" s="909"/>
      <c r="AE46" s="909"/>
      <c r="AF46" s="909"/>
      <c r="AG46" s="909"/>
      <c r="AH46" s="909"/>
      <c r="AI46" s="909"/>
    </row>
    <row r="47">
      <c r="A47" s="502" t="s">
        <v>729</v>
      </c>
      <c r="B47" s="631" t="s">
        <v>493</v>
      </c>
      <c r="C47" s="820" t="s">
        <v>494</v>
      </c>
      <c r="D47" s="931">
        <v>7.5</v>
      </c>
      <c r="E47" s="932">
        <v>30604.0</v>
      </c>
      <c r="F47" s="933">
        <f>E47+L47+W9-S70</f>
        <v>17629.40911</v>
      </c>
      <c r="G47" s="975">
        <v>41.7</v>
      </c>
      <c r="H47" s="949">
        <f>IFERROR(__xludf.DUMMYFUNCTION("GOOGLEFINANCE(C47,""changepct"")"),0.45)</f>
        <v>0.45</v>
      </c>
      <c r="I47" s="936">
        <f>IFERROR(__xludf.DUMMYFUNCTION("googlefinance(C47,""price"")"),29.09)</f>
        <v>29.09</v>
      </c>
      <c r="J47" s="936">
        <f t="shared" ref="J47:J55" si="41">(I47-G47)</f>
        <v>-12.61</v>
      </c>
      <c r="K47" s="937">
        <f t="shared" ref="K47:K55" si="42">(I47/G47-1)</f>
        <v>-0.3023980815</v>
      </c>
      <c r="L47" s="933">
        <f t="shared" ref="L47:L55" si="43">(E47*K47)</f>
        <v>-9254.590887</v>
      </c>
      <c r="M47" s="991">
        <v>0.059</v>
      </c>
      <c r="N47" s="788">
        <v>450.0</v>
      </c>
      <c r="O47" s="736"/>
      <c r="P47" s="735" t="s">
        <v>492</v>
      </c>
      <c r="Q47" s="940">
        <v>43649.0</v>
      </c>
      <c r="R47" s="942">
        <v>76.0</v>
      </c>
      <c r="S47" s="1022">
        <v>39882.0</v>
      </c>
      <c r="T47" s="800"/>
      <c r="U47" s="807"/>
      <c r="V47" s="959"/>
      <c r="W47" s="909"/>
      <c r="X47" s="909"/>
      <c r="Y47" s="909"/>
      <c r="Z47" s="909"/>
      <c r="AA47" s="909"/>
      <c r="AB47" s="909"/>
      <c r="AC47" s="909"/>
      <c r="AD47" s="909"/>
      <c r="AE47" s="909"/>
      <c r="AF47" s="909"/>
      <c r="AG47" s="909"/>
      <c r="AH47" s="909"/>
      <c r="AI47" s="909"/>
    </row>
    <row r="48">
      <c r="A48" s="882" t="str">
        <f>F56/G68</f>
        <v>#N/A</v>
      </c>
      <c r="B48" s="631" t="s">
        <v>815</v>
      </c>
      <c r="C48" s="820" t="s">
        <v>816</v>
      </c>
      <c r="D48" s="931">
        <v>7.8</v>
      </c>
      <c r="E48" s="932">
        <v>36160.0</v>
      </c>
      <c r="F48" s="933" t="str">
        <f>E48+L48</f>
        <v>#N/A</v>
      </c>
      <c r="G48" s="975">
        <v>7.32</v>
      </c>
      <c r="H48" s="935" t="str">
        <f>IFERROR(__xludf.DUMMYFUNCTION("GOOGLEFINANCE(C48,""changepct"")"),"#N/A")</f>
        <v>#N/A</v>
      </c>
      <c r="I48" s="936" t="str">
        <f>IFERROR(__xludf.DUMMYFUNCTION("googlefinance(C48,""price"")"),"#N/A")</f>
        <v>#N/A</v>
      </c>
      <c r="J48" s="936" t="str">
        <f t="shared" si="41"/>
        <v>#N/A</v>
      </c>
      <c r="K48" s="937" t="str">
        <f t="shared" si="42"/>
        <v>#N/A</v>
      </c>
      <c r="L48" s="933" t="str">
        <f t="shared" si="43"/>
        <v>#N/A</v>
      </c>
      <c r="M48" s="938">
        <v>0.0536</v>
      </c>
      <c r="N48" s="788">
        <v>490.0</v>
      </c>
      <c r="O48" s="736"/>
      <c r="P48" s="735" t="s">
        <v>582</v>
      </c>
      <c r="Q48" s="946">
        <v>43686.0</v>
      </c>
      <c r="R48" s="790">
        <v>313.85</v>
      </c>
      <c r="S48" s="1022">
        <v>18831.0</v>
      </c>
      <c r="T48" s="800"/>
      <c r="U48" s="807"/>
      <c r="V48" s="959"/>
      <c r="W48" s="909"/>
      <c r="X48" s="909"/>
      <c r="Y48" s="909"/>
      <c r="Z48" s="909"/>
      <c r="AA48" s="909"/>
      <c r="AB48" s="909"/>
      <c r="AC48" s="909"/>
      <c r="AD48" s="909"/>
      <c r="AE48" s="909"/>
      <c r="AF48" s="909"/>
      <c r="AG48" s="909"/>
      <c r="AH48" s="909"/>
      <c r="AI48" s="909"/>
    </row>
    <row r="49">
      <c r="A49" s="201" t="s">
        <v>1046</v>
      </c>
      <c r="B49" s="567" t="s">
        <v>94</v>
      </c>
      <c r="C49" s="965" t="s">
        <v>95</v>
      </c>
      <c r="D49" s="931">
        <v>7.5</v>
      </c>
      <c r="E49" s="932">
        <v>35778.0</v>
      </c>
      <c r="F49" s="933">
        <f>E49+L49+W6-S72</f>
        <v>36090.41721</v>
      </c>
      <c r="G49" s="975">
        <v>39.74</v>
      </c>
      <c r="H49" s="935">
        <f>IFERROR(__xludf.DUMMYFUNCTION("GOOGLEFINANCE(C49,""changepct"")"),0.03)</f>
        <v>0.03</v>
      </c>
      <c r="I49" s="936">
        <f>IFERROR(__xludf.DUMMYFUNCTION("googlefinance(C49,""price"")"),37.81)</f>
        <v>37.81</v>
      </c>
      <c r="J49" s="936">
        <f t="shared" si="41"/>
        <v>-1.93</v>
      </c>
      <c r="K49" s="937">
        <f t="shared" si="42"/>
        <v>-0.0485656769</v>
      </c>
      <c r="L49" s="933">
        <f t="shared" si="43"/>
        <v>-1737.582788</v>
      </c>
      <c r="M49" s="991">
        <v>0.0546</v>
      </c>
      <c r="N49" s="788">
        <v>429.0</v>
      </c>
      <c r="O49" s="736"/>
      <c r="P49" s="735" t="s">
        <v>902</v>
      </c>
      <c r="Q49" s="940">
        <v>43686.0</v>
      </c>
      <c r="R49" s="942">
        <v>201.4</v>
      </c>
      <c r="S49" s="1022">
        <v>20140.0</v>
      </c>
      <c r="T49" s="800"/>
      <c r="U49" s="807"/>
      <c r="V49" s="959"/>
      <c r="W49" s="909"/>
      <c r="X49" s="909"/>
      <c r="Y49" s="909"/>
      <c r="Z49" s="909"/>
      <c r="AA49" s="909"/>
      <c r="AB49" s="909"/>
      <c r="AC49" s="909"/>
      <c r="AD49" s="909"/>
      <c r="AE49" s="909"/>
      <c r="AF49" s="909"/>
      <c r="AG49" s="909"/>
      <c r="AH49" s="909"/>
      <c r="AI49" s="909"/>
    </row>
    <row r="50">
      <c r="A50" s="648" t="str">
        <f>F56</f>
        <v>#N/A</v>
      </c>
      <c r="B50" s="567" t="s">
        <v>905</v>
      </c>
      <c r="C50" s="965" t="s">
        <v>567</v>
      </c>
      <c r="D50" s="931">
        <v>7.1</v>
      </c>
      <c r="E50" s="932">
        <v>38137.5</v>
      </c>
      <c r="F50" s="933">
        <f>E50+L50</f>
        <v>53274.89341</v>
      </c>
      <c r="G50" s="975">
        <v>85.61</v>
      </c>
      <c r="H50" s="935">
        <f>IFERROR(__xludf.DUMMYFUNCTION("GOOGLEFINANCE(C50,""changepct"")"),0.01)</f>
        <v>0.01</v>
      </c>
      <c r="I50" s="936">
        <f>IFERROR(__xludf.DUMMYFUNCTION("googlefinance(C50,""price"")"),119.59)</f>
        <v>119.59</v>
      </c>
      <c r="J50" s="936">
        <f t="shared" si="41"/>
        <v>33.98</v>
      </c>
      <c r="K50" s="937">
        <f t="shared" si="42"/>
        <v>0.3969162481</v>
      </c>
      <c r="L50" s="933">
        <f t="shared" si="43"/>
        <v>15137.39341</v>
      </c>
      <c r="M50" s="991">
        <v>0.0429</v>
      </c>
      <c r="N50" s="788">
        <v>437.0</v>
      </c>
      <c r="O50" s="736"/>
      <c r="P50" s="735" t="s">
        <v>31</v>
      </c>
      <c r="Q50" s="946">
        <v>43686.0</v>
      </c>
      <c r="R50" s="790">
        <v>1193.5</v>
      </c>
      <c r="S50" s="1022">
        <v>11935.0</v>
      </c>
      <c r="T50" s="946">
        <v>43712.0</v>
      </c>
      <c r="U50" s="790">
        <v>1176.04</v>
      </c>
      <c r="V50" s="1022">
        <v>11760.4</v>
      </c>
      <c r="W50" s="909"/>
      <c r="X50" s="909"/>
      <c r="Y50" s="909"/>
      <c r="Z50" s="909"/>
      <c r="AA50" s="909"/>
      <c r="AB50" s="909"/>
      <c r="AC50" s="909"/>
      <c r="AD50" s="909"/>
      <c r="AE50" s="909"/>
      <c r="AF50" s="909"/>
      <c r="AG50" s="909"/>
      <c r="AH50" s="909"/>
      <c r="AI50" s="909"/>
    </row>
    <row r="51">
      <c r="A51" s="620"/>
      <c r="B51" s="1023" t="s">
        <v>1057</v>
      </c>
      <c r="C51" s="965" t="s">
        <v>309</v>
      </c>
      <c r="D51" s="931">
        <v>6.8</v>
      </c>
      <c r="E51" s="932">
        <v>31968.0</v>
      </c>
      <c r="F51" s="933">
        <f>E51+L51-S71</f>
        <v>1556.202429</v>
      </c>
      <c r="G51" s="975">
        <v>22.23</v>
      </c>
      <c r="H51" s="935">
        <f>IFERROR(__xludf.DUMMYFUNCTION("GOOGLEFINANCE(C51,""changepct"")"),0.28)</f>
        <v>0.28</v>
      </c>
      <c r="I51" s="936">
        <f>IFERROR(__xludf.DUMMYFUNCTION("googlefinance(C51,""price"")"),14.51)</f>
        <v>14.51</v>
      </c>
      <c r="J51" s="936">
        <f t="shared" si="41"/>
        <v>-7.72</v>
      </c>
      <c r="K51" s="937">
        <f t="shared" si="42"/>
        <v>-0.3472784525</v>
      </c>
      <c r="L51" s="933">
        <f t="shared" si="43"/>
        <v>-11101.79757</v>
      </c>
      <c r="M51" s="991">
        <v>0.0076</v>
      </c>
      <c r="N51" s="788">
        <v>48.0</v>
      </c>
      <c r="O51" s="736"/>
      <c r="P51" s="735" t="s">
        <v>674</v>
      </c>
      <c r="Q51" s="946">
        <v>43686.0</v>
      </c>
      <c r="R51" s="790">
        <v>189.05</v>
      </c>
      <c r="S51" s="1022">
        <v>18905.0</v>
      </c>
      <c r="T51" s="946">
        <v>43693.0</v>
      </c>
      <c r="U51" s="790">
        <v>182.6</v>
      </c>
      <c r="V51" s="1022">
        <v>9130.0</v>
      </c>
      <c r="W51" s="909"/>
      <c r="X51" s="909"/>
      <c r="Y51" s="909"/>
      <c r="Z51" s="909"/>
      <c r="AA51" s="909"/>
      <c r="AB51" s="909"/>
      <c r="AC51" s="909"/>
      <c r="AD51" s="909"/>
      <c r="AE51" s="909"/>
      <c r="AF51" s="909"/>
      <c r="AG51" s="909"/>
      <c r="AH51" s="909"/>
      <c r="AI51" s="909"/>
    </row>
    <row r="52">
      <c r="A52" s="565"/>
      <c r="B52" s="685" t="s">
        <v>762</v>
      </c>
      <c r="C52" s="965" t="s">
        <v>763</v>
      </c>
      <c r="D52" s="931">
        <v>7.1</v>
      </c>
      <c r="E52" s="932">
        <v>45687.0</v>
      </c>
      <c r="F52" s="933">
        <f>E52+L52+W7-S76</f>
        <v>51453.41425</v>
      </c>
      <c r="G52" s="975">
        <v>22.74</v>
      </c>
      <c r="H52" s="935">
        <f>IFERROR(__xludf.DUMMYFUNCTION("GOOGLEFINANCE(C52,""changepct"")"),0.63)</f>
        <v>0.63</v>
      </c>
      <c r="I52" s="936">
        <f>IFERROR(__xludf.DUMMYFUNCTION("googlefinance(C52,""price"")"),26.96)</f>
        <v>26.96</v>
      </c>
      <c r="J52" s="936">
        <f t="shared" si="41"/>
        <v>4.22</v>
      </c>
      <c r="K52" s="937">
        <f t="shared" si="42"/>
        <v>0.1855760774</v>
      </c>
      <c r="L52" s="933">
        <f t="shared" si="43"/>
        <v>8478.414248</v>
      </c>
      <c r="M52" s="991">
        <v>0.0317</v>
      </c>
      <c r="N52" s="788">
        <v>300.0</v>
      </c>
      <c r="O52" s="736"/>
      <c r="P52" s="735" t="s">
        <v>338</v>
      </c>
      <c r="Q52" s="946">
        <v>43686.0</v>
      </c>
      <c r="R52" s="790">
        <v>46.89</v>
      </c>
      <c r="S52" s="1022">
        <v>16411.5</v>
      </c>
      <c r="T52" s="800"/>
      <c r="U52" s="807"/>
      <c r="V52" s="959"/>
      <c r="W52" s="909"/>
      <c r="X52" s="909"/>
      <c r="Y52" s="909"/>
      <c r="Z52" s="909"/>
      <c r="AA52" s="909"/>
      <c r="AB52" s="909"/>
      <c r="AC52" s="909"/>
      <c r="AD52" s="909"/>
      <c r="AE52" s="909"/>
      <c r="AF52" s="909"/>
      <c r="AG52" s="909"/>
      <c r="AH52" s="909"/>
      <c r="AI52" s="909"/>
    </row>
    <row r="53">
      <c r="A53" s="620"/>
      <c r="B53" s="1024" t="s">
        <v>983</v>
      </c>
      <c r="C53" s="965" t="s">
        <v>984</v>
      </c>
      <c r="D53" s="931">
        <v>7.1</v>
      </c>
      <c r="E53" s="932">
        <v>33288.0</v>
      </c>
      <c r="F53" s="933">
        <f>E53+L53</f>
        <v>30823.08619</v>
      </c>
      <c r="G53" s="975">
        <v>42.81</v>
      </c>
      <c r="H53" s="935">
        <f>IFERROR(__xludf.DUMMYFUNCTION("GOOGLEFINANCE(C53,""changepct"")"),-0.08)</f>
        <v>-0.08</v>
      </c>
      <c r="I53" s="936">
        <f>IFERROR(__xludf.DUMMYFUNCTION("googlefinance(C53,""price"")"),39.64)</f>
        <v>39.64</v>
      </c>
      <c r="J53" s="936">
        <f t="shared" si="41"/>
        <v>-3.17</v>
      </c>
      <c r="K53" s="937">
        <f t="shared" si="42"/>
        <v>-0.0740481196</v>
      </c>
      <c r="L53" s="933">
        <f t="shared" si="43"/>
        <v>-2464.913805</v>
      </c>
      <c r="M53" s="991">
        <v>0.0367</v>
      </c>
      <c r="N53" s="788">
        <v>360.0</v>
      </c>
      <c r="O53" s="736"/>
      <c r="P53" s="735" t="s">
        <v>1049</v>
      </c>
      <c r="Q53" s="946">
        <v>43686.0</v>
      </c>
      <c r="R53" s="790">
        <v>27.1</v>
      </c>
      <c r="S53" s="1022">
        <v>13550.0</v>
      </c>
      <c r="T53" s="946">
        <v>43693.0</v>
      </c>
      <c r="U53" s="790">
        <v>26.33</v>
      </c>
      <c r="V53" s="1022">
        <v>18389.0</v>
      </c>
      <c r="W53" s="909"/>
      <c r="X53" s="909"/>
      <c r="Y53" s="909"/>
      <c r="Z53" s="909"/>
      <c r="AA53" s="909"/>
      <c r="AB53" s="909"/>
      <c r="AC53" s="909"/>
      <c r="AD53" s="909"/>
      <c r="AE53" s="909"/>
      <c r="AF53" s="909"/>
      <c r="AG53" s="909"/>
      <c r="AH53" s="909"/>
      <c r="AI53" s="909"/>
    </row>
    <row r="54">
      <c r="A54" s="565"/>
      <c r="B54" s="1024" t="s">
        <v>906</v>
      </c>
      <c r="C54" s="965" t="s">
        <v>496</v>
      </c>
      <c r="D54" s="931">
        <v>7.2</v>
      </c>
      <c r="E54" s="932">
        <v>33100.0</v>
      </c>
      <c r="F54" s="933">
        <f>E54+L54+W8-S73</f>
        <v>22878.36953</v>
      </c>
      <c r="G54" s="975">
        <v>50.28</v>
      </c>
      <c r="H54" s="935">
        <f>IFERROR(__xludf.DUMMYFUNCTION("GOOGLEFINANCE(C54,""changepct"")"),-0.21)</f>
        <v>-0.21</v>
      </c>
      <c r="I54" s="936">
        <f>IFERROR(__xludf.DUMMYFUNCTION("googlefinance(C54,""price"")"),48.46)</f>
        <v>48.46</v>
      </c>
      <c r="J54" s="936">
        <f t="shared" si="41"/>
        <v>-1.82</v>
      </c>
      <c r="K54" s="937">
        <f t="shared" si="42"/>
        <v>-0.03619729515</v>
      </c>
      <c r="L54" s="933">
        <f t="shared" si="43"/>
        <v>-1198.130469</v>
      </c>
      <c r="M54" s="991">
        <v>0.0469</v>
      </c>
      <c r="N54" s="788">
        <v>300.0</v>
      </c>
      <c r="O54" s="736"/>
      <c r="P54" s="735" t="s">
        <v>540</v>
      </c>
      <c r="Q54" s="946">
        <v>43686.0</v>
      </c>
      <c r="R54" s="790">
        <v>205.5</v>
      </c>
      <c r="S54" s="1022">
        <v>16440.0</v>
      </c>
      <c r="T54" s="800"/>
      <c r="U54" s="807"/>
      <c r="V54" s="959"/>
      <c r="W54" s="909"/>
      <c r="X54" s="909"/>
      <c r="Y54" s="909"/>
      <c r="Z54" s="909"/>
      <c r="AA54" s="909"/>
      <c r="AB54" s="909"/>
      <c r="AC54" s="909"/>
      <c r="AD54" s="909"/>
      <c r="AE54" s="909"/>
      <c r="AF54" s="909"/>
      <c r="AG54" s="909"/>
      <c r="AH54" s="909"/>
      <c r="AI54" s="909"/>
    </row>
    <row r="55">
      <c r="A55" s="620"/>
      <c r="B55" s="631" t="s">
        <v>1033</v>
      </c>
      <c r="C55" s="820" t="s">
        <v>1034</v>
      </c>
      <c r="D55" s="931">
        <v>7.2</v>
      </c>
      <c r="E55" s="932">
        <v>25440.0</v>
      </c>
      <c r="F55" s="933">
        <f>E55+L55+W16</f>
        <v>793743.2794</v>
      </c>
      <c r="G55" s="975">
        <v>14.82</v>
      </c>
      <c r="H55" s="949">
        <f>IFERROR(__xludf.DUMMYFUNCTION("GOOGLEFINANCE(C55,""changepct"")"),0.99)</f>
        <v>0.99</v>
      </c>
      <c r="I55" s="936">
        <f>IFERROR(__xludf.DUMMYFUNCTION("googlefinance(C55,""price"")"),267.56)</f>
        <v>267.56</v>
      </c>
      <c r="J55" s="936">
        <f t="shared" si="41"/>
        <v>252.74</v>
      </c>
      <c r="K55" s="937">
        <f t="shared" si="42"/>
        <v>17.05398111</v>
      </c>
      <c r="L55" s="933">
        <f t="shared" si="43"/>
        <v>433853.2794</v>
      </c>
      <c r="M55" s="938">
        <v>0.0375</v>
      </c>
      <c r="N55" s="788">
        <v>265.0</v>
      </c>
      <c r="O55" s="736"/>
      <c r="P55" s="735" t="s">
        <v>457</v>
      </c>
      <c r="Q55" s="946">
        <v>43686.0</v>
      </c>
      <c r="R55" s="790">
        <v>16.41</v>
      </c>
      <c r="S55" s="1022">
        <v>16410.0</v>
      </c>
      <c r="T55" s="800"/>
      <c r="U55" s="807"/>
      <c r="V55" s="959"/>
      <c r="W55" s="909"/>
      <c r="X55" s="909"/>
      <c r="Y55" s="909"/>
      <c r="Z55" s="909"/>
      <c r="AA55" s="909"/>
      <c r="AB55" s="909"/>
      <c r="AC55" s="909"/>
      <c r="AD55" s="909"/>
      <c r="AE55" s="909"/>
      <c r="AF55" s="909"/>
      <c r="AG55" s="909"/>
      <c r="AH55" s="909"/>
      <c r="AI55" s="909"/>
    </row>
    <row r="56">
      <c r="A56" s="967" t="s">
        <v>113</v>
      </c>
      <c r="B56" s="224"/>
      <c r="C56" s="82"/>
      <c r="D56" s="969"/>
      <c r="E56" s="970">
        <f t="shared" ref="E56:F56" si="44">SUM(E47:E55)</f>
        <v>310162.5</v>
      </c>
      <c r="F56" s="970" t="str">
        <f t="shared" si="44"/>
        <v>#N/A</v>
      </c>
      <c r="G56" s="985"/>
      <c r="H56" s="971"/>
      <c r="I56" s="985"/>
      <c r="J56" s="969"/>
      <c r="K56" s="1025" t="str">
        <f>L56/E56</f>
        <v>#N/A</v>
      </c>
      <c r="L56" s="970" t="str">
        <f>SUM(L47:L55)</f>
        <v>#N/A</v>
      </c>
      <c r="M56" s="970"/>
      <c r="N56" s="973">
        <f>SUM(N47:N55)</f>
        <v>3079</v>
      </c>
      <c r="O56" s="973"/>
      <c r="P56" s="735" t="s">
        <v>616</v>
      </c>
      <c r="Q56" s="946">
        <v>43686.0</v>
      </c>
      <c r="R56" s="790">
        <v>109.52</v>
      </c>
      <c r="S56" s="1022">
        <v>10952.0</v>
      </c>
      <c r="T56" s="946">
        <v>43693.0</v>
      </c>
      <c r="U56" s="790">
        <v>106.63</v>
      </c>
      <c r="V56" s="1022">
        <v>5300.0</v>
      </c>
      <c r="W56" s="909"/>
      <c r="X56" s="909"/>
      <c r="Y56" s="909"/>
      <c r="Z56" s="909"/>
      <c r="AA56" s="909"/>
      <c r="AB56" s="909"/>
      <c r="AC56" s="909"/>
      <c r="AD56" s="909"/>
      <c r="AE56" s="909"/>
      <c r="AF56" s="909"/>
      <c r="AG56" s="909"/>
      <c r="AH56" s="909"/>
      <c r="AI56" s="909"/>
    </row>
    <row r="57">
      <c r="A57" s="877" t="s">
        <v>1058</v>
      </c>
      <c r="B57" s="877" t="s">
        <v>3</v>
      </c>
      <c r="C57" s="924" t="s">
        <v>1038</v>
      </c>
      <c r="D57" s="925" t="s">
        <v>5</v>
      </c>
      <c r="E57" s="926" t="s">
        <v>1011</v>
      </c>
      <c r="F57" s="927" t="s">
        <v>1012</v>
      </c>
      <c r="G57" s="927" t="s">
        <v>1013</v>
      </c>
      <c r="H57" s="928" t="s">
        <v>10</v>
      </c>
      <c r="I57" s="928" t="s">
        <v>1014</v>
      </c>
      <c r="J57" s="924" t="s">
        <v>1015</v>
      </c>
      <c r="K57" s="925" t="s">
        <v>1016</v>
      </c>
      <c r="L57" s="925" t="s">
        <v>329</v>
      </c>
      <c r="M57" s="925" t="s">
        <v>1017</v>
      </c>
      <c r="N57" s="929" t="s">
        <v>17</v>
      </c>
      <c r="O57" s="736"/>
      <c r="P57" s="735" t="s">
        <v>484</v>
      </c>
      <c r="Q57" s="940">
        <v>43686.0</v>
      </c>
      <c r="R57" s="942">
        <v>34.33</v>
      </c>
      <c r="S57" s="1022">
        <v>10299.0</v>
      </c>
      <c r="T57" s="800"/>
      <c r="U57" s="807"/>
      <c r="V57" s="959"/>
      <c r="W57" s="909"/>
      <c r="X57" s="909"/>
      <c r="Y57" s="909"/>
      <c r="Z57" s="909"/>
      <c r="AA57" s="909"/>
      <c r="AB57" s="909"/>
      <c r="AC57" s="909"/>
      <c r="AD57" s="909"/>
      <c r="AE57" s="909"/>
      <c r="AF57" s="909"/>
      <c r="AG57" s="909"/>
      <c r="AH57" s="909"/>
      <c r="AI57" s="909"/>
    </row>
    <row r="58">
      <c r="A58" s="502" t="s">
        <v>729</v>
      </c>
      <c r="B58" s="567" t="s">
        <v>909</v>
      </c>
      <c r="C58" s="965" t="s">
        <v>116</v>
      </c>
      <c r="D58" s="1026">
        <v>7.2</v>
      </c>
      <c r="E58" s="932">
        <v>37805.0</v>
      </c>
      <c r="F58" s="933">
        <f>E58+L58-S60</f>
        <v>-18320</v>
      </c>
      <c r="G58" s="975">
        <v>181.82</v>
      </c>
      <c r="H58" s="935"/>
      <c r="I58" s="936"/>
      <c r="J58" s="936">
        <f t="shared" ref="J58:J61" si="45">(I58-G58)</f>
        <v>-181.82</v>
      </c>
      <c r="K58" s="937">
        <f t="shared" ref="K58:K61" si="46">(I58/G58-1)</f>
        <v>-1</v>
      </c>
      <c r="L58" s="933">
        <f t="shared" ref="L58:L61" si="47">(E58*K58)</f>
        <v>-37805</v>
      </c>
      <c r="M58" s="991">
        <v>0.0224</v>
      </c>
      <c r="N58" s="943">
        <v>120.0</v>
      </c>
      <c r="O58" s="736"/>
      <c r="P58" s="735" t="s">
        <v>609</v>
      </c>
      <c r="Q58" s="940">
        <v>43686.0</v>
      </c>
      <c r="R58" s="790">
        <v>62.95</v>
      </c>
      <c r="S58" s="1022">
        <v>18885.0</v>
      </c>
      <c r="T58" s="807"/>
      <c r="U58" s="1027"/>
      <c r="V58" s="959"/>
      <c r="W58" s="909"/>
      <c r="X58" s="909"/>
      <c r="Y58" s="909"/>
      <c r="Z58" s="909"/>
      <c r="AA58" s="909"/>
      <c r="AB58" s="909"/>
      <c r="AC58" s="909"/>
      <c r="AD58" s="909"/>
      <c r="AE58" s="909"/>
      <c r="AF58" s="909"/>
      <c r="AG58" s="909"/>
      <c r="AH58" s="909"/>
      <c r="AI58" s="909"/>
    </row>
    <row r="59">
      <c r="A59" s="882">
        <f>F62/G68</f>
        <v>0.04250846655</v>
      </c>
      <c r="B59" s="631" t="s">
        <v>980</v>
      </c>
      <c r="C59" s="820" t="s">
        <v>956</v>
      </c>
      <c r="D59" s="931">
        <v>7.4</v>
      </c>
      <c r="E59" s="932">
        <v>36416.0</v>
      </c>
      <c r="F59" s="933">
        <f>E59+L59-S59</f>
        <v>-18631</v>
      </c>
      <c r="G59" s="975">
        <v>173.88</v>
      </c>
      <c r="H59" s="935"/>
      <c r="I59" s="936"/>
      <c r="J59" s="936">
        <f t="shared" si="45"/>
        <v>-173.88</v>
      </c>
      <c r="K59" s="937">
        <f t="shared" si="46"/>
        <v>-1</v>
      </c>
      <c r="L59" s="933">
        <f t="shared" si="47"/>
        <v>-36416</v>
      </c>
      <c r="M59" s="938">
        <v>0.022</v>
      </c>
      <c r="N59" s="943">
        <v>180.0</v>
      </c>
      <c r="O59" s="736"/>
      <c r="P59" s="735" t="s">
        <v>956</v>
      </c>
      <c r="Q59" s="940">
        <v>7153.0</v>
      </c>
      <c r="R59" s="790">
        <v>186.31</v>
      </c>
      <c r="S59" s="1022">
        <v>18631.0</v>
      </c>
      <c r="T59" s="807"/>
      <c r="U59" s="1027"/>
      <c r="V59" s="959"/>
      <c r="W59" s="909"/>
      <c r="X59" s="909"/>
      <c r="Y59" s="909"/>
      <c r="Z59" s="909"/>
      <c r="AA59" s="909"/>
      <c r="AB59" s="909"/>
      <c r="AC59" s="909"/>
      <c r="AD59" s="909"/>
      <c r="AE59" s="909"/>
      <c r="AF59" s="909"/>
      <c r="AG59" s="909"/>
      <c r="AH59" s="909"/>
      <c r="AI59" s="909"/>
    </row>
    <row r="60">
      <c r="A60" s="201" t="s">
        <v>1059</v>
      </c>
      <c r="B60" s="631" t="s">
        <v>117</v>
      </c>
      <c r="C60" s="820" t="s">
        <v>118</v>
      </c>
      <c r="D60" s="931">
        <v>8.2</v>
      </c>
      <c r="E60" s="932">
        <v>33886.0</v>
      </c>
      <c r="F60" s="933">
        <f>E60+L60</f>
        <v>0</v>
      </c>
      <c r="G60" s="975">
        <v>363.54</v>
      </c>
      <c r="H60" s="935"/>
      <c r="I60" s="936"/>
      <c r="J60" s="936">
        <f t="shared" si="45"/>
        <v>-363.54</v>
      </c>
      <c r="K60" s="937">
        <f t="shared" si="46"/>
        <v>-1</v>
      </c>
      <c r="L60" s="933">
        <f t="shared" si="47"/>
        <v>-33886</v>
      </c>
      <c r="M60" s="991">
        <v>0.0339</v>
      </c>
      <c r="N60" s="943">
        <v>245.0</v>
      </c>
      <c r="O60" s="736"/>
      <c r="P60" s="735" t="s">
        <v>116</v>
      </c>
      <c r="Q60" s="940">
        <v>43686.0</v>
      </c>
      <c r="R60" s="790">
        <v>183.2</v>
      </c>
      <c r="S60" s="1022">
        <v>18320.0</v>
      </c>
      <c r="T60" s="807"/>
      <c r="U60" s="1027"/>
      <c r="V60" s="959"/>
      <c r="W60" s="909"/>
      <c r="X60" s="909"/>
      <c r="Y60" s="909"/>
      <c r="Z60" s="909"/>
      <c r="AA60" s="909"/>
      <c r="AB60" s="909"/>
      <c r="AC60" s="909"/>
      <c r="AD60" s="909"/>
      <c r="AE60" s="909"/>
      <c r="AF60" s="909"/>
      <c r="AG60" s="909"/>
      <c r="AH60" s="909"/>
      <c r="AI60" s="909"/>
    </row>
    <row r="61">
      <c r="A61" s="612">
        <f>F62</f>
        <v>140079</v>
      </c>
      <c r="B61" s="631" t="s">
        <v>981</v>
      </c>
      <c r="C61" s="820" t="s">
        <v>765</v>
      </c>
      <c r="D61" s="931">
        <v>6.4</v>
      </c>
      <c r="E61" s="932">
        <v>29970.0</v>
      </c>
      <c r="F61" s="933">
        <f>E61+L61-S62+W10</f>
        <v>158710</v>
      </c>
      <c r="G61" s="975">
        <v>10.5</v>
      </c>
      <c r="H61" s="935"/>
      <c r="I61" s="936"/>
      <c r="J61" s="936">
        <f t="shared" si="45"/>
        <v>-10.5</v>
      </c>
      <c r="K61" s="937">
        <f t="shared" si="46"/>
        <v>-1</v>
      </c>
      <c r="L61" s="933">
        <f t="shared" si="47"/>
        <v>-29970</v>
      </c>
      <c r="M61" s="938">
        <v>0.0052</v>
      </c>
      <c r="N61" s="943">
        <v>31.0</v>
      </c>
      <c r="O61" s="736"/>
      <c r="P61" s="735" t="s">
        <v>686</v>
      </c>
      <c r="Q61" s="940">
        <v>43686.0</v>
      </c>
      <c r="R61" s="790">
        <v>66.33</v>
      </c>
      <c r="S61" s="1022">
        <v>19899.0</v>
      </c>
      <c r="T61" s="807"/>
      <c r="U61" s="1027"/>
      <c r="V61" s="959"/>
      <c r="W61" s="909"/>
      <c r="X61" s="909"/>
      <c r="Y61" s="909"/>
      <c r="Z61" s="909"/>
      <c r="AA61" s="909"/>
      <c r="AB61" s="909"/>
      <c r="AC61" s="909"/>
      <c r="AD61" s="909"/>
      <c r="AE61" s="909"/>
      <c r="AF61" s="909"/>
      <c r="AG61" s="909"/>
      <c r="AH61" s="909"/>
      <c r="AI61" s="909"/>
    </row>
    <row r="62">
      <c r="A62" s="507" t="s">
        <v>113</v>
      </c>
      <c r="B62" s="504"/>
      <c r="C62" s="504" t="s">
        <v>1060</v>
      </c>
      <c r="D62" s="1028"/>
      <c r="E62" s="1029">
        <f t="shared" ref="E62:F62" si="48">SUM(E59:E61)</f>
        <v>100272</v>
      </c>
      <c r="F62" s="1029">
        <f t="shared" si="48"/>
        <v>140079</v>
      </c>
      <c r="G62" s="1030"/>
      <c r="H62" s="1028"/>
      <c r="I62" s="1028"/>
      <c r="J62" s="1028"/>
      <c r="K62" s="1031">
        <v>-0.2384</v>
      </c>
      <c r="L62" s="1032">
        <v>-316171.0</v>
      </c>
      <c r="M62" s="1029"/>
      <c r="N62" s="1033">
        <f>SUM(N58:N61)</f>
        <v>576</v>
      </c>
      <c r="O62" s="1034"/>
      <c r="P62" s="1035" t="s">
        <v>765</v>
      </c>
      <c r="Q62" s="946">
        <v>43686.0</v>
      </c>
      <c r="R62" s="790">
        <v>9.39</v>
      </c>
      <c r="S62" s="1022">
        <v>9390.0</v>
      </c>
      <c r="T62" s="800"/>
      <c r="U62" s="807"/>
      <c r="V62" s="959"/>
      <c r="W62" s="909"/>
      <c r="X62" s="909"/>
      <c r="Y62" s="909"/>
      <c r="Z62" s="909"/>
      <c r="AA62" s="909"/>
      <c r="AB62" s="909"/>
      <c r="AC62" s="909"/>
      <c r="AD62" s="909"/>
      <c r="AE62" s="909"/>
      <c r="AF62" s="909"/>
      <c r="AG62" s="909"/>
      <c r="AH62" s="909"/>
      <c r="AI62" s="909"/>
    </row>
    <row r="63">
      <c r="A63" s="1036" t="s">
        <v>1061</v>
      </c>
      <c r="B63" s="620"/>
      <c r="C63" s="620" t="str">
        <f>A20+G65</f>
        <v>#N/A</v>
      </c>
      <c r="D63" s="228" t="s">
        <v>1062</v>
      </c>
      <c r="E63" s="926" t="s">
        <v>1063</v>
      </c>
      <c r="F63" s="1037" t="s">
        <v>1064</v>
      </c>
      <c r="G63" s="1037" t="s">
        <v>1065</v>
      </c>
      <c r="H63" s="1038" t="s">
        <v>1066</v>
      </c>
      <c r="I63" s="1038" t="s">
        <v>1067</v>
      </c>
      <c r="J63" s="1038" t="s">
        <v>1068</v>
      </c>
      <c r="K63" s="1036" t="s">
        <v>1061</v>
      </c>
      <c r="L63" s="1038" t="s">
        <v>1016</v>
      </c>
      <c r="M63" s="1038" t="s">
        <v>329</v>
      </c>
      <c r="N63" s="1039" t="s">
        <v>1069</v>
      </c>
      <c r="O63" s="1039" t="s">
        <v>1070</v>
      </c>
      <c r="P63" s="735" t="s">
        <v>53</v>
      </c>
      <c r="Q63" s="946">
        <v>43686.0</v>
      </c>
      <c r="R63" s="790">
        <v>155.69</v>
      </c>
      <c r="S63" s="1022">
        <v>23353.5</v>
      </c>
      <c r="T63" s="800"/>
      <c r="U63" s="807"/>
      <c r="V63" s="959"/>
      <c r="W63" s="909"/>
      <c r="X63" s="909"/>
      <c r="Y63" s="909"/>
      <c r="Z63" s="909"/>
      <c r="AA63" s="909"/>
      <c r="AB63" s="909"/>
      <c r="AC63" s="909"/>
      <c r="AD63" s="909"/>
      <c r="AE63" s="909"/>
      <c r="AF63" s="909"/>
      <c r="AG63" s="909"/>
      <c r="AH63" s="909"/>
      <c r="AI63" s="909"/>
    </row>
    <row r="64">
      <c r="A64" s="1040" t="s">
        <v>1071</v>
      </c>
      <c r="B64" s="504"/>
      <c r="C64" s="504" t="s">
        <v>1072</v>
      </c>
      <c r="D64" s="1035">
        <f>V28+AF28</f>
        <v>614528.25</v>
      </c>
      <c r="E64" s="1035">
        <f>Q88</f>
        <v>1053210.6</v>
      </c>
      <c r="F64" s="1041">
        <f>E62+E56+E45+E37+E28+E22+E15+S47</f>
        <v>1909197.5</v>
      </c>
      <c r="G64" s="1042">
        <v>1514127.0</v>
      </c>
      <c r="H64" s="1043">
        <f>G64/G68</f>
        <v>0.459477987</v>
      </c>
      <c r="I64" s="1044">
        <f>J64/F64</f>
        <v>0.04226068806</v>
      </c>
      <c r="J64" s="1045">
        <f>N64+M64</f>
        <v>80684</v>
      </c>
      <c r="K64" s="1040" t="s">
        <v>1071</v>
      </c>
      <c r="L64" s="1046">
        <f t="shared" ref="L64:L65" si="49">M64/F64</f>
        <v>0.0003860260659</v>
      </c>
      <c r="M64" s="1042">
        <v>737.0</v>
      </c>
      <c r="N64" s="1047">
        <v>79947.0</v>
      </c>
      <c r="O64" s="1048">
        <f>N62+N56+N45+N37+N28+N22+N15</f>
        <v>9967</v>
      </c>
      <c r="P64" s="735" t="s">
        <v>36</v>
      </c>
      <c r="Q64" s="946">
        <v>43686.0</v>
      </c>
      <c r="R64" s="790">
        <v>238.53</v>
      </c>
      <c r="S64" s="1022">
        <v>23853.0</v>
      </c>
      <c r="T64" s="946">
        <v>43693.0</v>
      </c>
      <c r="U64" s="790">
        <v>219.64</v>
      </c>
      <c r="V64" s="1022">
        <v>17571.2</v>
      </c>
      <c r="W64" s="909"/>
      <c r="X64" s="909"/>
      <c r="Y64" s="909"/>
      <c r="Z64" s="909"/>
      <c r="AA64" s="909"/>
      <c r="AB64" s="909"/>
      <c r="AC64" s="909"/>
      <c r="AD64" s="909"/>
      <c r="AE64" s="909"/>
      <c r="AF64" s="909"/>
      <c r="AG64" s="909"/>
      <c r="AH64" s="909"/>
      <c r="AI64" s="909"/>
    </row>
    <row r="65">
      <c r="A65" s="1049" t="s">
        <v>1073</v>
      </c>
      <c r="B65" s="948"/>
      <c r="C65" s="1050" t="str">
        <f>C63/G68</f>
        <v>#N/A</v>
      </c>
      <c r="D65" s="1" t="s">
        <v>1040</v>
      </c>
      <c r="E65" s="1051" t="s">
        <v>1074</v>
      </c>
      <c r="F65" s="1052">
        <v>166984.0</v>
      </c>
      <c r="G65" s="1053">
        <v>181539.0</v>
      </c>
      <c r="H65" s="1054">
        <f>G65/G68</f>
        <v>0.05508994574</v>
      </c>
      <c r="I65" s="1055"/>
      <c r="J65" s="1055"/>
      <c r="K65" s="1049" t="s">
        <v>1073</v>
      </c>
      <c r="L65" s="1056">
        <f t="shared" si="49"/>
        <v>0.08896061898</v>
      </c>
      <c r="M65" s="1052">
        <v>14855.0</v>
      </c>
      <c r="N65" s="1039" t="s">
        <v>1075</v>
      </c>
      <c r="O65" s="1039" t="s">
        <v>1076</v>
      </c>
      <c r="P65" s="735" t="s">
        <v>74</v>
      </c>
      <c r="Q65" s="946">
        <v>43686.0</v>
      </c>
      <c r="R65" s="790">
        <v>138.89</v>
      </c>
      <c r="S65" s="1022">
        <v>13889.0</v>
      </c>
      <c r="T65" s="946">
        <v>43712.0</v>
      </c>
      <c r="U65" s="942">
        <v>137.06</v>
      </c>
      <c r="V65" s="1022">
        <v>9594.0</v>
      </c>
      <c r="W65" s="909"/>
      <c r="X65" s="909"/>
      <c r="Y65" s="909"/>
      <c r="Z65" s="909"/>
      <c r="AA65" s="909"/>
      <c r="AB65" s="909"/>
      <c r="AC65" s="909"/>
      <c r="AD65" s="909"/>
      <c r="AE65" s="909"/>
      <c r="AF65" s="909"/>
      <c r="AG65" s="909"/>
      <c r="AH65" s="909"/>
      <c r="AI65" s="909"/>
    </row>
    <row r="66">
      <c r="A66" s="1040" t="s">
        <v>240</v>
      </c>
      <c r="B66" s="736" t="s">
        <v>1077</v>
      </c>
      <c r="C66" s="1022">
        <v>669270.0</v>
      </c>
      <c r="D66" s="1034">
        <v>404980.0</v>
      </c>
      <c r="E66" s="1034">
        <v>0.0</v>
      </c>
      <c r="F66" s="1057">
        <v>921186.0</v>
      </c>
      <c r="G66" s="1042">
        <v>1009995.0</v>
      </c>
      <c r="H66" s="1043">
        <f>G66/G68</f>
        <v>0.3064937548</v>
      </c>
      <c r="I66" s="1058"/>
      <c r="J66" s="1058"/>
      <c r="K66" s="1040" t="s">
        <v>240</v>
      </c>
      <c r="L66" s="1056">
        <f>G66/(F66+D66)-1</f>
        <v>-0.238409822</v>
      </c>
      <c r="M66" s="1059">
        <f>(F66+D66)*L66</f>
        <v>-316171</v>
      </c>
      <c r="N66" s="1060">
        <f>N64/G68</f>
        <v>0.02426076982</v>
      </c>
      <c r="O66" s="1061"/>
      <c r="P66" s="735" t="s">
        <v>104</v>
      </c>
      <c r="Q66" s="946">
        <v>43686.0</v>
      </c>
      <c r="R66" s="790">
        <v>185.93</v>
      </c>
      <c r="S66" s="1022">
        <v>27889.5</v>
      </c>
      <c r="T66" s="800"/>
      <c r="U66" s="807"/>
      <c r="V66" s="959"/>
      <c r="W66" s="909"/>
      <c r="X66" s="909"/>
      <c r="Y66" s="909"/>
      <c r="Z66" s="909"/>
      <c r="AA66" s="909"/>
      <c r="AB66" s="909"/>
      <c r="AC66" s="909"/>
      <c r="AD66" s="909"/>
      <c r="AE66" s="909"/>
      <c r="AF66" s="909"/>
      <c r="AG66" s="909"/>
      <c r="AH66" s="909"/>
      <c r="AI66" s="909"/>
    </row>
    <row r="67">
      <c r="A67" s="1049" t="s">
        <v>1078</v>
      </c>
      <c r="B67" s="502"/>
      <c r="C67" s="1" t="s">
        <v>1079</v>
      </c>
      <c r="D67" s="1034" t="s">
        <v>1080</v>
      </c>
      <c r="E67" s="1034" t="s">
        <v>1081</v>
      </c>
      <c r="F67" s="1052">
        <v>475278.0</v>
      </c>
      <c r="G67" s="1062">
        <v>589659.0</v>
      </c>
      <c r="H67" s="1054">
        <f>G67/G68</f>
        <v>0.1789383125</v>
      </c>
      <c r="I67" s="1055"/>
      <c r="J67" s="1055"/>
      <c r="K67" s="1049" t="s">
        <v>1078</v>
      </c>
      <c r="L67" s="1060">
        <f>M67/G67</f>
        <v>0.004879091136</v>
      </c>
      <c r="M67" s="1052">
        <v>2877.0</v>
      </c>
      <c r="N67" s="1038" t="s">
        <v>1082</v>
      </c>
      <c r="O67" s="1063">
        <f>O68/F68</f>
        <v>-0.02804158962</v>
      </c>
      <c r="P67" s="735" t="s">
        <v>112</v>
      </c>
      <c r="Q67" s="946">
        <v>43686.0</v>
      </c>
      <c r="R67" s="790">
        <v>64.89</v>
      </c>
      <c r="S67" s="1022">
        <v>19467.0</v>
      </c>
      <c r="T67" s="800"/>
      <c r="U67" s="807"/>
      <c r="V67" s="959"/>
      <c r="W67" s="909"/>
      <c r="X67" s="909"/>
      <c r="Y67" s="909"/>
      <c r="Z67" s="909"/>
      <c r="AA67" s="909"/>
      <c r="AB67" s="909"/>
      <c r="AC67" s="909"/>
      <c r="AD67" s="909"/>
      <c r="AE67" s="909"/>
      <c r="AF67" s="909"/>
      <c r="AG67" s="909"/>
      <c r="AH67" s="909"/>
      <c r="AI67" s="909"/>
    </row>
    <row r="68">
      <c r="A68" s="1064" t="s">
        <v>1083</v>
      </c>
      <c r="B68" s="1065"/>
      <c r="C68" s="1066">
        <v>717893.0</v>
      </c>
      <c r="D68" s="1066">
        <v>1037097.0</v>
      </c>
      <c r="E68" s="1066">
        <v>356357.0</v>
      </c>
      <c r="F68" s="1067">
        <f t="shared" ref="F68:H68" si="50">SUM(F64:F67)</f>
        <v>3472645.5</v>
      </c>
      <c r="G68" s="1068">
        <f t="shared" si="50"/>
        <v>3295320</v>
      </c>
      <c r="H68" s="1069">
        <f t="shared" si="50"/>
        <v>1</v>
      </c>
      <c r="I68" s="1070"/>
      <c r="J68" s="1070"/>
      <c r="K68" s="1071" t="s">
        <v>1083</v>
      </c>
      <c r="L68" s="1046">
        <f>(G68/F68-1)</f>
        <v>-0.05106351915</v>
      </c>
      <c r="M68" s="1059">
        <f>G68-F68</f>
        <v>-177325.5</v>
      </c>
      <c r="N68" s="1072" t="s">
        <v>1084</v>
      </c>
      <c r="O68" s="1073">
        <f>M68+N64</f>
        <v>-97378.5</v>
      </c>
      <c r="P68" s="735" t="s">
        <v>855</v>
      </c>
      <c r="Q68" s="940">
        <v>43693.0</v>
      </c>
      <c r="R68" s="942">
        <v>230.48</v>
      </c>
      <c r="S68" s="1022">
        <v>23048.0</v>
      </c>
      <c r="T68" s="1074"/>
      <c r="U68" s="1075"/>
      <c r="V68" s="959"/>
      <c r="W68" s="909"/>
      <c r="X68" s="909"/>
      <c r="Y68" s="909"/>
      <c r="Z68" s="909"/>
      <c r="AA68" s="909"/>
      <c r="AB68" s="909"/>
      <c r="AC68" s="909"/>
      <c r="AD68" s="909"/>
      <c r="AE68" s="909"/>
      <c r="AF68" s="909"/>
      <c r="AG68" s="909"/>
      <c r="AH68" s="909"/>
      <c r="AI68" s="909"/>
    </row>
    <row r="69">
      <c r="A69" s="1076" t="s">
        <v>892</v>
      </c>
      <c r="B69" s="1077"/>
      <c r="C69" s="1078"/>
      <c r="D69" s="1078"/>
      <c r="E69" s="1078"/>
      <c r="F69" s="1078"/>
      <c r="G69" s="1078"/>
      <c r="H69" s="1078"/>
      <c r="I69" s="1078"/>
      <c r="J69" s="1079"/>
      <c r="K69" s="909"/>
      <c r="L69" s="909"/>
      <c r="M69" s="909"/>
      <c r="N69" s="909"/>
      <c r="O69" s="909"/>
      <c r="P69" s="735" t="s">
        <v>317</v>
      </c>
      <c r="Q69" s="940">
        <v>43693.0</v>
      </c>
      <c r="R69" s="790">
        <v>46.58</v>
      </c>
      <c r="S69" s="1022">
        <v>13974.0</v>
      </c>
      <c r="T69" s="800"/>
      <c r="U69" s="800"/>
      <c r="V69" s="989"/>
      <c r="W69" s="909"/>
      <c r="X69" s="909"/>
      <c r="Y69" s="909"/>
      <c r="Z69" s="909"/>
      <c r="AA69" s="909"/>
      <c r="AB69" s="909"/>
      <c r="AC69" s="909"/>
      <c r="AD69" s="909"/>
      <c r="AE69" s="909"/>
      <c r="AF69" s="909"/>
      <c r="AG69" s="909"/>
      <c r="AH69" s="909"/>
      <c r="AI69" s="909"/>
    </row>
    <row r="70">
      <c r="A70" s="198" t="s">
        <v>248</v>
      </c>
      <c r="B70" s="199"/>
      <c r="C70" s="1080"/>
      <c r="D70" s="1080"/>
      <c r="E70" s="1080"/>
      <c r="F70" s="484"/>
      <c r="G70" s="483" t="s">
        <v>1085</v>
      </c>
      <c r="H70" s="484"/>
      <c r="I70" s="483" t="s">
        <v>1086</v>
      </c>
      <c r="J70" s="484" t="s">
        <v>15</v>
      </c>
      <c r="K70" s="1081" t="s">
        <v>578</v>
      </c>
      <c r="L70" s="909"/>
      <c r="M70" s="909"/>
      <c r="N70" s="909"/>
      <c r="O70" s="909"/>
      <c r="P70" s="508" t="s">
        <v>494</v>
      </c>
      <c r="Q70" s="1082">
        <v>43700.0</v>
      </c>
      <c r="R70" s="1083">
        <v>36.53</v>
      </c>
      <c r="S70" s="1022">
        <v>18265.0</v>
      </c>
      <c r="T70" s="800"/>
      <c r="U70" s="800"/>
      <c r="V70" s="989"/>
      <c r="W70" s="909"/>
      <c r="X70" s="909"/>
      <c r="Y70" s="909"/>
      <c r="Z70" s="909"/>
      <c r="AA70" s="909"/>
      <c r="AB70" s="909"/>
      <c r="AC70" s="909"/>
      <c r="AD70" s="909"/>
      <c r="AE70" s="909"/>
      <c r="AF70" s="909"/>
      <c r="AG70" s="909"/>
      <c r="AH70" s="909"/>
      <c r="AI70" s="909"/>
    </row>
    <row r="71">
      <c r="A71" s="1084"/>
      <c r="B71" s="16" t="s">
        <v>265</v>
      </c>
      <c r="C71" s="1085" t="s">
        <v>266</v>
      </c>
      <c r="D71" s="1085"/>
      <c r="E71" s="1085"/>
      <c r="F71" s="1086"/>
      <c r="G71" s="850">
        <v>26599.96</v>
      </c>
      <c r="H71" s="1086"/>
      <c r="I71" s="919">
        <v>27031.0</v>
      </c>
      <c r="J71" s="1087">
        <f t="shared" ref="J71:J75" si="51">I71-G71</f>
        <v>431.04</v>
      </c>
      <c r="K71" s="1088">
        <f t="shared" ref="K71:K75" si="52">I71/G71-1</f>
        <v>0.01620453565</v>
      </c>
      <c r="L71" s="909"/>
      <c r="M71" s="909"/>
      <c r="N71" s="909"/>
      <c r="O71" s="909"/>
      <c r="P71" s="735" t="s">
        <v>309</v>
      </c>
      <c r="Q71" s="946">
        <v>43700.0</v>
      </c>
      <c r="R71" s="790">
        <v>19.31</v>
      </c>
      <c r="S71" s="1022">
        <v>19310.0</v>
      </c>
      <c r="T71" s="800"/>
      <c r="U71" s="800"/>
      <c r="V71" s="989"/>
      <c r="W71" s="909"/>
      <c r="X71" s="909"/>
      <c r="Y71" s="909"/>
      <c r="Z71" s="909"/>
      <c r="AA71" s="909"/>
      <c r="AB71" s="909"/>
      <c r="AC71" s="909"/>
      <c r="AD71" s="909"/>
      <c r="AE71" s="909"/>
      <c r="AF71" s="909"/>
      <c r="AG71" s="909"/>
      <c r="AH71" s="909"/>
      <c r="AI71" s="909"/>
    </row>
    <row r="72">
      <c r="A72" s="1084"/>
      <c r="B72" s="16" t="s">
        <v>267</v>
      </c>
      <c r="C72" s="1089" t="s">
        <v>268</v>
      </c>
      <c r="D72" s="1089"/>
      <c r="E72" s="1085"/>
      <c r="F72" s="1086"/>
      <c r="G72" s="850">
        <v>2941.76</v>
      </c>
      <c r="H72" s="1086"/>
      <c r="I72" s="919">
        <v>2992.0</v>
      </c>
      <c r="J72" s="1087">
        <f t="shared" si="51"/>
        <v>50.24</v>
      </c>
      <c r="K72" s="1088">
        <f t="shared" si="52"/>
        <v>0.01707821168</v>
      </c>
      <c r="L72" s="909"/>
      <c r="M72" s="909"/>
      <c r="N72" s="909"/>
      <c r="O72" s="909"/>
      <c r="P72" s="735" t="s">
        <v>95</v>
      </c>
      <c r="Q72" s="946">
        <v>43700.0</v>
      </c>
      <c r="R72" s="790">
        <v>33.71</v>
      </c>
      <c r="S72" s="1022">
        <v>16855.0</v>
      </c>
      <c r="T72" s="800"/>
      <c r="U72" s="800"/>
      <c r="V72" s="989"/>
      <c r="W72" s="909"/>
      <c r="X72" s="909"/>
      <c r="Y72" s="909"/>
      <c r="Z72" s="909"/>
      <c r="AA72" s="909"/>
      <c r="AB72" s="909"/>
      <c r="AC72" s="909"/>
      <c r="AD72" s="909"/>
      <c r="AE72" s="909"/>
      <c r="AF72" s="909"/>
      <c r="AG72" s="909"/>
      <c r="AH72" s="909"/>
      <c r="AI72" s="909"/>
    </row>
    <row r="73">
      <c r="A73" s="1084"/>
      <c r="B73" s="16" t="s">
        <v>269</v>
      </c>
      <c r="C73" s="1085" t="s">
        <v>270</v>
      </c>
      <c r="D73" s="1085"/>
      <c r="E73" s="1085"/>
      <c r="F73" s="1086"/>
      <c r="G73" s="850">
        <v>8006.24</v>
      </c>
      <c r="H73" s="1086"/>
      <c r="I73" s="919">
        <v>8054.0</v>
      </c>
      <c r="J73" s="1087">
        <f t="shared" si="51"/>
        <v>47.76</v>
      </c>
      <c r="K73" s="1088">
        <f t="shared" si="52"/>
        <v>0.005965347029</v>
      </c>
      <c r="L73" s="909"/>
      <c r="M73" s="909"/>
      <c r="N73" s="909"/>
      <c r="O73" s="909"/>
      <c r="P73" s="735" t="s">
        <v>496</v>
      </c>
      <c r="Q73" s="946">
        <v>43700.0</v>
      </c>
      <c r="R73" s="790">
        <v>44.7</v>
      </c>
      <c r="S73" s="1022">
        <v>22350.0</v>
      </c>
      <c r="T73" s="800"/>
      <c r="U73" s="800"/>
      <c r="V73" s="989"/>
      <c r="W73" s="909"/>
      <c r="X73" s="909"/>
      <c r="Y73" s="909"/>
      <c r="Z73" s="909"/>
      <c r="AA73" s="909"/>
      <c r="AB73" s="909"/>
      <c r="AC73" s="909"/>
      <c r="AD73" s="909"/>
      <c r="AE73" s="909"/>
      <c r="AF73" s="909"/>
      <c r="AG73" s="909"/>
      <c r="AH73" s="909"/>
      <c r="AI73" s="909"/>
    </row>
    <row r="74">
      <c r="A74" s="1084"/>
      <c r="B74" s="16" t="s">
        <v>271</v>
      </c>
      <c r="C74" s="1085" t="s">
        <v>272</v>
      </c>
      <c r="D74" s="1085"/>
      <c r="E74" s="1085"/>
      <c r="F74" s="1086"/>
      <c r="G74" s="850">
        <v>1566.57</v>
      </c>
      <c r="H74" s="1086"/>
      <c r="I74" s="919">
        <v>1538.0</v>
      </c>
      <c r="J74" s="1087">
        <f t="shared" si="51"/>
        <v>-28.57</v>
      </c>
      <c r="K74" s="1088">
        <f t="shared" si="52"/>
        <v>-0.01823729549</v>
      </c>
      <c r="L74" s="909"/>
      <c r="M74" s="909"/>
      <c r="N74" s="909"/>
      <c r="O74" s="909"/>
      <c r="P74" s="735" t="s">
        <v>774</v>
      </c>
      <c r="Q74" s="946">
        <v>43712.0</v>
      </c>
      <c r="R74" s="790">
        <v>18.1</v>
      </c>
      <c r="S74" s="1022">
        <v>54300.0</v>
      </c>
      <c r="T74" s="800"/>
      <c r="U74" s="800"/>
      <c r="V74" s="989"/>
      <c r="W74" s="909"/>
      <c r="X74" s="909"/>
      <c r="Y74" s="909"/>
      <c r="Z74" s="909"/>
      <c r="AA74" s="909"/>
      <c r="AB74" s="909"/>
      <c r="AC74" s="909"/>
      <c r="AD74" s="909"/>
      <c r="AE74" s="909"/>
      <c r="AF74" s="909"/>
      <c r="AG74" s="909"/>
      <c r="AH74" s="909"/>
      <c r="AI74" s="909"/>
    </row>
    <row r="75">
      <c r="A75" s="1084"/>
      <c r="B75" s="16" t="s">
        <v>273</v>
      </c>
      <c r="C75" s="1085" t="s">
        <v>274</v>
      </c>
      <c r="D75" s="1085"/>
      <c r="E75" s="1085"/>
      <c r="F75" s="1086"/>
      <c r="G75" s="850">
        <v>13049.71</v>
      </c>
      <c r="H75" s="1086"/>
      <c r="I75" s="919">
        <v>13038.0</v>
      </c>
      <c r="J75" s="1087">
        <f t="shared" si="51"/>
        <v>-11.71</v>
      </c>
      <c r="K75" s="1088">
        <f t="shared" si="52"/>
        <v>-0.0008973379485</v>
      </c>
      <c r="L75" s="909"/>
      <c r="M75" s="909"/>
      <c r="N75" s="909"/>
      <c r="O75" s="909"/>
      <c r="P75" s="735" t="s">
        <v>34</v>
      </c>
      <c r="Q75" s="946">
        <v>43712.0</v>
      </c>
      <c r="R75" s="975">
        <v>102.93</v>
      </c>
      <c r="S75" s="1022">
        <v>25732.5</v>
      </c>
      <c r="T75" s="1074"/>
      <c r="U75" s="1075"/>
      <c r="V75" s="959"/>
      <c r="W75" s="909"/>
      <c r="X75" s="909"/>
      <c r="Y75" s="909"/>
      <c r="Z75" s="909"/>
      <c r="AA75" s="909"/>
      <c r="AB75" s="909"/>
      <c r="AC75" s="909"/>
      <c r="AD75" s="909"/>
      <c r="AE75" s="909"/>
      <c r="AF75" s="909"/>
      <c r="AG75" s="909"/>
      <c r="AH75" s="909"/>
      <c r="AI75" s="909"/>
    </row>
    <row r="76">
      <c r="A76" s="1090" t="s">
        <v>973</v>
      </c>
      <c r="B76" s="909"/>
      <c r="C76" s="909"/>
      <c r="D76" s="909"/>
      <c r="E76" s="909"/>
      <c r="F76" s="909"/>
      <c r="G76" s="909"/>
      <c r="H76" s="909"/>
      <c r="I76" s="909"/>
      <c r="J76" s="909"/>
      <c r="K76" s="909"/>
      <c r="L76" s="909"/>
      <c r="M76" s="909"/>
      <c r="N76" s="909"/>
      <c r="O76" s="909"/>
      <c r="P76" s="735" t="s">
        <v>763</v>
      </c>
      <c r="Q76" s="946">
        <v>43712.0</v>
      </c>
      <c r="R76" s="790">
        <v>18.88</v>
      </c>
      <c r="S76" s="1022">
        <v>18888.0</v>
      </c>
      <c r="T76" s="800"/>
      <c r="U76" s="800"/>
      <c r="V76" s="989"/>
      <c r="W76" s="909"/>
      <c r="X76" s="909"/>
      <c r="Y76" s="909"/>
      <c r="Z76" s="909"/>
      <c r="AA76" s="909"/>
      <c r="AB76" s="909"/>
      <c r="AC76" s="909"/>
      <c r="AD76" s="909"/>
      <c r="AE76" s="909"/>
      <c r="AF76" s="909"/>
      <c r="AG76" s="909"/>
      <c r="AH76" s="909"/>
      <c r="AI76" s="909"/>
    </row>
    <row r="77">
      <c r="A77" s="1090" t="s">
        <v>974</v>
      </c>
      <c r="B77" s="909"/>
      <c r="C77" s="909"/>
      <c r="D77" s="909"/>
      <c r="E77" s="909"/>
      <c r="F77" s="909"/>
      <c r="G77" s="909"/>
      <c r="H77" s="909"/>
      <c r="I77" s="909"/>
      <c r="J77" s="909"/>
      <c r="K77" s="909"/>
      <c r="L77" s="909"/>
      <c r="M77" s="909"/>
      <c r="N77" s="909"/>
      <c r="O77" s="909"/>
      <c r="P77" s="735" t="s">
        <v>158</v>
      </c>
      <c r="Q77" s="946">
        <v>43713.0</v>
      </c>
      <c r="R77" s="790">
        <v>30.23</v>
      </c>
      <c r="S77" s="1022">
        <v>30230.0</v>
      </c>
      <c r="T77" s="800"/>
      <c r="U77" s="800"/>
      <c r="V77" s="989"/>
      <c r="W77" s="909"/>
      <c r="X77" s="909"/>
      <c r="Y77" s="909"/>
      <c r="Z77" s="909"/>
      <c r="AA77" s="909"/>
      <c r="AB77" s="909"/>
      <c r="AC77" s="909"/>
      <c r="AD77" s="909"/>
      <c r="AE77" s="909"/>
      <c r="AF77" s="909"/>
      <c r="AG77" s="909"/>
      <c r="AH77" s="909"/>
      <c r="AI77" s="909"/>
    </row>
    <row r="78">
      <c r="A78" s="1091" t="s">
        <v>1087</v>
      </c>
      <c r="B78" s="909"/>
      <c r="C78" s="909"/>
      <c r="D78" s="909"/>
      <c r="E78" s="909"/>
      <c r="F78" s="909"/>
      <c r="G78" s="909"/>
      <c r="H78" s="909"/>
      <c r="I78" s="909"/>
      <c r="J78" s="909"/>
      <c r="K78" s="909"/>
      <c r="L78" s="909"/>
      <c r="M78" s="909"/>
      <c r="N78" s="909"/>
      <c r="O78" s="909"/>
      <c r="P78" s="735" t="s">
        <v>161</v>
      </c>
      <c r="Q78" s="946">
        <v>43713.0</v>
      </c>
      <c r="R78" s="790">
        <v>41.73</v>
      </c>
      <c r="S78" s="1022">
        <v>41730.0</v>
      </c>
      <c r="T78" s="800"/>
      <c r="U78" s="800"/>
      <c r="V78" s="989"/>
      <c r="W78" s="909"/>
      <c r="X78" s="909"/>
      <c r="Y78" s="909"/>
      <c r="Z78" s="909"/>
      <c r="AA78" s="909"/>
      <c r="AB78" s="909"/>
      <c r="AC78" s="909"/>
      <c r="AD78" s="909"/>
      <c r="AE78" s="909"/>
      <c r="AF78" s="909"/>
      <c r="AG78" s="909"/>
      <c r="AH78" s="909"/>
      <c r="AI78" s="909"/>
    </row>
    <row r="79">
      <c r="A79" s="909"/>
      <c r="B79" s="909"/>
      <c r="C79" s="909"/>
      <c r="D79" s="909"/>
      <c r="E79" s="909"/>
      <c r="F79" s="909"/>
      <c r="G79" s="909"/>
      <c r="H79" s="909"/>
      <c r="I79" s="909"/>
      <c r="J79" s="909"/>
      <c r="K79" s="909"/>
      <c r="L79" s="909"/>
      <c r="M79" s="909"/>
      <c r="N79" s="909"/>
      <c r="O79" s="909"/>
      <c r="P79" s="735" t="s">
        <v>710</v>
      </c>
      <c r="Q79" s="946">
        <v>43713.0</v>
      </c>
      <c r="R79" s="790">
        <v>49.88</v>
      </c>
      <c r="S79" s="1022">
        <v>39904.0</v>
      </c>
      <c r="T79" s="800"/>
      <c r="U79" s="800"/>
      <c r="V79" s="989"/>
      <c r="W79" s="909"/>
      <c r="X79" s="909"/>
      <c r="Y79" s="909"/>
      <c r="Z79" s="909"/>
      <c r="AA79" s="909"/>
      <c r="AB79" s="909"/>
      <c r="AC79" s="909"/>
      <c r="AD79" s="909"/>
      <c r="AE79" s="909"/>
      <c r="AF79" s="909"/>
      <c r="AG79" s="909"/>
      <c r="AH79" s="909"/>
      <c r="AI79" s="909"/>
    </row>
    <row r="80">
      <c r="A80" s="909"/>
      <c r="B80" s="909"/>
      <c r="C80" s="909"/>
      <c r="D80" s="909"/>
      <c r="E80" s="909"/>
      <c r="F80" s="909"/>
      <c r="G80" s="909"/>
      <c r="H80" s="909"/>
      <c r="I80" s="909"/>
      <c r="J80" s="909"/>
      <c r="K80" s="909"/>
      <c r="L80" s="909"/>
      <c r="M80" s="909"/>
      <c r="N80" s="909"/>
      <c r="O80" s="909"/>
      <c r="P80" s="735" t="s">
        <v>74</v>
      </c>
      <c r="Q80" s="946">
        <v>43728.0</v>
      </c>
      <c r="R80" s="790">
        <v>139.94</v>
      </c>
      <c r="S80" s="1022">
        <v>27988.0</v>
      </c>
      <c r="T80" s="800"/>
      <c r="U80" s="800"/>
      <c r="V80" s="989"/>
      <c r="W80" s="909"/>
      <c r="X80" s="909"/>
      <c r="Y80" s="909"/>
      <c r="Z80" s="909"/>
      <c r="AA80" s="909"/>
      <c r="AB80" s="909"/>
      <c r="AC80" s="909"/>
      <c r="AD80" s="909"/>
      <c r="AE80" s="909"/>
      <c r="AF80" s="909"/>
      <c r="AG80" s="909"/>
      <c r="AH80" s="909"/>
      <c r="AI80" s="909"/>
    </row>
    <row r="81">
      <c r="A81" s="909"/>
      <c r="B81" s="909"/>
      <c r="C81" s="909"/>
      <c r="D81" s="909"/>
      <c r="E81" s="909"/>
      <c r="F81" s="909"/>
      <c r="G81" s="909"/>
      <c r="H81" s="909"/>
      <c r="I81" s="909"/>
      <c r="J81" s="909"/>
      <c r="K81" s="909"/>
      <c r="L81" s="909"/>
      <c r="M81" s="909"/>
      <c r="N81" s="909"/>
      <c r="O81" s="909"/>
      <c r="P81" s="735" t="s">
        <v>674</v>
      </c>
      <c r="Q81" s="946">
        <v>43728.0</v>
      </c>
      <c r="R81" s="790">
        <v>191.22</v>
      </c>
      <c r="S81" s="1022">
        <v>42068.0</v>
      </c>
      <c r="T81" s="800"/>
      <c r="U81" s="800"/>
      <c r="V81" s="989"/>
      <c r="W81" s="909"/>
      <c r="X81" s="909"/>
      <c r="Y81" s="909"/>
      <c r="Z81" s="909"/>
      <c r="AA81" s="909"/>
      <c r="AB81" s="909"/>
      <c r="AC81" s="909"/>
      <c r="AD81" s="909"/>
      <c r="AE81" s="909"/>
      <c r="AF81" s="909"/>
      <c r="AG81" s="909"/>
      <c r="AH81" s="909"/>
      <c r="AI81" s="909"/>
    </row>
    <row r="82">
      <c r="A82" s="909"/>
      <c r="B82" s="909"/>
      <c r="C82" s="909"/>
      <c r="D82" s="909"/>
      <c r="E82" s="909"/>
      <c r="F82" s="909"/>
      <c r="G82" s="909"/>
      <c r="H82" s="909"/>
      <c r="I82" s="909"/>
      <c r="J82" s="909"/>
      <c r="K82" s="909"/>
      <c r="L82" s="909"/>
      <c r="M82" s="909"/>
      <c r="N82" s="909"/>
      <c r="O82" s="909"/>
      <c r="P82" s="735" t="s">
        <v>36</v>
      </c>
      <c r="Q82" s="946">
        <v>43728.0</v>
      </c>
      <c r="R82" s="790">
        <v>243.07</v>
      </c>
      <c r="S82" s="1022">
        <v>48614.0</v>
      </c>
      <c r="T82" s="800"/>
      <c r="U82" s="800"/>
      <c r="V82" s="989"/>
      <c r="W82" s="909"/>
      <c r="X82" s="909"/>
      <c r="Y82" s="909"/>
      <c r="Z82" s="909"/>
      <c r="AA82" s="909"/>
      <c r="AB82" s="909"/>
      <c r="AC82" s="909"/>
      <c r="AD82" s="909"/>
      <c r="AE82" s="909"/>
      <c r="AF82" s="909"/>
      <c r="AG82" s="909"/>
      <c r="AH82" s="909"/>
      <c r="AI82" s="909"/>
    </row>
    <row r="83">
      <c r="A83" s="909"/>
      <c r="B83" s="909"/>
      <c r="C83" s="909"/>
      <c r="D83" s="909"/>
      <c r="E83" s="909"/>
      <c r="F83" s="909"/>
      <c r="G83" s="909"/>
      <c r="H83" s="909"/>
      <c r="I83" s="909"/>
      <c r="J83" s="909"/>
      <c r="K83" s="909"/>
      <c r="L83" s="909"/>
      <c r="M83" s="909"/>
      <c r="N83" s="909"/>
      <c r="O83" s="909"/>
      <c r="P83" s="735" t="s">
        <v>582</v>
      </c>
      <c r="Q83" s="946">
        <v>43728.0</v>
      </c>
      <c r="R83" s="790">
        <v>276.54</v>
      </c>
      <c r="S83" s="1022">
        <v>27654.0</v>
      </c>
      <c r="T83" s="800"/>
      <c r="U83" s="800"/>
      <c r="V83" s="989"/>
      <c r="W83" s="909"/>
      <c r="X83" s="909"/>
      <c r="Y83" s="909"/>
      <c r="Z83" s="909"/>
      <c r="AA83" s="909"/>
      <c r="AB83" s="909"/>
      <c r="AC83" s="909"/>
      <c r="AD83" s="909"/>
      <c r="AE83" s="909"/>
      <c r="AF83" s="909"/>
      <c r="AG83" s="909"/>
      <c r="AH83" s="909"/>
      <c r="AI83" s="909"/>
    </row>
    <row r="84">
      <c r="A84" s="909"/>
      <c r="B84" s="909"/>
      <c r="C84" s="909"/>
      <c r="D84" s="909"/>
      <c r="E84" s="909"/>
      <c r="F84" s="909"/>
      <c r="G84" s="909"/>
      <c r="H84" s="909"/>
      <c r="I84" s="909"/>
      <c r="J84" s="909"/>
      <c r="K84" s="909"/>
      <c r="L84" s="909"/>
      <c r="M84" s="909"/>
      <c r="N84" s="909"/>
      <c r="O84" s="909"/>
      <c r="P84" s="735" t="s">
        <v>652</v>
      </c>
      <c r="Q84" s="946">
        <v>43728.0</v>
      </c>
      <c r="R84" s="790">
        <v>2.99</v>
      </c>
      <c r="S84" s="1022">
        <v>22425.0</v>
      </c>
      <c r="T84" s="800"/>
      <c r="U84" s="800"/>
      <c r="V84" s="989"/>
      <c r="W84" s="909"/>
      <c r="X84" s="909"/>
      <c r="Y84" s="909"/>
      <c r="Z84" s="909"/>
      <c r="AA84" s="909"/>
      <c r="AB84" s="909"/>
      <c r="AC84" s="909"/>
      <c r="AD84" s="909"/>
      <c r="AE84" s="909"/>
      <c r="AF84" s="909"/>
      <c r="AG84" s="909"/>
      <c r="AH84" s="909"/>
      <c r="AI84" s="909"/>
    </row>
    <row r="85">
      <c r="A85" s="909"/>
      <c r="B85" s="909"/>
      <c r="C85" s="909"/>
      <c r="D85" s="909"/>
      <c r="E85" s="909"/>
      <c r="F85" s="909"/>
      <c r="G85" s="909"/>
      <c r="H85" s="909"/>
      <c r="I85" s="909"/>
      <c r="J85" s="909"/>
      <c r="K85" s="909"/>
      <c r="L85" s="909"/>
      <c r="M85" s="909"/>
      <c r="N85" s="909"/>
      <c r="O85" s="909"/>
      <c r="P85" s="735" t="s">
        <v>540</v>
      </c>
      <c r="Q85" s="946">
        <v>43728.0</v>
      </c>
      <c r="R85" s="790">
        <v>216.49</v>
      </c>
      <c r="S85" s="1022">
        <v>32473.0</v>
      </c>
      <c r="T85" s="800"/>
      <c r="U85" s="800"/>
      <c r="V85" s="989"/>
      <c r="W85" s="909"/>
      <c r="X85" s="909"/>
      <c r="Y85" s="909"/>
      <c r="Z85" s="909"/>
      <c r="AA85" s="909"/>
      <c r="AB85" s="909"/>
      <c r="AC85" s="909"/>
      <c r="AD85" s="909"/>
      <c r="AE85" s="909"/>
      <c r="AF85" s="909"/>
      <c r="AG85" s="909"/>
      <c r="AH85" s="909"/>
      <c r="AI85" s="909"/>
    </row>
    <row r="86">
      <c r="A86" s="909"/>
      <c r="B86" s="909"/>
      <c r="C86" s="909"/>
      <c r="D86" s="909"/>
      <c r="E86" s="909"/>
      <c r="F86" s="909"/>
      <c r="G86" s="909"/>
      <c r="H86" s="909"/>
      <c r="I86" s="909"/>
      <c r="J86" s="909"/>
      <c r="K86" s="909"/>
      <c r="L86" s="909"/>
      <c r="M86" s="909"/>
      <c r="N86" s="909"/>
      <c r="O86" s="909"/>
      <c r="P86" s="735" t="s">
        <v>616</v>
      </c>
      <c r="Q86" s="946">
        <v>43728.0</v>
      </c>
      <c r="R86" s="790">
        <v>120.17</v>
      </c>
      <c r="S86" s="1022">
        <v>36051.0</v>
      </c>
      <c r="T86" s="800"/>
      <c r="U86" s="800"/>
      <c r="V86" s="989"/>
      <c r="W86" s="909"/>
      <c r="X86" s="909"/>
      <c r="Y86" s="909"/>
      <c r="Z86" s="909"/>
      <c r="AA86" s="909"/>
      <c r="AB86" s="909"/>
      <c r="AC86" s="909"/>
      <c r="AD86" s="909"/>
      <c r="AE86" s="909"/>
      <c r="AF86" s="909"/>
      <c r="AG86" s="909"/>
      <c r="AH86" s="909"/>
      <c r="AI86" s="909"/>
    </row>
    <row r="87">
      <c r="A87" s="909"/>
      <c r="B87" s="909"/>
      <c r="C87" s="909"/>
      <c r="D87" s="909"/>
      <c r="E87" s="909"/>
      <c r="F87" s="909"/>
      <c r="G87" s="909"/>
      <c r="H87" s="909"/>
      <c r="I87" s="909"/>
      <c r="J87" s="909"/>
      <c r="K87" s="909"/>
      <c r="L87" s="909"/>
      <c r="M87" s="909"/>
      <c r="N87" s="909"/>
      <c r="O87" s="909"/>
      <c r="P87" s="735" t="s">
        <v>457</v>
      </c>
      <c r="Q87" s="946">
        <v>43728.0</v>
      </c>
      <c r="R87" s="790">
        <v>17.93</v>
      </c>
      <c r="S87" s="1022">
        <v>32274.0</v>
      </c>
      <c r="T87" s="800"/>
      <c r="U87" s="800"/>
      <c r="V87" s="989"/>
      <c r="W87" s="909"/>
      <c r="X87" s="909"/>
      <c r="Y87" s="909"/>
      <c r="Z87" s="909"/>
      <c r="AA87" s="909"/>
      <c r="AB87" s="909"/>
      <c r="AC87" s="909"/>
      <c r="AD87" s="909"/>
      <c r="AE87" s="909"/>
      <c r="AF87" s="909"/>
      <c r="AG87" s="909"/>
      <c r="AH87" s="909"/>
      <c r="AI87" s="909"/>
    </row>
    <row r="88">
      <c r="A88" s="909"/>
      <c r="B88" s="909"/>
      <c r="C88" s="909"/>
      <c r="D88" s="909"/>
      <c r="E88" s="909"/>
      <c r="F88" s="909"/>
      <c r="G88" s="1015"/>
      <c r="H88" s="909"/>
      <c r="I88" s="909"/>
      <c r="J88" s="909"/>
      <c r="K88" s="909"/>
      <c r="L88" s="909"/>
      <c r="M88" s="909"/>
      <c r="N88" s="909"/>
      <c r="O88" s="909"/>
      <c r="P88" s="854" t="s">
        <v>1088</v>
      </c>
      <c r="Q88" s="1092">
        <f>S88+V88</f>
        <v>1053210.6</v>
      </c>
      <c r="R88" s="1092"/>
      <c r="S88" s="1092">
        <f>SUM(S47:S87)</f>
        <v>981466</v>
      </c>
      <c r="T88" s="1093"/>
      <c r="U88" s="884"/>
      <c r="V88" s="1092">
        <f>SUM(V47:V87)</f>
        <v>71744.6</v>
      </c>
      <c r="W88" s="909"/>
      <c r="X88" s="909"/>
      <c r="Y88" s="909"/>
      <c r="Z88" s="909"/>
      <c r="AA88" s="909"/>
      <c r="AB88" s="909"/>
      <c r="AC88" s="909"/>
      <c r="AD88" s="909"/>
      <c r="AE88" s="909"/>
      <c r="AF88" s="909"/>
      <c r="AG88" s="909"/>
      <c r="AH88" s="909"/>
      <c r="AI88" s="909"/>
    </row>
  </sheetData>
  <autoFilter ref="$N$67:$O$68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5.75"/>
    <col customWidth="1" min="3" max="3" width="7.38"/>
    <col customWidth="1" min="4" max="4" width="12.13"/>
    <col customWidth="1" min="5" max="5" width="16.63"/>
    <col customWidth="1" min="6" max="6" width="21.13"/>
    <col customWidth="1" min="7" max="7" width="13.75"/>
    <col customWidth="1" min="8" max="8" width="10.75"/>
    <col customWidth="1" min="9" max="9" width="15.5"/>
    <col customWidth="1" min="10" max="10" width="13.5"/>
    <col customWidth="1" min="11" max="11" width="10.75"/>
    <col customWidth="1" min="12" max="12" width="8.88"/>
    <col customWidth="1" min="13" max="13" width="27.38"/>
    <col customWidth="1" min="14" max="14" width="15.75"/>
    <col customWidth="1" min="22" max="22" width="15.75"/>
    <col customWidth="1" min="23" max="23" width="13.75"/>
  </cols>
  <sheetData>
    <row r="1">
      <c r="A1" s="925" t="s">
        <v>719</v>
      </c>
      <c r="B1" s="924" t="s">
        <v>3</v>
      </c>
      <c r="C1" s="924" t="s">
        <v>1010</v>
      </c>
      <c r="D1" s="925" t="s">
        <v>1089</v>
      </c>
      <c r="E1" s="926" t="s">
        <v>1090</v>
      </c>
      <c r="F1" s="927" t="s">
        <v>1012</v>
      </c>
      <c r="G1" s="927" t="s">
        <v>1091</v>
      </c>
      <c r="H1" s="928" t="s">
        <v>10</v>
      </c>
      <c r="I1" s="928" t="s">
        <v>1014</v>
      </c>
      <c r="J1" s="924" t="s">
        <v>1015</v>
      </c>
      <c r="K1" s="924" t="s">
        <v>1092</v>
      </c>
      <c r="L1" s="924" t="s">
        <v>15</v>
      </c>
      <c r="M1" s="925" t="s">
        <v>1093</v>
      </c>
      <c r="N1" s="854" t="s">
        <v>17</v>
      </c>
      <c r="O1" s="854" t="s">
        <v>1094</v>
      </c>
      <c r="P1" s="1094" t="s">
        <v>1020</v>
      </c>
      <c r="Q1" s="854" t="s">
        <v>3</v>
      </c>
      <c r="R1" s="854" t="s">
        <v>5</v>
      </c>
      <c r="S1" s="854" t="s">
        <v>1038</v>
      </c>
      <c r="T1" s="854" t="s">
        <v>1095</v>
      </c>
      <c r="U1" s="854" t="s">
        <v>1014</v>
      </c>
      <c r="V1" s="854" t="s">
        <v>1096</v>
      </c>
      <c r="W1" s="854" t="s">
        <v>1012</v>
      </c>
      <c r="X1" s="854" t="s">
        <v>15</v>
      </c>
      <c r="Y1" s="854" t="s">
        <v>1097</v>
      </c>
      <c r="Z1" s="925" t="s">
        <v>1098</v>
      </c>
      <c r="AA1" s="854" t="s">
        <v>17</v>
      </c>
    </row>
    <row r="2">
      <c r="A2" s="1" t="s">
        <v>1099</v>
      </c>
      <c r="B2" s="820" t="s">
        <v>1027</v>
      </c>
      <c r="C2" s="950" t="s">
        <v>902</v>
      </c>
      <c r="D2" s="931">
        <v>7.2</v>
      </c>
      <c r="E2" s="932">
        <v>37040.9</v>
      </c>
      <c r="F2" s="933">
        <f t="shared" ref="F2:F14" si="1">E2+L2</f>
        <v>194619.0621</v>
      </c>
      <c r="G2" s="934">
        <v>48.0</v>
      </c>
      <c r="H2" s="935">
        <f>IFERROR(__xludf.DUMMYFUNCTION("GOOGLEFINANCE(C2,""changepct"")"),-1.33)</f>
        <v>-1.33</v>
      </c>
      <c r="I2" s="936">
        <f>IFERROR(__xludf.DUMMYFUNCTION("GOOGLEFINANCE(C2,""price"")"),252.2)</f>
        <v>252.2</v>
      </c>
      <c r="J2" s="936">
        <f t="shared" ref="J2:J14" si="2">(I2-G2)</f>
        <v>204.2</v>
      </c>
      <c r="K2" s="937">
        <f t="shared" ref="K2:K14" si="3">(I2/G2-1)</f>
        <v>4.254166667</v>
      </c>
      <c r="L2" s="933">
        <f t="shared" ref="L2:L14" si="4">(E2*K2)</f>
        <v>157578.1621</v>
      </c>
      <c r="M2" s="938">
        <v>0.0186</v>
      </c>
      <c r="N2" s="788">
        <v>178.0</v>
      </c>
      <c r="O2" s="854" t="s">
        <v>1051</v>
      </c>
      <c r="P2" s="946">
        <v>43578.0</v>
      </c>
      <c r="Q2" s="797" t="s">
        <v>1052</v>
      </c>
      <c r="R2" s="787">
        <v>8.2</v>
      </c>
      <c r="S2" s="787" t="s">
        <v>317</v>
      </c>
      <c r="T2" s="790">
        <v>45.1</v>
      </c>
      <c r="U2" s="1095">
        <f>IFERROR(__xludf.DUMMYFUNCTION("GOOGLEFINANCE(S2,""price"")"),56.06)</f>
        <v>56.06</v>
      </c>
      <c r="V2" s="790">
        <v>36080.0</v>
      </c>
      <c r="W2" s="1095">
        <f t="shared" ref="W2:W4" si="5">V2+X2</f>
        <v>44848</v>
      </c>
      <c r="X2" s="807">
        <f t="shared" ref="X2:X4" si="6">V2*Y2</f>
        <v>8768</v>
      </c>
      <c r="Y2" s="1096">
        <f t="shared" ref="Y2:Y4" si="7">(U2/T2-1)</f>
        <v>0.2430155211</v>
      </c>
      <c r="Z2" s="802">
        <v>0.035</v>
      </c>
      <c r="AA2" s="788">
        <v>318.0</v>
      </c>
    </row>
    <row r="3">
      <c r="A3" s="1097" t="str">
        <f>(F15)/G64</f>
        <v>#N/A</v>
      </c>
      <c r="B3" s="820" t="s">
        <v>346</v>
      </c>
      <c r="C3" s="950" t="s">
        <v>347</v>
      </c>
      <c r="D3" s="931">
        <v>7.2</v>
      </c>
      <c r="E3" s="932">
        <v>45552.0</v>
      </c>
      <c r="F3" s="933">
        <f t="shared" si="1"/>
        <v>21004.60269</v>
      </c>
      <c r="G3" s="934">
        <v>182.45</v>
      </c>
      <c r="H3" s="949">
        <f>IFERROR(__xludf.DUMMYFUNCTION("GOOGLEFINANCE(C3,""changepct"")"),-1.09)</f>
        <v>-1.09</v>
      </c>
      <c r="I3" s="936">
        <f>IFERROR(__xludf.DUMMYFUNCTION("GOOGLEFINANCE(C3,""price"")"),84.13)</f>
        <v>84.13</v>
      </c>
      <c r="J3" s="936">
        <f t="shared" si="2"/>
        <v>-98.32</v>
      </c>
      <c r="K3" s="937">
        <f t="shared" si="3"/>
        <v>-0.5388873664</v>
      </c>
      <c r="L3" s="933">
        <f t="shared" si="4"/>
        <v>-24547.39731</v>
      </c>
      <c r="M3" s="950" t="s">
        <v>128</v>
      </c>
      <c r="N3" s="805"/>
      <c r="O3" s="989"/>
      <c r="P3" s="946">
        <v>43578.0</v>
      </c>
      <c r="Q3" s="1098" t="s">
        <v>111</v>
      </c>
      <c r="R3" s="1015">
        <v>8.1</v>
      </c>
      <c r="S3" s="787" t="s">
        <v>112</v>
      </c>
      <c r="T3" s="790">
        <v>78.15</v>
      </c>
      <c r="U3" s="1095">
        <f>IFERROR(__xludf.DUMMYFUNCTION("GOOGLEFINANCE(S3,""price"")"),176.2)</f>
        <v>176.2</v>
      </c>
      <c r="V3" s="790">
        <v>39075.0</v>
      </c>
      <c r="W3" s="1095">
        <f t="shared" si="5"/>
        <v>88100</v>
      </c>
      <c r="X3" s="807">
        <f t="shared" si="6"/>
        <v>49025</v>
      </c>
      <c r="Y3" s="1096">
        <f t="shared" si="7"/>
        <v>1.254638516</v>
      </c>
      <c r="Z3" s="802">
        <v>0.053</v>
      </c>
      <c r="AA3" s="788">
        <v>509.0</v>
      </c>
    </row>
    <row r="4">
      <c r="A4" s="1" t="s">
        <v>1059</v>
      </c>
      <c r="B4" s="820" t="s">
        <v>1030</v>
      </c>
      <c r="C4" s="950" t="s">
        <v>31</v>
      </c>
      <c r="D4" s="931">
        <v>7.9</v>
      </c>
      <c r="E4" s="932">
        <v>41065.0</v>
      </c>
      <c r="F4" s="933">
        <f t="shared" si="1"/>
        <v>6745.792711</v>
      </c>
      <c r="G4" s="934">
        <v>1173.0</v>
      </c>
      <c r="H4" s="949">
        <f>IFERROR(__xludf.DUMMYFUNCTION("GOOGLEFINANCE(C4,""changepct"")"),-0.7)</f>
        <v>-0.7</v>
      </c>
      <c r="I4" s="936">
        <f>IFERROR(__xludf.DUMMYFUNCTION("GOOGLEFINANCE(C4,""price"")"),192.69)</f>
        <v>192.69</v>
      </c>
      <c r="J4" s="936">
        <f t="shared" si="2"/>
        <v>-980.31</v>
      </c>
      <c r="K4" s="937">
        <f t="shared" si="3"/>
        <v>-0.8357289003</v>
      </c>
      <c r="L4" s="933">
        <f t="shared" si="4"/>
        <v>-34319.20729</v>
      </c>
      <c r="M4" s="950" t="s">
        <v>128</v>
      </c>
      <c r="N4" s="805"/>
      <c r="O4" s="989"/>
      <c r="P4" s="946">
        <v>43580.0</v>
      </c>
      <c r="Q4" s="797" t="s">
        <v>1053</v>
      </c>
      <c r="R4" s="787">
        <v>8.3</v>
      </c>
      <c r="S4" s="787" t="s">
        <v>855</v>
      </c>
      <c r="T4" s="790">
        <v>225.6</v>
      </c>
      <c r="U4" s="1095">
        <f>IFERROR(__xludf.DUMMYFUNCTION("GOOGLEFINANCE(S4,""price"")"),150.19)</f>
        <v>150.19</v>
      </c>
      <c r="V4" s="790">
        <v>37308.0</v>
      </c>
      <c r="W4" s="1095">
        <f t="shared" si="5"/>
        <v>24837.27181</v>
      </c>
      <c r="X4" s="807">
        <f t="shared" si="6"/>
        <v>-12470.72819</v>
      </c>
      <c r="Y4" s="1096">
        <f t="shared" si="7"/>
        <v>-0.3342641844</v>
      </c>
      <c r="Z4" s="787" t="s">
        <v>128</v>
      </c>
      <c r="AA4" s="788" t="s">
        <v>128</v>
      </c>
    </row>
    <row r="5">
      <c r="A5" s="1099" t="str">
        <f>F15</f>
        <v>#N/A</v>
      </c>
      <c r="B5" s="820" t="s">
        <v>734</v>
      </c>
      <c r="C5" s="950" t="s">
        <v>74</v>
      </c>
      <c r="D5" s="931">
        <v>8.1</v>
      </c>
      <c r="E5" s="932">
        <v>43638.0</v>
      </c>
      <c r="F5" s="933">
        <f t="shared" si="1"/>
        <v>157187.8204</v>
      </c>
      <c r="G5" s="934">
        <v>117.94</v>
      </c>
      <c r="H5" s="935">
        <f>IFERROR(__xludf.DUMMYFUNCTION("GOOGLEFINANCE(C5,""changepct"")"),-1.32)</f>
        <v>-1.32</v>
      </c>
      <c r="I5" s="936">
        <f>IFERROR(__xludf.DUMMYFUNCTION("GOOGLEFINANCE(C5,""price"")"),424.83)</f>
        <v>424.83</v>
      </c>
      <c r="J5" s="936">
        <f t="shared" si="2"/>
        <v>306.89</v>
      </c>
      <c r="K5" s="937">
        <f t="shared" si="3"/>
        <v>2.602085806</v>
      </c>
      <c r="L5" s="933">
        <f t="shared" si="4"/>
        <v>113549.8204</v>
      </c>
      <c r="M5" s="938">
        <v>0.0181</v>
      </c>
      <c r="N5" s="788">
        <v>225.0</v>
      </c>
      <c r="O5" s="736" t="s">
        <v>89</v>
      </c>
      <c r="P5" s="952"/>
      <c r="Q5" s="736"/>
      <c r="R5" s="951"/>
      <c r="S5" s="951"/>
      <c r="T5" s="954"/>
      <c r="U5" s="1100"/>
      <c r="V5" s="1101">
        <f t="shared" ref="V5:X5" si="8">SUM(V2:V4)+V6</f>
        <v>121959</v>
      </c>
      <c r="W5" s="959">
        <f t="shared" si="8"/>
        <v>164508.7054</v>
      </c>
      <c r="X5" s="959">
        <f t="shared" si="8"/>
        <v>42549.70539</v>
      </c>
      <c r="Y5" s="856">
        <f>X5/V5</f>
        <v>0.3488853253</v>
      </c>
      <c r="Z5" s="951"/>
      <c r="AA5" s="1102">
        <f>SUM(AA2:AA4)</f>
        <v>827</v>
      </c>
    </row>
    <row r="6">
      <c r="A6" s="969"/>
      <c r="B6" s="820" t="s">
        <v>632</v>
      </c>
      <c r="C6" s="950" t="s">
        <v>674</v>
      </c>
      <c r="D6" s="931">
        <v>6.7</v>
      </c>
      <c r="E6" s="932">
        <v>25003.0</v>
      </c>
      <c r="F6" s="933">
        <f t="shared" si="1"/>
        <v>27788.4443</v>
      </c>
      <c r="G6" s="934">
        <v>166.69</v>
      </c>
      <c r="H6" s="949">
        <f>IFERROR(__xludf.DUMMYFUNCTION("GOOGLEFINANCE(C6,""changepct"")"),0.0)</f>
        <v>0</v>
      </c>
      <c r="I6" s="936">
        <f>IFERROR(__xludf.DUMMYFUNCTION("GOOGLEFINANCE(C6,""price"")"),185.26)</f>
        <v>185.26</v>
      </c>
      <c r="J6" s="936">
        <f t="shared" si="2"/>
        <v>18.57</v>
      </c>
      <c r="K6" s="937">
        <f t="shared" si="3"/>
        <v>0.1114044034</v>
      </c>
      <c r="L6" s="933">
        <f t="shared" si="4"/>
        <v>2785.444298</v>
      </c>
      <c r="M6" s="950" t="s">
        <v>128</v>
      </c>
      <c r="N6" s="788"/>
      <c r="O6" s="736" t="s">
        <v>1100</v>
      </c>
      <c r="P6" s="946">
        <v>43605.0</v>
      </c>
      <c r="Q6" s="797" t="s">
        <v>530</v>
      </c>
      <c r="R6" s="787">
        <v>8.2</v>
      </c>
      <c r="S6" s="787" t="s">
        <v>34</v>
      </c>
      <c r="T6" s="790">
        <v>118.71</v>
      </c>
      <c r="U6" s="1095">
        <f>IFERROR(__xludf.DUMMYFUNCTION("GOOGLEFINANCE(S6,""price"")"),84.05)</f>
        <v>84.05</v>
      </c>
      <c r="V6" s="790">
        <v>9496.0</v>
      </c>
      <c r="W6" s="807">
        <f>V6+X6</f>
        <v>6723.433578</v>
      </c>
      <c r="X6" s="790">
        <f>V6*Y6</f>
        <v>-2772.566422</v>
      </c>
      <c r="Y6" s="856">
        <f>U6/T6-1</f>
        <v>-0.2919720327</v>
      </c>
      <c r="Z6" s="787" t="s">
        <v>128</v>
      </c>
      <c r="AA6" s="788" t="s">
        <v>128</v>
      </c>
    </row>
    <row r="7">
      <c r="A7" s="916"/>
      <c r="B7" s="820" t="s">
        <v>337</v>
      </c>
      <c r="C7" s="950" t="s">
        <v>338</v>
      </c>
      <c r="D7" s="931">
        <v>6.3</v>
      </c>
      <c r="E7" s="932">
        <v>26850.0</v>
      </c>
      <c r="F7" s="933">
        <f t="shared" si="1"/>
        <v>9910</v>
      </c>
      <c r="G7" s="934">
        <v>53.7</v>
      </c>
      <c r="H7" s="949">
        <f>IFERROR(__xludf.DUMMYFUNCTION("GOOGLEFINANCE(C7,""changepct"")"),-2.36)</f>
        <v>-2.36</v>
      </c>
      <c r="I7" s="936">
        <f>IFERROR(__xludf.DUMMYFUNCTION("GOOGLEFINANCE(C7,""price"")"),19.82)</f>
        <v>19.82</v>
      </c>
      <c r="J7" s="936">
        <f t="shared" si="2"/>
        <v>-33.88</v>
      </c>
      <c r="K7" s="937">
        <f t="shared" si="3"/>
        <v>-0.6309124767</v>
      </c>
      <c r="L7" s="933">
        <f t="shared" si="4"/>
        <v>-16940</v>
      </c>
      <c r="M7" s="938">
        <v>0.0264</v>
      </c>
      <c r="N7" s="788">
        <v>159.0</v>
      </c>
      <c r="O7" s="989"/>
      <c r="P7" s="946"/>
      <c r="Q7" s="797"/>
      <c r="R7" s="787"/>
      <c r="S7" s="787"/>
      <c r="T7" s="790"/>
      <c r="U7" s="792"/>
      <c r="V7" s="790"/>
      <c r="W7" s="800"/>
      <c r="X7" s="807"/>
      <c r="Y7" s="856"/>
      <c r="Z7" s="787"/>
      <c r="AA7" s="805"/>
    </row>
    <row r="8">
      <c r="A8" s="969"/>
      <c r="B8" s="965" t="s">
        <v>380</v>
      </c>
      <c r="C8" s="931" t="s">
        <v>53</v>
      </c>
      <c r="D8" s="931">
        <v>6.9</v>
      </c>
      <c r="E8" s="932">
        <v>35912.0</v>
      </c>
      <c r="F8" s="933">
        <f t="shared" si="1"/>
        <v>27498</v>
      </c>
      <c r="G8" s="934">
        <v>179.56</v>
      </c>
      <c r="H8" s="949">
        <f>IFERROR(__xludf.DUMMYFUNCTION("GOOGLEFINANCE(C8,""changepct"")"),0.35)</f>
        <v>0.35</v>
      </c>
      <c r="I8" s="936">
        <f>IFERROR(__xludf.DUMMYFUNCTION("GOOGLEFINANCE(C8,""price"")"),137.49)</f>
        <v>137.49</v>
      </c>
      <c r="J8" s="936">
        <f t="shared" si="2"/>
        <v>-42.07</v>
      </c>
      <c r="K8" s="937">
        <f t="shared" si="3"/>
        <v>-0.2342949432</v>
      </c>
      <c r="L8" s="933">
        <f t="shared" si="4"/>
        <v>-8414</v>
      </c>
      <c r="M8" s="931" t="s">
        <v>128</v>
      </c>
      <c r="N8" s="805"/>
      <c r="O8" s="989"/>
      <c r="P8" s="946"/>
      <c r="Q8" s="797"/>
      <c r="R8" s="787"/>
      <c r="S8" s="787"/>
      <c r="T8" s="790"/>
      <c r="U8" s="792"/>
      <c r="V8" s="790"/>
      <c r="W8" s="800"/>
      <c r="X8" s="807"/>
      <c r="Y8" s="856"/>
      <c r="Z8" s="787"/>
      <c r="AA8" s="805"/>
    </row>
    <row r="9">
      <c r="A9" s="916"/>
      <c r="B9" s="820" t="s">
        <v>648</v>
      </c>
      <c r="C9" s="950" t="s">
        <v>36</v>
      </c>
      <c r="D9" s="931">
        <v>6.1</v>
      </c>
      <c r="E9" s="932">
        <v>48695.0</v>
      </c>
      <c r="F9" s="933">
        <f t="shared" si="1"/>
        <v>72628.38544</v>
      </c>
      <c r="G9" s="934">
        <v>279.86</v>
      </c>
      <c r="H9" s="949">
        <f>IFERROR(__xludf.DUMMYFUNCTION("GOOGLEFINANCE(C9,""changepct"")"),-3.3)</f>
        <v>-3.3</v>
      </c>
      <c r="I9" s="936">
        <f>IFERROR(__xludf.DUMMYFUNCTION("GOOGLEFINANCE(C9,""price"")"),417.41)</f>
        <v>417.41</v>
      </c>
      <c r="J9" s="936">
        <f t="shared" si="2"/>
        <v>137.55</v>
      </c>
      <c r="K9" s="937">
        <f t="shared" si="3"/>
        <v>0.4914957479</v>
      </c>
      <c r="L9" s="933">
        <f t="shared" si="4"/>
        <v>23933.38544</v>
      </c>
      <c r="M9" s="950" t="s">
        <v>128</v>
      </c>
      <c r="N9" s="805"/>
      <c r="O9" s="989"/>
      <c r="P9" s="946"/>
      <c r="Q9" s="797"/>
      <c r="R9" s="787"/>
      <c r="S9" s="787"/>
      <c r="T9" s="790"/>
      <c r="U9" s="792"/>
      <c r="V9" s="790"/>
      <c r="W9" s="800"/>
      <c r="X9" s="807"/>
      <c r="Y9" s="856"/>
      <c r="Z9" s="787"/>
      <c r="AA9" s="805"/>
    </row>
    <row r="10">
      <c r="A10" s="969"/>
      <c r="B10" s="820" t="s">
        <v>749</v>
      </c>
      <c r="C10" s="950" t="s">
        <v>582</v>
      </c>
      <c r="D10" s="931">
        <v>6.4</v>
      </c>
      <c r="E10" s="932">
        <v>32090.0</v>
      </c>
      <c r="F10" s="933">
        <f t="shared" si="1"/>
        <v>81037.68987</v>
      </c>
      <c r="G10" s="934">
        <v>356.56</v>
      </c>
      <c r="H10" s="935">
        <f>IFERROR(__xludf.DUMMYFUNCTION("GOOGLEFINANCE(C10,""changepct"")"),-0.78)</f>
        <v>-0.78</v>
      </c>
      <c r="I10" s="936">
        <f>IFERROR(__xludf.DUMMYFUNCTION("GOOGLEFINANCE(C10,""price"")"),900.43)</f>
        <v>900.43</v>
      </c>
      <c r="J10" s="936">
        <f t="shared" si="2"/>
        <v>543.87</v>
      </c>
      <c r="K10" s="937">
        <f t="shared" si="3"/>
        <v>1.525325331</v>
      </c>
      <c r="L10" s="933">
        <f t="shared" si="4"/>
        <v>48947.68987</v>
      </c>
      <c r="M10" s="950" t="s">
        <v>128</v>
      </c>
      <c r="N10" s="805"/>
      <c r="O10" s="989"/>
      <c r="P10" s="800"/>
      <c r="Q10" s="800"/>
      <c r="R10" s="800"/>
      <c r="S10" s="800"/>
      <c r="T10" s="807"/>
      <c r="U10" s="792"/>
      <c r="V10" s="807"/>
      <c r="W10" s="800"/>
      <c r="X10" s="841"/>
      <c r="Y10" s="856"/>
      <c r="Z10" s="800"/>
      <c r="AA10" s="805"/>
    </row>
    <row r="11">
      <c r="A11" s="916"/>
      <c r="B11" s="820" t="s">
        <v>344</v>
      </c>
      <c r="C11" s="931" t="s">
        <v>345</v>
      </c>
      <c r="D11" s="931">
        <v>6.7</v>
      </c>
      <c r="E11" s="932">
        <v>22990.0</v>
      </c>
      <c r="F11" s="933">
        <f t="shared" si="1"/>
        <v>26615</v>
      </c>
      <c r="G11" s="934">
        <v>45.98</v>
      </c>
      <c r="H11" s="935">
        <f>IFERROR(__xludf.DUMMYFUNCTION("GOOGLEFINANCE(C11,""changepct"")"),-0.69)</f>
        <v>-0.69</v>
      </c>
      <c r="I11" s="936">
        <f>IFERROR(__xludf.DUMMYFUNCTION("GOOGLEFINANCE(C11,""price"")"),53.23)</f>
        <v>53.23</v>
      </c>
      <c r="J11" s="936">
        <f t="shared" si="2"/>
        <v>7.25</v>
      </c>
      <c r="K11" s="937">
        <f t="shared" si="3"/>
        <v>0.157677251</v>
      </c>
      <c r="L11" s="933">
        <f t="shared" si="4"/>
        <v>3625</v>
      </c>
      <c r="M11" s="950" t="s">
        <v>128</v>
      </c>
      <c r="N11" s="805"/>
      <c r="O11" s="989"/>
      <c r="P11" s="800"/>
      <c r="Q11" s="800"/>
      <c r="R11" s="800"/>
      <c r="S11" s="800"/>
      <c r="T11" s="807"/>
      <c r="U11" s="807"/>
      <c r="V11" s="807"/>
      <c r="W11" s="800"/>
      <c r="X11" s="841"/>
      <c r="Y11" s="856"/>
      <c r="Z11" s="800"/>
      <c r="AA11" s="805"/>
    </row>
    <row r="12">
      <c r="A12" s="969"/>
      <c r="B12" s="965" t="s">
        <v>898</v>
      </c>
      <c r="C12" s="931" t="s">
        <v>899</v>
      </c>
      <c r="D12" s="931">
        <v>6.5</v>
      </c>
      <c r="E12" s="932">
        <v>27205.0</v>
      </c>
      <c r="F12" s="933" t="str">
        <f t="shared" si="1"/>
        <v>#N/A</v>
      </c>
      <c r="G12" s="934">
        <v>54.41</v>
      </c>
      <c r="H12" s="935" t="str">
        <f>IFERROR(__xludf.DUMMYFUNCTION("GOOGLEFINANCE(C12,""changepct"")"),"#N/A")</f>
        <v>#N/A</v>
      </c>
      <c r="I12" s="936" t="str">
        <f>IFERROR(__xludf.DUMMYFUNCTION("GOOGLEFINANCE(C12,""price"")"),"#N/A")</f>
        <v>#N/A</v>
      </c>
      <c r="J12" s="936" t="str">
        <f t="shared" si="2"/>
        <v>#N/A</v>
      </c>
      <c r="K12" s="937" t="str">
        <f t="shared" si="3"/>
        <v>#N/A</v>
      </c>
      <c r="L12" s="933" t="str">
        <f t="shared" si="4"/>
        <v>#N/A</v>
      </c>
      <c r="M12" s="931" t="s">
        <v>128</v>
      </c>
      <c r="N12" s="805"/>
      <c r="O12" s="989"/>
      <c r="P12" s="800"/>
      <c r="Q12" s="800"/>
      <c r="R12" s="800"/>
      <c r="S12" s="800"/>
      <c r="T12" s="807"/>
      <c r="U12" s="807"/>
      <c r="V12" s="807"/>
      <c r="W12" s="800"/>
      <c r="X12" s="841"/>
      <c r="Y12" s="856"/>
      <c r="Z12" s="800"/>
      <c r="AA12" s="805"/>
    </row>
    <row r="13">
      <c r="A13" s="916"/>
      <c r="B13" s="965" t="s">
        <v>846</v>
      </c>
      <c r="C13" s="931" t="s">
        <v>652</v>
      </c>
      <c r="D13" s="931">
        <v>7.2</v>
      </c>
      <c r="E13" s="932">
        <v>28480.0</v>
      </c>
      <c r="F13" s="933">
        <f t="shared" si="1"/>
        <v>77920</v>
      </c>
      <c r="G13" s="934">
        <v>3.56</v>
      </c>
      <c r="H13" s="935">
        <f>IFERROR(__xludf.DUMMYFUNCTION("GOOGLEFINANCE(C13,""changepct"")"),13.39)</f>
        <v>13.39</v>
      </c>
      <c r="I13" s="936">
        <f>IFERROR(__xludf.DUMMYFUNCTION("GOOGLEFINANCE(C13,""price"")"),9.74)</f>
        <v>9.74</v>
      </c>
      <c r="J13" s="936">
        <f t="shared" si="2"/>
        <v>6.18</v>
      </c>
      <c r="K13" s="937">
        <f t="shared" si="3"/>
        <v>1.735955056</v>
      </c>
      <c r="L13" s="933">
        <f t="shared" si="4"/>
        <v>49440</v>
      </c>
      <c r="M13" s="931" t="s">
        <v>128</v>
      </c>
      <c r="N13" s="805"/>
    </row>
    <row r="14">
      <c r="A14" s="969"/>
      <c r="B14" s="820" t="s">
        <v>530</v>
      </c>
      <c r="C14" s="950" t="s">
        <v>34</v>
      </c>
      <c r="D14" s="931">
        <v>7.1</v>
      </c>
      <c r="E14" s="932">
        <v>32970.0</v>
      </c>
      <c r="F14" s="933">
        <f t="shared" si="1"/>
        <v>16810</v>
      </c>
      <c r="G14" s="934">
        <v>164.85</v>
      </c>
      <c r="H14" s="949">
        <f>IFERROR(__xludf.DUMMYFUNCTION("GOOGLEFINANCE(C14,""changepct"")"),-2.94)</f>
        <v>-2.94</v>
      </c>
      <c r="I14" s="936">
        <f>IFERROR(__xludf.DUMMYFUNCTION("GOOGLEFINANCE(C14,""price"")"),84.05)</f>
        <v>84.05</v>
      </c>
      <c r="J14" s="936">
        <f t="shared" si="2"/>
        <v>-80.8</v>
      </c>
      <c r="K14" s="937">
        <f t="shared" si="3"/>
        <v>-0.4901425538</v>
      </c>
      <c r="L14" s="933">
        <f t="shared" si="4"/>
        <v>-16160</v>
      </c>
      <c r="M14" s="950" t="s">
        <v>128</v>
      </c>
      <c r="N14" s="805"/>
    </row>
    <row r="15">
      <c r="A15" s="968" t="s">
        <v>89</v>
      </c>
      <c r="B15" s="969"/>
      <c r="C15" s="969"/>
      <c r="D15" s="969"/>
      <c r="E15" s="970">
        <f t="shared" ref="E15:F15" si="9">SUM(E2:E14)</f>
        <v>447490.9</v>
      </c>
      <c r="F15" s="970" t="str">
        <f t="shared" si="9"/>
        <v>#N/A</v>
      </c>
      <c r="G15" s="969"/>
      <c r="H15" s="971"/>
      <c r="I15" s="969"/>
      <c r="J15" s="969"/>
      <c r="K15" s="972" t="str">
        <f>L15/E15</f>
        <v>#N/A</v>
      </c>
      <c r="L15" s="970" t="str">
        <f>SUM(L2:L14)</f>
        <v>#N/A</v>
      </c>
      <c r="M15" s="969"/>
      <c r="N15" s="973">
        <f>SUM(N2:N14)</f>
        <v>562</v>
      </c>
    </row>
    <row r="16">
      <c r="A16" s="925" t="s">
        <v>1101</v>
      </c>
      <c r="B16" s="924" t="s">
        <v>3</v>
      </c>
      <c r="C16" s="924" t="s">
        <v>1010</v>
      </c>
      <c r="D16" s="1103" t="s">
        <v>1089</v>
      </c>
      <c r="E16" s="926" t="s">
        <v>1090</v>
      </c>
      <c r="F16" s="927" t="s">
        <v>1012</v>
      </c>
      <c r="G16" s="927" t="s">
        <v>1091</v>
      </c>
      <c r="H16" s="928" t="s">
        <v>10</v>
      </c>
      <c r="I16" s="924" t="s">
        <v>1014</v>
      </c>
      <c r="J16" s="924" t="s">
        <v>1015</v>
      </c>
      <c r="K16" s="924" t="s">
        <v>1092</v>
      </c>
      <c r="L16" s="924" t="s">
        <v>15</v>
      </c>
      <c r="M16" s="925" t="s">
        <v>1093</v>
      </c>
      <c r="N16" s="929" t="s">
        <v>17</v>
      </c>
    </row>
    <row r="17">
      <c r="A17" s="1" t="s">
        <v>1099</v>
      </c>
      <c r="B17" s="820" t="s">
        <v>773</v>
      </c>
      <c r="C17" s="950" t="s">
        <v>774</v>
      </c>
      <c r="D17" s="931">
        <v>8.8</v>
      </c>
      <c r="E17" s="932">
        <v>70900.0</v>
      </c>
      <c r="F17" s="933">
        <f t="shared" ref="F17:F21" si="10">E17+L17</f>
        <v>132150</v>
      </c>
      <c r="G17" s="975">
        <v>14.18</v>
      </c>
      <c r="H17" s="935">
        <f>IFERROR(__xludf.DUMMYFUNCTION("GOOGLEFINANCE(C17,""changepct"")"),-1.23)</f>
        <v>-1.23</v>
      </c>
      <c r="I17" s="936">
        <f>IFERROR(__xludf.DUMMYFUNCTION("googlefinance(C17,""price"")"),26.43)</f>
        <v>26.43</v>
      </c>
      <c r="J17" s="936">
        <f t="shared" ref="J17:J21" si="11">(I17-G17)</f>
        <v>12.25</v>
      </c>
      <c r="K17" s="976">
        <f t="shared" ref="K17:K21" si="12">(I17/G17-1)</f>
        <v>0.8638928068</v>
      </c>
      <c r="L17" s="933">
        <f t="shared" ref="L17:L21" si="13">(E17*K17)</f>
        <v>61250</v>
      </c>
      <c r="M17" s="950" t="s">
        <v>128</v>
      </c>
      <c r="N17" s="805"/>
    </row>
    <row r="18">
      <c r="A18" s="1097" t="str">
        <f>(F22)/G64</f>
        <v>#N/A</v>
      </c>
      <c r="B18" s="820" t="s">
        <v>170</v>
      </c>
      <c r="C18" s="950" t="s">
        <v>169</v>
      </c>
      <c r="D18" s="931">
        <v>7.9</v>
      </c>
      <c r="E18" s="932">
        <v>53655.0</v>
      </c>
      <c r="F18" s="933">
        <f t="shared" si="10"/>
        <v>55500</v>
      </c>
      <c r="G18" s="975">
        <v>35.77</v>
      </c>
      <c r="H18" s="935">
        <f>IFERROR(__xludf.DUMMYFUNCTION("GOOGLEFINANCE(C18,""changepct"")"),-2.22)</f>
        <v>-2.22</v>
      </c>
      <c r="I18" s="936">
        <f>IFERROR(__xludf.DUMMYFUNCTION("googlefinance(C18,""price"")"),37.0)</f>
        <v>37</v>
      </c>
      <c r="J18" s="936">
        <f t="shared" si="11"/>
        <v>1.23</v>
      </c>
      <c r="K18" s="976">
        <f t="shared" si="12"/>
        <v>0.03438635728</v>
      </c>
      <c r="L18" s="933">
        <f t="shared" si="13"/>
        <v>1845</v>
      </c>
      <c r="M18" s="938">
        <v>0.0164</v>
      </c>
      <c r="N18" s="788">
        <v>237.0</v>
      </c>
    </row>
    <row r="19">
      <c r="A19" s="1" t="s">
        <v>1059</v>
      </c>
      <c r="B19" s="820" t="s">
        <v>1035</v>
      </c>
      <c r="C19" s="950" t="s">
        <v>158</v>
      </c>
      <c r="D19" s="931">
        <v>8.2</v>
      </c>
      <c r="E19" s="932">
        <v>56050.0</v>
      </c>
      <c r="F19" s="933">
        <f t="shared" si="10"/>
        <v>84425</v>
      </c>
      <c r="G19" s="975">
        <v>22.42</v>
      </c>
      <c r="H19" s="935">
        <f>IFERROR(__xludf.DUMMYFUNCTION("GOOGLEFINANCE(C19,""changepct"")"),-1.43)</f>
        <v>-1.43</v>
      </c>
      <c r="I19" s="936">
        <f>IFERROR(__xludf.DUMMYFUNCTION("googlefinance(C19,""price"")"),33.77)</f>
        <v>33.77</v>
      </c>
      <c r="J19" s="936">
        <f t="shared" si="11"/>
        <v>11.35</v>
      </c>
      <c r="K19" s="976">
        <f t="shared" si="12"/>
        <v>0.5062444246</v>
      </c>
      <c r="L19" s="933">
        <f t="shared" si="13"/>
        <v>28375</v>
      </c>
      <c r="M19" s="938">
        <v>0.0092</v>
      </c>
      <c r="N19" s="788">
        <v>147.0</v>
      </c>
    </row>
    <row r="20">
      <c r="A20" s="1099" t="str">
        <f>F22</f>
        <v>#N/A</v>
      </c>
      <c r="B20" s="820" t="s">
        <v>1036</v>
      </c>
      <c r="C20" s="950" t="s">
        <v>161</v>
      </c>
      <c r="D20" s="931">
        <v>8.1</v>
      </c>
      <c r="E20" s="932">
        <v>57114.0</v>
      </c>
      <c r="F20" s="933">
        <f t="shared" si="10"/>
        <v>76176</v>
      </c>
      <c r="G20" s="975">
        <v>31.73</v>
      </c>
      <c r="H20" s="935">
        <f>IFERROR(__xludf.DUMMYFUNCTION("GOOGLEFINANCE(C20,""changepct"")"),-1.7)</f>
        <v>-1.7</v>
      </c>
      <c r="I20" s="936">
        <f>IFERROR(__xludf.DUMMYFUNCTION("googlefinance(C20,""price"")"),42.32)</f>
        <v>42.32</v>
      </c>
      <c r="J20" s="936">
        <f t="shared" si="11"/>
        <v>10.59</v>
      </c>
      <c r="K20" s="976">
        <f t="shared" si="12"/>
        <v>0.3337535455</v>
      </c>
      <c r="L20" s="933">
        <f t="shared" si="13"/>
        <v>19062</v>
      </c>
      <c r="M20" s="950" t="s">
        <v>128</v>
      </c>
      <c r="N20" s="805"/>
    </row>
    <row r="21">
      <c r="A21" s="969"/>
      <c r="B21" s="820" t="s">
        <v>1032</v>
      </c>
      <c r="C21" s="950" t="s">
        <v>710</v>
      </c>
      <c r="D21" s="931">
        <v>7.7</v>
      </c>
      <c r="E21" s="932">
        <v>36492.0</v>
      </c>
      <c r="F21" s="933" t="str">
        <f t="shared" si="10"/>
        <v>#N/A</v>
      </c>
      <c r="G21" s="975">
        <v>30.41</v>
      </c>
      <c r="H21" s="935" t="str">
        <f>IFERROR(__xludf.DUMMYFUNCTION("GOOGLEFINANCE(C21,""changepct"")"),"#N/A")</f>
        <v>#N/A</v>
      </c>
      <c r="I21" s="936" t="str">
        <f>IFERROR(__xludf.DUMMYFUNCTION("googlefinance(C21,""price"")"),"#N/A")</f>
        <v>#N/A</v>
      </c>
      <c r="J21" s="936" t="str">
        <f t="shared" si="11"/>
        <v>#N/A</v>
      </c>
      <c r="K21" s="976" t="str">
        <f t="shared" si="12"/>
        <v>#N/A</v>
      </c>
      <c r="L21" s="933" t="str">
        <f t="shared" si="13"/>
        <v>#N/A</v>
      </c>
      <c r="M21" s="938">
        <v>0.005</v>
      </c>
      <c r="N21" s="788">
        <v>64.0</v>
      </c>
    </row>
    <row r="22">
      <c r="A22" s="968" t="s">
        <v>89</v>
      </c>
      <c r="B22" s="969"/>
      <c r="C22" s="969"/>
      <c r="D22" s="969"/>
      <c r="E22" s="970">
        <f t="shared" ref="E22:F22" si="14">SUM(E17:E21)</f>
        <v>274211</v>
      </c>
      <c r="F22" s="970" t="str">
        <f t="shared" si="14"/>
        <v>#N/A</v>
      </c>
      <c r="G22" s="985"/>
      <c r="H22" s="971"/>
      <c r="I22" s="985"/>
      <c r="J22" s="985"/>
      <c r="K22" s="972" t="str">
        <f>L22/E22</f>
        <v>#N/A</v>
      </c>
      <c r="L22" s="970" t="str">
        <f>SUM(L17:L21)</f>
        <v>#N/A</v>
      </c>
      <c r="M22" s="969"/>
      <c r="N22" s="973">
        <f>SUM(N17:N21)</f>
        <v>448</v>
      </c>
    </row>
    <row r="23">
      <c r="A23" s="925" t="s">
        <v>1037</v>
      </c>
      <c r="B23" s="924" t="s">
        <v>3</v>
      </c>
      <c r="C23" s="924" t="s">
        <v>1038</v>
      </c>
      <c r="D23" s="1103" t="s">
        <v>1089</v>
      </c>
      <c r="E23" s="926" t="s">
        <v>1090</v>
      </c>
      <c r="F23" s="927" t="s">
        <v>1012</v>
      </c>
      <c r="G23" s="927" t="s">
        <v>1091</v>
      </c>
      <c r="H23" s="928" t="s">
        <v>10</v>
      </c>
      <c r="I23" s="924" t="s">
        <v>1014</v>
      </c>
      <c r="J23" s="924" t="s">
        <v>1015</v>
      </c>
      <c r="K23" s="924" t="s">
        <v>1092</v>
      </c>
      <c r="L23" s="924" t="s">
        <v>15</v>
      </c>
      <c r="M23" s="925" t="s">
        <v>1093</v>
      </c>
      <c r="N23" s="929" t="s">
        <v>17</v>
      </c>
    </row>
    <row r="24">
      <c r="A24" s="1" t="s">
        <v>1099</v>
      </c>
      <c r="B24" s="965" t="s">
        <v>1102</v>
      </c>
      <c r="C24" s="950" t="s">
        <v>1103</v>
      </c>
      <c r="D24" s="931">
        <v>7.8</v>
      </c>
      <c r="E24" s="932">
        <v>41620.0</v>
      </c>
      <c r="F24" s="933">
        <f t="shared" ref="F24:F28" si="15">E24+L24</f>
        <v>66836</v>
      </c>
      <c r="G24" s="975">
        <v>104.05</v>
      </c>
      <c r="H24" s="935">
        <f>IFERROR(__xludf.DUMMYFUNCTION("GOOGLEFINANCE(C24,""changepct"")"),-1.44)</f>
        <v>-1.44</v>
      </c>
      <c r="I24" s="936">
        <f>IFERROR(__xludf.DUMMYFUNCTION("googlefinance(C24,""price"")"),167.09)</f>
        <v>167.09</v>
      </c>
      <c r="J24" s="936">
        <f t="shared" ref="J24:J28" si="16">(I24-G24)</f>
        <v>63.04</v>
      </c>
      <c r="K24" s="976">
        <f t="shared" ref="K24:K28" si="17">(I24/G24-1)</f>
        <v>0.6058625661</v>
      </c>
      <c r="L24" s="933">
        <f t="shared" ref="L24:L28" si="18">(E24*K24)</f>
        <v>25216</v>
      </c>
      <c r="M24" s="938">
        <v>0.0315</v>
      </c>
      <c r="N24" s="788">
        <v>345.0</v>
      </c>
    </row>
    <row r="25">
      <c r="A25" s="1097">
        <f>F29/G64</f>
        <v>0.1225662991</v>
      </c>
      <c r="B25" s="820" t="s">
        <v>606</v>
      </c>
      <c r="C25" s="950" t="s">
        <v>607</v>
      </c>
      <c r="D25" s="931">
        <v>6.9</v>
      </c>
      <c r="E25" s="932">
        <v>31050.0</v>
      </c>
      <c r="F25" s="933">
        <f t="shared" si="15"/>
        <v>38022</v>
      </c>
      <c r="G25" s="975">
        <v>51.75</v>
      </c>
      <c r="H25" s="935">
        <f>IFERROR(__xludf.DUMMYFUNCTION("GOOGLEFINANCE(C25,""changepct"")"),-0.91)</f>
        <v>-0.91</v>
      </c>
      <c r="I25" s="936">
        <f>IFERROR(__xludf.DUMMYFUNCTION("googlefinance(C25,""price"")"),63.37)</f>
        <v>63.37</v>
      </c>
      <c r="J25" s="936">
        <f t="shared" si="16"/>
        <v>11.62</v>
      </c>
      <c r="K25" s="937">
        <f t="shared" si="17"/>
        <v>0.2245410628</v>
      </c>
      <c r="L25" s="933">
        <f t="shared" si="18"/>
        <v>6972</v>
      </c>
      <c r="M25" s="938">
        <v>0.0502</v>
      </c>
      <c r="N25" s="788">
        <v>394.0</v>
      </c>
    </row>
    <row r="26">
      <c r="A26" s="1" t="s">
        <v>1046</v>
      </c>
      <c r="B26" s="820" t="s">
        <v>483</v>
      </c>
      <c r="C26" s="950" t="s">
        <v>484</v>
      </c>
      <c r="D26" s="931">
        <v>6.8</v>
      </c>
      <c r="E26" s="932">
        <v>47040.0</v>
      </c>
      <c r="F26" s="933">
        <f t="shared" si="15"/>
        <v>33915</v>
      </c>
      <c r="G26" s="975">
        <v>31.36</v>
      </c>
      <c r="H26" s="935">
        <f>IFERROR(__xludf.DUMMYFUNCTION("GOOGLEFINANCE(C26,""changepct"")"),-1.09)</f>
        <v>-1.09</v>
      </c>
      <c r="I26" s="936">
        <f>IFERROR(__xludf.DUMMYFUNCTION("googlefinance(C26,""price"")"),22.61)</f>
        <v>22.61</v>
      </c>
      <c r="J26" s="936">
        <f t="shared" si="16"/>
        <v>-8.75</v>
      </c>
      <c r="K26" s="937">
        <f t="shared" si="17"/>
        <v>-0.2790178571</v>
      </c>
      <c r="L26" s="933">
        <f t="shared" si="18"/>
        <v>-13125</v>
      </c>
      <c r="M26" s="938">
        <v>0.0712</v>
      </c>
      <c r="N26" s="788">
        <v>894.0</v>
      </c>
    </row>
    <row r="27">
      <c r="A27" s="1099">
        <f>F29</f>
        <v>231779</v>
      </c>
      <c r="B27" s="820" t="s">
        <v>604</v>
      </c>
      <c r="C27" s="950" t="s">
        <v>605</v>
      </c>
      <c r="D27" s="931">
        <v>6.4</v>
      </c>
      <c r="E27" s="932">
        <v>39180.0</v>
      </c>
      <c r="F27" s="933">
        <f t="shared" si="15"/>
        <v>36432</v>
      </c>
      <c r="G27" s="975">
        <v>32.65</v>
      </c>
      <c r="H27" s="949">
        <f>IFERROR(__xludf.DUMMYFUNCTION("GOOGLEFINANCE(C27,""changepct"")"),-1.04)</f>
        <v>-1.04</v>
      </c>
      <c r="I27" s="936">
        <f>IFERROR(__xludf.DUMMYFUNCTION("googlefinance(C27,""price"")"),30.36)</f>
        <v>30.36</v>
      </c>
      <c r="J27" s="936">
        <f t="shared" si="16"/>
        <v>-2.29</v>
      </c>
      <c r="K27" s="937">
        <f t="shared" si="17"/>
        <v>-0.07013782542</v>
      </c>
      <c r="L27" s="933">
        <f t="shared" si="18"/>
        <v>-2748</v>
      </c>
      <c r="M27" s="991">
        <v>0.0766</v>
      </c>
      <c r="N27" s="788">
        <v>713.0</v>
      </c>
    </row>
    <row r="28">
      <c r="A28" s="969"/>
      <c r="B28" s="965" t="s">
        <v>608</v>
      </c>
      <c r="C28" s="950" t="s">
        <v>1039</v>
      </c>
      <c r="D28" s="931">
        <v>6.3</v>
      </c>
      <c r="E28" s="932">
        <v>40166.0</v>
      </c>
      <c r="F28" s="933">
        <f t="shared" si="15"/>
        <v>56574</v>
      </c>
      <c r="G28" s="975">
        <v>57.38</v>
      </c>
      <c r="H28" s="949">
        <f>IFERROR(__xludf.DUMMYFUNCTION("GOOGLEFINANCE(C28,""changepct"")"),-0.43)</f>
        <v>-0.43</v>
      </c>
      <c r="I28" s="936">
        <f>IFERROR(__xludf.DUMMYFUNCTION("googlefinance(C28,""price"")"),80.82)</f>
        <v>80.82</v>
      </c>
      <c r="J28" s="936">
        <f t="shared" si="16"/>
        <v>23.44</v>
      </c>
      <c r="K28" s="937">
        <f t="shared" si="17"/>
        <v>0.4085047055</v>
      </c>
      <c r="L28" s="933">
        <f t="shared" si="18"/>
        <v>16408</v>
      </c>
      <c r="M28" s="938">
        <v>0.039</v>
      </c>
      <c r="N28" s="788">
        <v>366.0</v>
      </c>
    </row>
    <row r="29">
      <c r="A29" s="968" t="s">
        <v>89</v>
      </c>
      <c r="B29" s="969"/>
      <c r="C29" s="969"/>
      <c r="D29" s="969"/>
      <c r="E29" s="970">
        <f t="shared" ref="E29:F29" si="19">SUM(E24:E28)</f>
        <v>199056</v>
      </c>
      <c r="F29" s="970">
        <f t="shared" si="19"/>
        <v>231779</v>
      </c>
      <c r="G29" s="985"/>
      <c r="H29" s="971"/>
      <c r="I29" s="985"/>
      <c r="J29" s="985"/>
      <c r="K29" s="972">
        <f>L29/E29</f>
        <v>0.1643909252</v>
      </c>
      <c r="L29" s="970">
        <f>SUM(L24:L28)</f>
        <v>32723</v>
      </c>
      <c r="M29" s="969"/>
      <c r="N29" s="973">
        <f>SUM(N24:N28)</f>
        <v>2712</v>
      </c>
    </row>
    <row r="30">
      <c r="A30" s="925" t="s">
        <v>614</v>
      </c>
      <c r="B30" s="924" t="s">
        <v>3</v>
      </c>
      <c r="C30" s="924" t="s">
        <v>1038</v>
      </c>
      <c r="D30" s="1103" t="s">
        <v>1089</v>
      </c>
      <c r="E30" s="926" t="s">
        <v>1090</v>
      </c>
      <c r="F30" s="927" t="s">
        <v>1012</v>
      </c>
      <c r="G30" s="927" t="s">
        <v>1091</v>
      </c>
      <c r="H30" s="928" t="s">
        <v>10</v>
      </c>
      <c r="I30" s="924" t="s">
        <v>1014</v>
      </c>
      <c r="J30" s="924" t="s">
        <v>1015</v>
      </c>
      <c r="K30" s="924" t="s">
        <v>1092</v>
      </c>
      <c r="L30" s="924" t="s">
        <v>15</v>
      </c>
      <c r="M30" s="925" t="s">
        <v>1093</v>
      </c>
      <c r="N30" s="929" t="s">
        <v>17</v>
      </c>
    </row>
    <row r="31">
      <c r="A31" s="1" t="s">
        <v>1099</v>
      </c>
      <c r="B31" s="820" t="s">
        <v>615</v>
      </c>
      <c r="C31" s="950" t="s">
        <v>616</v>
      </c>
      <c r="D31" s="931">
        <v>8.1</v>
      </c>
      <c r="E31" s="932">
        <v>30369.0</v>
      </c>
      <c r="F31" s="933">
        <f t="shared" ref="F31:F37" si="20">E31+L31</f>
        <v>71796</v>
      </c>
      <c r="G31" s="975">
        <v>101.23</v>
      </c>
      <c r="H31" s="935">
        <f>IFERROR(__xludf.DUMMYFUNCTION("GOOGLEFINANCE(C31,""changepct"")"),-0.77)</f>
        <v>-0.77</v>
      </c>
      <c r="I31" s="936">
        <f>IFERROR(__xludf.DUMMYFUNCTION("googlefinance(C31,""price"")"),239.32)</f>
        <v>239.32</v>
      </c>
      <c r="J31" s="936">
        <f t="shared" ref="J31:J37" si="21">(I31-G31)</f>
        <v>138.09</v>
      </c>
      <c r="K31" s="937">
        <f t="shared" ref="K31:K37" si="22">(I31/G31-1)</f>
        <v>1.364121308</v>
      </c>
      <c r="L31" s="933">
        <f t="shared" ref="L31:L37" si="23">(E31*K31)</f>
        <v>41427</v>
      </c>
      <c r="M31" s="938">
        <v>0.0332</v>
      </c>
      <c r="N31" s="788">
        <v>278.0</v>
      </c>
    </row>
    <row r="32">
      <c r="A32" s="1097" t="str">
        <f>(F38)/G64</f>
        <v>#N/A</v>
      </c>
      <c r="B32" s="820" t="s">
        <v>539</v>
      </c>
      <c r="C32" s="950" t="s">
        <v>540</v>
      </c>
      <c r="D32" s="931">
        <v>8.2</v>
      </c>
      <c r="E32" s="932">
        <v>38398.0</v>
      </c>
      <c r="F32" s="933">
        <f t="shared" si="20"/>
        <v>114704.0255</v>
      </c>
      <c r="G32" s="975">
        <v>192.0</v>
      </c>
      <c r="H32" s="935">
        <f>IFERROR(__xludf.DUMMYFUNCTION("GOOGLEFINANCE(C32,""changepct"")"),-0.46)</f>
        <v>-0.46</v>
      </c>
      <c r="I32" s="936">
        <f>IFERROR(__xludf.DUMMYFUNCTION("googlefinance(C32,""price"")"),573.55)</f>
        <v>573.55</v>
      </c>
      <c r="J32" s="936">
        <f t="shared" si="21"/>
        <v>381.55</v>
      </c>
      <c r="K32" s="937">
        <f t="shared" si="22"/>
        <v>1.987239583</v>
      </c>
      <c r="L32" s="933">
        <f t="shared" si="23"/>
        <v>76306.02552</v>
      </c>
      <c r="M32" s="938">
        <v>0.019</v>
      </c>
      <c r="N32" s="788">
        <v>194.0</v>
      </c>
    </row>
    <row r="33">
      <c r="A33" s="1" t="s">
        <v>1046</v>
      </c>
      <c r="B33" s="820" t="s">
        <v>456</v>
      </c>
      <c r="C33" s="950" t="s">
        <v>457</v>
      </c>
      <c r="D33" s="931">
        <v>7.9</v>
      </c>
      <c r="E33" s="932">
        <v>31500.0</v>
      </c>
      <c r="F33" s="933">
        <f t="shared" si="20"/>
        <v>34220</v>
      </c>
      <c r="G33" s="975">
        <v>15.75</v>
      </c>
      <c r="H33" s="935">
        <f>IFERROR(__xludf.DUMMYFUNCTION("GOOGLEFINANCE(C33,""changepct"")"),-0.52)</f>
        <v>-0.52</v>
      </c>
      <c r="I33" s="936">
        <f>IFERROR(__xludf.DUMMYFUNCTION("googlefinance(C33,""price"")"),17.11)</f>
        <v>17.11</v>
      </c>
      <c r="J33" s="936">
        <f t="shared" si="21"/>
        <v>1.36</v>
      </c>
      <c r="K33" s="937">
        <f t="shared" si="22"/>
        <v>0.08634920635</v>
      </c>
      <c r="L33" s="933">
        <f t="shared" si="23"/>
        <v>2720</v>
      </c>
      <c r="M33" s="938">
        <v>0.0474</v>
      </c>
      <c r="N33" s="788">
        <v>421.0</v>
      </c>
    </row>
    <row r="34">
      <c r="A34" s="1099" t="str">
        <f>F38</f>
        <v>#N/A</v>
      </c>
      <c r="B34" s="820" t="s">
        <v>914</v>
      </c>
      <c r="C34" s="950" t="s">
        <v>686</v>
      </c>
      <c r="D34" s="931">
        <v>7.2</v>
      </c>
      <c r="E34" s="932">
        <v>31110.0</v>
      </c>
      <c r="F34" s="933">
        <f t="shared" si="20"/>
        <v>35195</v>
      </c>
      <c r="G34" s="975">
        <v>62.22</v>
      </c>
      <c r="H34" s="935">
        <f>IFERROR(__xludf.DUMMYFUNCTION("GOOGLEFINANCE(C34,""changepct"")"),-0.86)</f>
        <v>-0.86</v>
      </c>
      <c r="I34" s="936">
        <f>IFERROR(__xludf.DUMMYFUNCTION("googlefinance(C34,""price"")"),70.39)</f>
        <v>70.39</v>
      </c>
      <c r="J34" s="936">
        <f t="shared" si="21"/>
        <v>8.17</v>
      </c>
      <c r="K34" s="937">
        <f t="shared" si="22"/>
        <v>0.131308261</v>
      </c>
      <c r="L34" s="933">
        <f t="shared" si="23"/>
        <v>4085</v>
      </c>
      <c r="M34" s="938">
        <v>0.0341</v>
      </c>
      <c r="N34" s="788">
        <v>291.0</v>
      </c>
    </row>
    <row r="35">
      <c r="A35" s="969"/>
      <c r="B35" s="965" t="s">
        <v>768</v>
      </c>
      <c r="C35" s="931" t="s">
        <v>769</v>
      </c>
      <c r="D35" s="931">
        <v>7.1</v>
      </c>
      <c r="E35" s="932">
        <v>16458.0</v>
      </c>
      <c r="F35" s="933">
        <f t="shared" si="20"/>
        <v>23153</v>
      </c>
      <c r="G35" s="975">
        <v>164.58</v>
      </c>
      <c r="H35" s="935">
        <f>IFERROR(__xludf.DUMMYFUNCTION("GOOGLEFINANCE(C35,""changepct"")"),-0.84)</f>
        <v>-0.84</v>
      </c>
      <c r="I35" s="936">
        <f>IFERROR(__xludf.DUMMYFUNCTION("googlefinance(C35,""price"")"),231.53)</f>
        <v>231.53</v>
      </c>
      <c r="J35" s="936">
        <f t="shared" si="21"/>
        <v>66.95</v>
      </c>
      <c r="K35" s="937">
        <f t="shared" si="22"/>
        <v>0.406793049</v>
      </c>
      <c r="L35" s="933">
        <f t="shared" si="23"/>
        <v>6695</v>
      </c>
      <c r="M35" s="991">
        <v>0.0152</v>
      </c>
      <c r="N35" s="788">
        <v>74.0</v>
      </c>
    </row>
    <row r="36">
      <c r="A36" s="916"/>
      <c r="B36" s="820" t="s">
        <v>822</v>
      </c>
      <c r="C36" s="950" t="s">
        <v>823</v>
      </c>
      <c r="D36" s="931">
        <v>7.5</v>
      </c>
      <c r="E36" s="932">
        <v>26360.0</v>
      </c>
      <c r="F36" s="933" t="str">
        <f t="shared" si="20"/>
        <v>#N/A</v>
      </c>
      <c r="G36" s="975">
        <v>13.18</v>
      </c>
      <c r="H36" s="935" t="str">
        <f>IFERROR(__xludf.DUMMYFUNCTION("GOOGLEFINANCE(C36,""changepct"")"),"#N/A")</f>
        <v>#N/A</v>
      </c>
      <c r="I36" s="936" t="str">
        <f>IFERROR(__xludf.DUMMYFUNCTION("googlefinance(C36,""price"")"),"#N/A")</f>
        <v>#N/A</v>
      </c>
      <c r="J36" s="936" t="str">
        <f t="shared" si="21"/>
        <v>#N/A</v>
      </c>
      <c r="K36" s="937" t="str">
        <f t="shared" si="22"/>
        <v>#N/A</v>
      </c>
      <c r="L36" s="933" t="str">
        <f t="shared" si="23"/>
        <v>#N/A</v>
      </c>
      <c r="M36" s="938">
        <v>0.0683</v>
      </c>
      <c r="N36" s="788">
        <v>522.0</v>
      </c>
    </row>
    <row r="37">
      <c r="A37" s="969"/>
      <c r="B37" s="820" t="s">
        <v>1048</v>
      </c>
      <c r="C37" s="950" t="s">
        <v>1049</v>
      </c>
      <c r="D37" s="931">
        <v>7.7</v>
      </c>
      <c r="E37" s="932">
        <v>25710.0</v>
      </c>
      <c r="F37" s="933">
        <f t="shared" si="20"/>
        <v>48280</v>
      </c>
      <c r="G37" s="975">
        <v>25.71</v>
      </c>
      <c r="H37" s="935">
        <f>IFERROR(__xludf.DUMMYFUNCTION("GOOGLEFINANCE(C37,""changepct"")"),-0.96)</f>
        <v>-0.96</v>
      </c>
      <c r="I37" s="936">
        <f>IFERROR(__xludf.DUMMYFUNCTION("googlefinance(C37,""price"")"),48.28)</f>
        <v>48.28</v>
      </c>
      <c r="J37" s="936">
        <f t="shared" si="21"/>
        <v>22.57</v>
      </c>
      <c r="K37" s="937">
        <f t="shared" si="22"/>
        <v>0.8778685336</v>
      </c>
      <c r="L37" s="933">
        <f t="shared" si="23"/>
        <v>22570</v>
      </c>
      <c r="M37" s="938">
        <v>0.0177</v>
      </c>
      <c r="N37" s="788">
        <v>122.0</v>
      </c>
    </row>
    <row r="38">
      <c r="A38" s="968" t="s">
        <v>89</v>
      </c>
      <c r="B38" s="969"/>
      <c r="C38" s="969"/>
      <c r="D38" s="969"/>
      <c r="E38" s="970">
        <f t="shared" ref="E38:F38" si="24">SUM(E31:E37)</f>
        <v>199905</v>
      </c>
      <c r="F38" s="970" t="str">
        <f t="shared" si="24"/>
        <v>#N/A</v>
      </c>
      <c r="G38" s="985"/>
      <c r="H38" s="971"/>
      <c r="I38" s="969"/>
      <c r="J38" s="969"/>
      <c r="K38" s="972" t="str">
        <f>L38/E38</f>
        <v>#N/A</v>
      </c>
      <c r="L38" s="970" t="str">
        <f>SUM(L31:L37)</f>
        <v>#N/A</v>
      </c>
      <c r="M38" s="969"/>
      <c r="N38" s="973">
        <f>SUM(N31:N37)</f>
        <v>1902</v>
      </c>
    </row>
    <row r="39">
      <c r="A39" s="925" t="s">
        <v>1051</v>
      </c>
      <c r="B39" s="924" t="s">
        <v>3</v>
      </c>
      <c r="C39" s="924" t="s">
        <v>1038</v>
      </c>
      <c r="D39" s="1103" t="s">
        <v>1089</v>
      </c>
      <c r="E39" s="926" t="s">
        <v>1090</v>
      </c>
      <c r="F39" s="927" t="s">
        <v>1012</v>
      </c>
      <c r="G39" s="927" t="s">
        <v>1091</v>
      </c>
      <c r="H39" s="928" t="s">
        <v>10</v>
      </c>
      <c r="I39" s="924" t="s">
        <v>1014</v>
      </c>
      <c r="J39" s="924" t="s">
        <v>1015</v>
      </c>
      <c r="K39" s="924" t="s">
        <v>1092</v>
      </c>
      <c r="L39" s="924" t="s">
        <v>15</v>
      </c>
      <c r="M39" s="925" t="s">
        <v>1093</v>
      </c>
      <c r="N39" s="929" t="s">
        <v>17</v>
      </c>
    </row>
    <row r="40">
      <c r="A40" s="1" t="s">
        <v>1099</v>
      </c>
      <c r="B40" s="820" t="s">
        <v>313</v>
      </c>
      <c r="C40" s="950" t="s">
        <v>106</v>
      </c>
      <c r="D40" s="931">
        <v>7.1</v>
      </c>
      <c r="E40" s="932">
        <v>42470.0</v>
      </c>
      <c r="F40" s="933">
        <f t="shared" ref="F40:F43" si="25">E40+L40</f>
        <v>26420</v>
      </c>
      <c r="G40" s="975">
        <v>42.47</v>
      </c>
      <c r="H40" s="935">
        <f>IFERROR(__xludf.DUMMYFUNCTION("GOOGLEFINANCE(C40,""changepct"")"),-0.75)</f>
        <v>-0.75</v>
      </c>
      <c r="I40" s="936">
        <f>IFERROR(__xludf.DUMMYFUNCTION("googlefinance(C40,""price"")"),26.42)</f>
        <v>26.42</v>
      </c>
      <c r="J40" s="936">
        <f t="shared" ref="J40:J43" si="26">(I40-G40)</f>
        <v>-16.05</v>
      </c>
      <c r="K40" s="937">
        <f t="shared" ref="K40:K43" si="27">(I40/G40-1)</f>
        <v>-0.3779138215</v>
      </c>
      <c r="L40" s="933">
        <f t="shared" ref="L40:L43" si="28">(E40*K40)</f>
        <v>-16050</v>
      </c>
      <c r="M40" s="938">
        <v>0.0343</v>
      </c>
      <c r="N40" s="788">
        <v>371.0</v>
      </c>
    </row>
    <row r="41">
      <c r="A41" s="1104">
        <f>(F44+W5)/G64</f>
        <v>0.1965900983</v>
      </c>
      <c r="B41" s="728" t="s">
        <v>589</v>
      </c>
      <c r="C41" s="1008" t="s">
        <v>315</v>
      </c>
      <c r="D41" s="1008">
        <v>8.2</v>
      </c>
      <c r="E41" s="1009">
        <v>52008.0</v>
      </c>
      <c r="F41" s="933">
        <f t="shared" si="25"/>
        <v>73608</v>
      </c>
      <c r="G41" s="1010">
        <v>65.01</v>
      </c>
      <c r="H41" s="935">
        <f>IFERROR(__xludf.DUMMYFUNCTION("GOOGLEFINANCE(C41,""changepct"")"),-2.23)</f>
        <v>-2.23</v>
      </c>
      <c r="I41" s="936">
        <f>IFERROR(__xludf.DUMMYFUNCTION("googlefinance(C41,""price"")"),92.01)</f>
        <v>92.01</v>
      </c>
      <c r="J41" s="936">
        <f t="shared" si="26"/>
        <v>27</v>
      </c>
      <c r="K41" s="937">
        <f t="shared" si="27"/>
        <v>0.4153207199</v>
      </c>
      <c r="L41" s="933">
        <f t="shared" si="28"/>
        <v>21600</v>
      </c>
      <c r="M41" s="1011">
        <v>0.0361</v>
      </c>
      <c r="N41" s="788">
        <v>486.0</v>
      </c>
    </row>
    <row r="42">
      <c r="A42" s="1" t="s">
        <v>1046</v>
      </c>
      <c r="B42" s="728" t="s">
        <v>810</v>
      </c>
      <c r="C42" s="1008" t="s">
        <v>811</v>
      </c>
      <c r="D42" s="1008">
        <v>7.9</v>
      </c>
      <c r="E42" s="1009">
        <v>52560.0</v>
      </c>
      <c r="F42" s="933">
        <f t="shared" si="25"/>
        <v>55365</v>
      </c>
      <c r="G42" s="1010">
        <v>35.04</v>
      </c>
      <c r="H42" s="935">
        <f>IFERROR(__xludf.DUMMYFUNCTION("GOOGLEFINANCE(C42,""changepct"")"),-0.73)</f>
        <v>-0.73</v>
      </c>
      <c r="I42" s="936">
        <f>IFERROR(__xludf.DUMMYFUNCTION("googlefinance(C42,""price"")"),36.91)</f>
        <v>36.91</v>
      </c>
      <c r="J42" s="936">
        <f t="shared" si="26"/>
        <v>1.87</v>
      </c>
      <c r="K42" s="937">
        <f t="shared" si="27"/>
        <v>0.05336757991</v>
      </c>
      <c r="L42" s="933">
        <f t="shared" si="28"/>
        <v>2805</v>
      </c>
      <c r="M42" s="1008" t="s">
        <v>128</v>
      </c>
      <c r="N42" s="788"/>
    </row>
    <row r="43">
      <c r="A43" s="1105">
        <f>F44+W5</f>
        <v>371761.7054</v>
      </c>
      <c r="B43" s="728" t="s">
        <v>590</v>
      </c>
      <c r="C43" s="1008" t="s">
        <v>104</v>
      </c>
      <c r="D43" s="1008">
        <v>7.3</v>
      </c>
      <c r="E43" s="1009">
        <v>37996.0</v>
      </c>
      <c r="F43" s="933">
        <f t="shared" si="25"/>
        <v>51860</v>
      </c>
      <c r="G43" s="1010">
        <v>189.98</v>
      </c>
      <c r="H43" s="935">
        <f>IFERROR(__xludf.DUMMYFUNCTION("GOOGLEFINANCE(C43,""changepct"")"),-1.28)</f>
        <v>-1.28</v>
      </c>
      <c r="I43" s="936">
        <f>IFERROR(__xludf.DUMMYFUNCTION("googlefinance(C43,""price"")"),259.3)</f>
        <v>259.3</v>
      </c>
      <c r="J43" s="936">
        <f t="shared" si="26"/>
        <v>69.32</v>
      </c>
      <c r="K43" s="937">
        <f t="shared" si="27"/>
        <v>0.3648805137</v>
      </c>
      <c r="L43" s="933">
        <f t="shared" si="28"/>
        <v>13864</v>
      </c>
      <c r="M43" s="1011">
        <v>0.0305</v>
      </c>
      <c r="N43" s="788">
        <v>278.0</v>
      </c>
    </row>
    <row r="44">
      <c r="A44" s="964" t="s">
        <v>89</v>
      </c>
      <c r="B44" s="968"/>
      <c r="C44" s="968"/>
      <c r="D44" s="968"/>
      <c r="E44" s="1017">
        <f t="shared" ref="E44:F44" si="29">SUM(E40:E43)</f>
        <v>185034</v>
      </c>
      <c r="F44" s="1017">
        <f t="shared" si="29"/>
        <v>207253</v>
      </c>
      <c r="G44" s="1018"/>
      <c r="H44" s="1018"/>
      <c r="I44" s="968"/>
      <c r="J44" s="968"/>
      <c r="K44" s="1019">
        <f>L44/E44</f>
        <v>0.1200806338</v>
      </c>
      <c r="L44" s="970">
        <f>SUM(L40:L43)</f>
        <v>22219</v>
      </c>
      <c r="M44" s="968"/>
      <c r="N44" s="973">
        <f>SUM(N40:N43)</f>
        <v>1135</v>
      </c>
    </row>
    <row r="45">
      <c r="A45" s="925" t="s">
        <v>1104</v>
      </c>
      <c r="B45" s="924" t="s">
        <v>3</v>
      </c>
      <c r="C45" s="924" t="s">
        <v>1038</v>
      </c>
      <c r="D45" s="1103" t="s">
        <v>1089</v>
      </c>
      <c r="E45" s="926" t="s">
        <v>1090</v>
      </c>
      <c r="F45" s="927" t="s">
        <v>1012</v>
      </c>
      <c r="G45" s="927" t="s">
        <v>1091</v>
      </c>
      <c r="H45" s="928" t="s">
        <v>10</v>
      </c>
      <c r="I45" s="924" t="s">
        <v>1014</v>
      </c>
      <c r="J45" s="924" t="s">
        <v>1015</v>
      </c>
      <c r="K45" s="924" t="s">
        <v>1092</v>
      </c>
      <c r="L45" s="924" t="s">
        <v>15</v>
      </c>
      <c r="M45" s="925" t="s">
        <v>1093</v>
      </c>
      <c r="N45" s="929" t="s">
        <v>1054</v>
      </c>
    </row>
    <row r="46">
      <c r="A46" s="1" t="s">
        <v>1099</v>
      </c>
      <c r="B46" s="820" t="s">
        <v>493</v>
      </c>
      <c r="C46" s="950" t="s">
        <v>494</v>
      </c>
      <c r="D46" s="931">
        <v>6.8</v>
      </c>
      <c r="E46" s="932">
        <v>30604.0</v>
      </c>
      <c r="F46" s="933">
        <f t="shared" ref="F46:F55" si="30">E46+L46</f>
        <v>20363</v>
      </c>
      <c r="G46" s="975">
        <v>43.72</v>
      </c>
      <c r="H46" s="949">
        <f>IFERROR(__xludf.DUMMYFUNCTION("GOOGLEFINANCE(C46,""changepct"")"),0.45)</f>
        <v>0.45</v>
      </c>
      <c r="I46" s="936">
        <f>IFERROR(__xludf.DUMMYFUNCTION("googlefinance(C46,""price"")"),29.09)</f>
        <v>29.09</v>
      </c>
      <c r="J46" s="936">
        <f t="shared" ref="J46:J55" si="31">(I46-G46)</f>
        <v>-14.63</v>
      </c>
      <c r="K46" s="937">
        <f t="shared" ref="K46:K55" si="32">(I46/G46-1)</f>
        <v>-0.3346294602</v>
      </c>
      <c r="L46" s="933">
        <f t="shared" ref="L46:L55" si="33">(E46*K46)</f>
        <v>-10241</v>
      </c>
      <c r="M46" s="938">
        <v>0.066</v>
      </c>
      <c r="N46" s="788">
        <v>479.0</v>
      </c>
    </row>
    <row r="47">
      <c r="A47" s="1097" t="str">
        <f>(F56)/G64</f>
        <v>#N/A</v>
      </c>
      <c r="B47" s="820" t="s">
        <v>1105</v>
      </c>
      <c r="C47" s="950" t="s">
        <v>492</v>
      </c>
      <c r="D47" s="931">
        <v>7.4</v>
      </c>
      <c r="E47" s="932">
        <v>40400.0</v>
      </c>
      <c r="F47" s="933">
        <f t="shared" si="30"/>
        <v>52880</v>
      </c>
      <c r="G47" s="975">
        <v>80.8</v>
      </c>
      <c r="H47" s="935">
        <f>IFERROR(__xludf.DUMMYFUNCTION("GOOGLEFINANCE(C47,""changepct"")"),-0.68)</f>
        <v>-0.68</v>
      </c>
      <c r="I47" s="936">
        <f>IFERROR(__xludf.DUMMYFUNCTION("googlefinance(C47,""price"")"),105.76)</f>
        <v>105.76</v>
      </c>
      <c r="J47" s="936">
        <f t="shared" si="31"/>
        <v>24.96</v>
      </c>
      <c r="K47" s="937">
        <f t="shared" si="32"/>
        <v>0.3089108911</v>
      </c>
      <c r="L47" s="933">
        <f t="shared" si="33"/>
        <v>12480</v>
      </c>
      <c r="M47" s="938">
        <v>0.0478</v>
      </c>
      <c r="N47" s="788">
        <v>456.0</v>
      </c>
    </row>
    <row r="48">
      <c r="A48" s="1" t="s">
        <v>1046</v>
      </c>
      <c r="B48" s="820" t="s">
        <v>815</v>
      </c>
      <c r="C48" s="950" t="s">
        <v>816</v>
      </c>
      <c r="D48" s="931">
        <v>7.8</v>
      </c>
      <c r="E48" s="932">
        <v>36160.0</v>
      </c>
      <c r="F48" s="933" t="str">
        <f t="shared" si="30"/>
        <v>#N/A</v>
      </c>
      <c r="G48" s="975">
        <v>4.52</v>
      </c>
      <c r="H48" s="935" t="str">
        <f>IFERROR(__xludf.DUMMYFUNCTION("GOOGLEFINANCE(C48,""changepct"")"),"#N/A")</f>
        <v>#N/A</v>
      </c>
      <c r="I48" s="936" t="str">
        <f>IFERROR(__xludf.DUMMYFUNCTION("googlefinance(C48,""price"")"),"#N/A")</f>
        <v>#N/A</v>
      </c>
      <c r="J48" s="936" t="str">
        <f t="shared" si="31"/>
        <v>#N/A</v>
      </c>
      <c r="K48" s="937" t="str">
        <f t="shared" si="32"/>
        <v>#N/A</v>
      </c>
      <c r="L48" s="933" t="str">
        <f t="shared" si="33"/>
        <v>#N/A</v>
      </c>
      <c r="M48" s="938">
        <v>0.0536</v>
      </c>
      <c r="N48" s="788">
        <v>781.0</v>
      </c>
    </row>
    <row r="49">
      <c r="A49" s="1099" t="str">
        <f>F56</f>
        <v>#N/A</v>
      </c>
      <c r="B49" s="965" t="s">
        <v>94</v>
      </c>
      <c r="C49" s="931" t="s">
        <v>95</v>
      </c>
      <c r="D49" s="931">
        <v>6.5</v>
      </c>
      <c r="E49" s="932">
        <v>21785.0</v>
      </c>
      <c r="F49" s="933">
        <f t="shared" si="30"/>
        <v>18905</v>
      </c>
      <c r="G49" s="975">
        <v>43.57</v>
      </c>
      <c r="H49" s="935">
        <f>IFERROR(__xludf.DUMMYFUNCTION("GOOGLEFINANCE(C49,""changepct"")"),0.03)</f>
        <v>0.03</v>
      </c>
      <c r="I49" s="936">
        <f>IFERROR(__xludf.DUMMYFUNCTION("googlefinance(C49,""price"")"),37.81)</f>
        <v>37.81</v>
      </c>
      <c r="J49" s="936">
        <f t="shared" si="31"/>
        <v>-5.76</v>
      </c>
      <c r="K49" s="937">
        <f t="shared" si="32"/>
        <v>-0.1322010558</v>
      </c>
      <c r="L49" s="933">
        <f t="shared" si="33"/>
        <v>-2880</v>
      </c>
      <c r="M49" s="991">
        <v>0.0546</v>
      </c>
      <c r="N49" s="788">
        <v>273.0</v>
      </c>
    </row>
    <row r="50">
      <c r="A50" s="969"/>
      <c r="B50" s="965" t="s">
        <v>905</v>
      </c>
      <c r="C50" s="931" t="s">
        <v>567</v>
      </c>
      <c r="D50" s="931">
        <v>7.1</v>
      </c>
      <c r="E50" s="932">
        <v>38137.5</v>
      </c>
      <c r="F50" s="933">
        <f t="shared" si="30"/>
        <v>53764.74861</v>
      </c>
      <c r="G50" s="975">
        <v>84.83</v>
      </c>
      <c r="H50" s="935">
        <f>IFERROR(__xludf.DUMMYFUNCTION("GOOGLEFINANCE(C50,""changepct"")"),0.01)</f>
        <v>0.01</v>
      </c>
      <c r="I50" s="936">
        <f>IFERROR(__xludf.DUMMYFUNCTION("googlefinance(C50,""price"")"),119.59)</f>
        <v>119.59</v>
      </c>
      <c r="J50" s="936">
        <f t="shared" si="31"/>
        <v>34.76</v>
      </c>
      <c r="K50" s="937">
        <f t="shared" si="32"/>
        <v>0.4097606979</v>
      </c>
      <c r="L50" s="933">
        <f t="shared" si="33"/>
        <v>15627.24861</v>
      </c>
      <c r="M50" s="991">
        <v>0.0429</v>
      </c>
      <c r="N50" s="788">
        <v>413.0</v>
      </c>
    </row>
    <row r="51">
      <c r="A51" s="916"/>
      <c r="B51" s="1076" t="s">
        <v>1057</v>
      </c>
      <c r="C51" s="931" t="s">
        <v>309</v>
      </c>
      <c r="D51" s="931">
        <v>7.3</v>
      </c>
      <c r="E51" s="932">
        <v>31968.0</v>
      </c>
      <c r="F51" s="933">
        <f t="shared" si="30"/>
        <v>17412</v>
      </c>
      <c r="G51" s="975">
        <v>26.64</v>
      </c>
      <c r="H51" s="935">
        <f>IFERROR(__xludf.DUMMYFUNCTION("GOOGLEFINANCE(C51,""changepct"")"),0.28)</f>
        <v>0.28</v>
      </c>
      <c r="I51" s="936">
        <f>IFERROR(__xludf.DUMMYFUNCTION("googlefinance(C51,""price"")"),14.51)</f>
        <v>14.51</v>
      </c>
      <c r="J51" s="936">
        <f t="shared" si="31"/>
        <v>-12.13</v>
      </c>
      <c r="K51" s="937">
        <f t="shared" si="32"/>
        <v>-0.4553303303</v>
      </c>
      <c r="L51" s="933">
        <f t="shared" si="33"/>
        <v>-14556</v>
      </c>
      <c r="M51" s="991">
        <v>0.0076</v>
      </c>
      <c r="N51" s="788">
        <v>51.0</v>
      </c>
    </row>
    <row r="52">
      <c r="A52" s="969"/>
      <c r="B52" s="1106" t="s">
        <v>1106</v>
      </c>
      <c r="C52" s="931" t="s">
        <v>1107</v>
      </c>
      <c r="D52" s="931">
        <v>7.8</v>
      </c>
      <c r="E52" s="932">
        <v>36160.0</v>
      </c>
      <c r="F52" s="933">
        <f t="shared" si="30"/>
        <v>25300</v>
      </c>
      <c r="G52" s="975">
        <v>18.08</v>
      </c>
      <c r="H52" s="935">
        <f>IFERROR(__xludf.DUMMYFUNCTION("GOOGLEFINANCE(C52,""changepct"")"),-0.78)</f>
        <v>-0.78</v>
      </c>
      <c r="I52" s="936">
        <f>IFERROR(__xludf.DUMMYFUNCTION("googlefinance(C52,""price"")"),12.65)</f>
        <v>12.65</v>
      </c>
      <c r="J52" s="936">
        <f t="shared" si="31"/>
        <v>-5.43</v>
      </c>
      <c r="K52" s="937">
        <f t="shared" si="32"/>
        <v>-0.3003318584</v>
      </c>
      <c r="L52" s="933">
        <f t="shared" si="33"/>
        <v>-10860</v>
      </c>
      <c r="M52" s="991">
        <v>0.0301</v>
      </c>
      <c r="N52" s="788">
        <v>251.0</v>
      </c>
    </row>
    <row r="53">
      <c r="A53" s="916"/>
      <c r="B53" s="1106" t="s">
        <v>983</v>
      </c>
      <c r="C53" s="931" t="s">
        <v>984</v>
      </c>
      <c r="D53" s="931">
        <v>7.5</v>
      </c>
      <c r="E53" s="932">
        <v>33288.0</v>
      </c>
      <c r="F53" s="933">
        <f t="shared" si="30"/>
        <v>31712</v>
      </c>
      <c r="G53" s="975">
        <v>41.61</v>
      </c>
      <c r="H53" s="935">
        <f>IFERROR(__xludf.DUMMYFUNCTION("GOOGLEFINANCE(C53,""changepct"")"),-0.08)</f>
        <v>-0.08</v>
      </c>
      <c r="I53" s="936">
        <f>IFERROR(__xludf.DUMMYFUNCTION("googlefinance(C53,""price"")"),39.64)</f>
        <v>39.64</v>
      </c>
      <c r="J53" s="936">
        <f t="shared" si="31"/>
        <v>-1.97</v>
      </c>
      <c r="K53" s="937">
        <f t="shared" si="32"/>
        <v>-0.04734438837</v>
      </c>
      <c r="L53" s="933">
        <f t="shared" si="33"/>
        <v>-1576</v>
      </c>
      <c r="M53" s="991">
        <v>0.0367</v>
      </c>
      <c r="N53" s="788">
        <v>315.0</v>
      </c>
    </row>
    <row r="54">
      <c r="A54" s="969"/>
      <c r="B54" s="1107" t="s">
        <v>906</v>
      </c>
      <c r="C54" s="931" t="s">
        <v>496</v>
      </c>
      <c r="D54" s="931">
        <v>7.2</v>
      </c>
      <c r="E54" s="932">
        <v>33100.0</v>
      </c>
      <c r="F54" s="933">
        <f t="shared" si="30"/>
        <v>24230</v>
      </c>
      <c r="G54" s="975">
        <v>66.2</v>
      </c>
      <c r="H54" s="935">
        <f>IFERROR(__xludf.DUMMYFUNCTION("GOOGLEFINANCE(C54,""changepct"")"),-0.21)</f>
        <v>-0.21</v>
      </c>
      <c r="I54" s="936">
        <f>IFERROR(__xludf.DUMMYFUNCTION("googlefinance(C54,""price"")"),48.46)</f>
        <v>48.46</v>
      </c>
      <c r="J54" s="936">
        <f t="shared" si="31"/>
        <v>-17.74</v>
      </c>
      <c r="K54" s="937">
        <f t="shared" si="32"/>
        <v>-0.2679758308</v>
      </c>
      <c r="L54" s="933">
        <f t="shared" si="33"/>
        <v>-8870</v>
      </c>
      <c r="M54" s="991">
        <v>0.0469</v>
      </c>
      <c r="N54" s="788">
        <v>314.0</v>
      </c>
    </row>
    <row r="55">
      <c r="A55" s="916"/>
      <c r="B55" s="820" t="s">
        <v>1033</v>
      </c>
      <c r="C55" s="950" t="s">
        <v>1034</v>
      </c>
      <c r="D55" s="931">
        <v>7.1</v>
      </c>
      <c r="E55" s="932">
        <v>17230.0</v>
      </c>
      <c r="F55" s="933">
        <f t="shared" si="30"/>
        <v>267560</v>
      </c>
      <c r="G55" s="975">
        <v>17.23</v>
      </c>
      <c r="H55" s="949">
        <f>IFERROR(__xludf.DUMMYFUNCTION("GOOGLEFINANCE(C55,""changepct"")"),0.99)</f>
        <v>0.99</v>
      </c>
      <c r="I55" s="936">
        <f>IFERROR(__xludf.DUMMYFUNCTION("googlefinance(C55,""price"")"),267.56)</f>
        <v>267.56</v>
      </c>
      <c r="J55" s="936">
        <f t="shared" si="31"/>
        <v>250.33</v>
      </c>
      <c r="K55" s="937">
        <f t="shared" si="32"/>
        <v>14.52872896</v>
      </c>
      <c r="L55" s="933">
        <f t="shared" si="33"/>
        <v>250330</v>
      </c>
      <c r="M55" s="938">
        <v>0.0375</v>
      </c>
      <c r="N55" s="788">
        <v>139.0</v>
      </c>
    </row>
    <row r="56">
      <c r="A56" s="968" t="s">
        <v>113</v>
      </c>
      <c r="B56" s="969"/>
      <c r="C56" s="969"/>
      <c r="D56" s="969"/>
      <c r="E56" s="970">
        <f t="shared" ref="E56:F56" si="34">SUM(E46:E55)</f>
        <v>318832.5</v>
      </c>
      <c r="F56" s="970" t="str">
        <f t="shared" si="34"/>
        <v>#N/A</v>
      </c>
      <c r="G56" s="985"/>
      <c r="H56" s="971"/>
      <c r="I56" s="985"/>
      <c r="J56" s="969"/>
      <c r="K56" s="972" t="str">
        <f>L56/E56</f>
        <v>#N/A</v>
      </c>
      <c r="L56" s="970" t="str">
        <f>SUM(L46:L55)</f>
        <v>#N/A</v>
      </c>
      <c r="M56" s="1108"/>
      <c r="N56" s="973">
        <f>SUM(N46:N55)</f>
        <v>3472</v>
      </c>
    </row>
    <row r="57">
      <c r="A57" s="924" t="s">
        <v>1058</v>
      </c>
      <c r="B57" s="924" t="s">
        <v>3</v>
      </c>
      <c r="C57" s="924" t="s">
        <v>1038</v>
      </c>
      <c r="D57" s="1103" t="s">
        <v>1089</v>
      </c>
      <c r="E57" s="926" t="s">
        <v>1090</v>
      </c>
      <c r="F57" s="927" t="s">
        <v>1012</v>
      </c>
      <c r="G57" s="927" t="s">
        <v>1108</v>
      </c>
      <c r="H57" s="928" t="s">
        <v>10</v>
      </c>
      <c r="I57" s="928" t="s">
        <v>1014</v>
      </c>
      <c r="J57" s="924" t="s">
        <v>1015</v>
      </c>
      <c r="K57" s="924" t="s">
        <v>1092</v>
      </c>
      <c r="L57" s="924" t="s">
        <v>15</v>
      </c>
      <c r="M57" s="925" t="s">
        <v>1093</v>
      </c>
      <c r="N57" s="929" t="s">
        <v>17</v>
      </c>
    </row>
    <row r="58">
      <c r="A58" s="1" t="s">
        <v>1099</v>
      </c>
      <c r="B58" s="820" t="s">
        <v>980</v>
      </c>
      <c r="C58" s="950" t="s">
        <v>956</v>
      </c>
      <c r="D58" s="931">
        <v>6.8</v>
      </c>
      <c r="E58" s="932">
        <v>36416.0</v>
      </c>
      <c r="F58" s="933">
        <f t="shared" ref="F58:F60" si="35">E58+L58</f>
        <v>0</v>
      </c>
      <c r="G58" s="975">
        <v>182.08</v>
      </c>
      <c r="H58" s="935"/>
      <c r="I58" s="936"/>
      <c r="J58" s="936">
        <f t="shared" ref="J58:J60" si="36">(I58-G58)</f>
        <v>-182.08</v>
      </c>
      <c r="K58" s="937">
        <f t="shared" ref="K58:K60" si="37">(I58/G58-1)</f>
        <v>-1</v>
      </c>
      <c r="L58" s="933">
        <f t="shared" ref="L58:L60" si="38">(E58*K58)</f>
        <v>-36416</v>
      </c>
      <c r="M58" s="938">
        <v>0.022</v>
      </c>
      <c r="N58" s="788">
        <v>191.0</v>
      </c>
    </row>
    <row r="59">
      <c r="A59" s="1097">
        <f>(F62)/F64</f>
        <v>0</v>
      </c>
      <c r="B59" s="820" t="s">
        <v>117</v>
      </c>
      <c r="C59" s="950" t="s">
        <v>118</v>
      </c>
      <c r="D59" s="931">
        <v>6.9</v>
      </c>
      <c r="E59" s="932">
        <v>30016.0</v>
      </c>
      <c r="F59" s="933">
        <f t="shared" si="35"/>
        <v>0</v>
      </c>
      <c r="G59" s="975">
        <v>300.16</v>
      </c>
      <c r="H59" s="935"/>
      <c r="I59" s="936"/>
      <c r="J59" s="936">
        <f t="shared" si="36"/>
        <v>-300.16</v>
      </c>
      <c r="K59" s="937">
        <f t="shared" si="37"/>
        <v>-1</v>
      </c>
      <c r="L59" s="933">
        <f t="shared" si="38"/>
        <v>-30016</v>
      </c>
      <c r="M59" s="991">
        <v>0.0339</v>
      </c>
      <c r="N59" s="788">
        <v>308.0</v>
      </c>
    </row>
    <row r="60">
      <c r="A60" s="1" t="s">
        <v>1059</v>
      </c>
      <c r="B60" s="820" t="s">
        <v>981</v>
      </c>
      <c r="C60" s="950" t="s">
        <v>765</v>
      </c>
      <c r="D60" s="931">
        <v>6.6</v>
      </c>
      <c r="E60" s="932">
        <v>29970.0</v>
      </c>
      <c r="F60" s="933">
        <f t="shared" si="35"/>
        <v>0</v>
      </c>
      <c r="G60" s="975">
        <v>9.99</v>
      </c>
      <c r="H60" s="935"/>
      <c r="I60" s="936"/>
      <c r="J60" s="936">
        <f t="shared" si="36"/>
        <v>-9.99</v>
      </c>
      <c r="K60" s="937">
        <f t="shared" si="37"/>
        <v>-1</v>
      </c>
      <c r="L60" s="933">
        <f t="shared" si="38"/>
        <v>-29970</v>
      </c>
      <c r="M60" s="938">
        <v>0.0052</v>
      </c>
      <c r="N60" s="788">
        <v>41.0</v>
      </c>
    </row>
    <row r="61">
      <c r="A61" s="1105">
        <f>F62</f>
        <v>0</v>
      </c>
      <c r="B61" s="1109"/>
      <c r="C61" s="1109"/>
      <c r="D61" s="1109"/>
      <c r="E61" s="1110"/>
      <c r="F61" s="1110"/>
      <c r="G61" s="1111"/>
      <c r="H61" s="1112"/>
      <c r="I61" s="1109"/>
      <c r="J61" s="1109"/>
      <c r="K61" s="1113"/>
      <c r="L61" s="1110"/>
      <c r="M61" s="1109"/>
      <c r="N61" s="1114"/>
    </row>
    <row r="62">
      <c r="A62" s="968" t="s">
        <v>113</v>
      </c>
      <c r="B62" s="969"/>
      <c r="C62" s="969"/>
      <c r="D62" s="969"/>
      <c r="E62" s="970">
        <f t="shared" ref="E62:F62" si="39">SUM(E58:E60)</f>
        <v>96402</v>
      </c>
      <c r="F62" s="970">
        <f t="shared" si="39"/>
        <v>0</v>
      </c>
      <c r="G62" s="985"/>
      <c r="H62" s="969"/>
      <c r="I62" s="969"/>
      <c r="J62" s="969"/>
      <c r="K62" s="1025">
        <v>1.3167</v>
      </c>
      <c r="L62" s="1115">
        <v>523781.0</v>
      </c>
      <c r="M62" s="969"/>
      <c r="N62" s="973">
        <f>SUM(N57:N61)</f>
        <v>540</v>
      </c>
    </row>
    <row r="63">
      <c r="A63" s="924" t="s">
        <v>1061</v>
      </c>
      <c r="B63" s="916"/>
      <c r="C63" s="916"/>
      <c r="D63" s="916"/>
      <c r="E63" s="926" t="s">
        <v>1109</v>
      </c>
      <c r="F63" s="1116" t="s">
        <v>1110</v>
      </c>
      <c r="G63" s="1116" t="s">
        <v>1111</v>
      </c>
      <c r="H63" s="925" t="s">
        <v>1066</v>
      </c>
      <c r="I63" s="925" t="s">
        <v>1112</v>
      </c>
      <c r="J63" s="925" t="s">
        <v>1113</v>
      </c>
      <c r="K63" s="924" t="s">
        <v>1092</v>
      </c>
      <c r="L63" s="924" t="s">
        <v>15</v>
      </c>
      <c r="M63" s="228" t="s">
        <v>1069</v>
      </c>
      <c r="N63" s="228" t="s">
        <v>1070</v>
      </c>
    </row>
    <row r="64">
      <c r="A64" s="964" t="s">
        <v>1071</v>
      </c>
      <c r="B64" s="969"/>
      <c r="C64" s="969"/>
      <c r="D64" s="969"/>
      <c r="E64" s="1115">
        <f>V5</f>
        <v>121959</v>
      </c>
      <c r="F64" s="1115">
        <v>1770346.0</v>
      </c>
      <c r="G64" s="1115">
        <v>1891050.0</v>
      </c>
      <c r="H64" s="1117">
        <f>G64/G68</f>
        <v>0.5444872626</v>
      </c>
      <c r="I64" s="1117">
        <f>J64/F64</f>
        <v>0.07600548141</v>
      </c>
      <c r="J64" s="1118">
        <f>(L64+M64+N64)</f>
        <v>134556</v>
      </c>
      <c r="K64" s="972">
        <f t="shared" ref="K64:K66" si="40">L64/F64</f>
        <v>0.02791262273</v>
      </c>
      <c r="L64" s="1115">
        <v>49415.0</v>
      </c>
      <c r="M64" s="1034">
        <v>73543.0</v>
      </c>
      <c r="N64" s="973">
        <f>N62+N56+N44+N38+N29+N22+N15+AA5</f>
        <v>11598</v>
      </c>
    </row>
    <row r="65">
      <c r="A65" s="925" t="s">
        <v>1073</v>
      </c>
      <c r="B65" s="916"/>
      <c r="C65" s="916"/>
      <c r="D65" s="916"/>
      <c r="E65" s="1099"/>
      <c r="F65" s="1119">
        <v>145656.0</v>
      </c>
      <c r="G65" s="1120">
        <v>156103.0</v>
      </c>
      <c r="H65" s="1097">
        <f>G65/G68</f>
        <v>0.04494650864</v>
      </c>
      <c r="I65" s="916"/>
      <c r="J65" s="916"/>
      <c r="K65" s="1097">
        <f t="shared" si="40"/>
        <v>0.07172378755</v>
      </c>
      <c r="L65" s="1119">
        <v>10447.0</v>
      </c>
      <c r="M65" s="228" t="s">
        <v>1075</v>
      </c>
      <c r="N65" s="228" t="s">
        <v>1076</v>
      </c>
    </row>
    <row r="66">
      <c r="A66" s="964" t="s">
        <v>240</v>
      </c>
      <c r="B66" s="969"/>
      <c r="C66" s="969"/>
      <c r="D66" s="969"/>
      <c r="E66" s="973"/>
      <c r="F66" s="973">
        <v>397805.0</v>
      </c>
      <c r="G66" s="1115">
        <v>921586.0</v>
      </c>
      <c r="H66" s="1117">
        <f>G66/G68</f>
        <v>0.26535091</v>
      </c>
      <c r="I66" s="969"/>
      <c r="J66" s="969"/>
      <c r="K66" s="1117">
        <f t="shared" si="40"/>
        <v>1.316677769</v>
      </c>
      <c r="L66" s="973">
        <f>G66-F66</f>
        <v>523781</v>
      </c>
      <c r="M66" s="1121">
        <f>M64/G68</f>
        <v>0.0211751285</v>
      </c>
      <c r="N66" s="1121">
        <v>0.006</v>
      </c>
    </row>
    <row r="67">
      <c r="A67" s="925" t="s">
        <v>1078</v>
      </c>
      <c r="B67" s="916"/>
      <c r="C67" s="916"/>
      <c r="D67" s="916"/>
      <c r="E67" s="1119"/>
      <c r="F67" s="1119">
        <v>541163.0</v>
      </c>
      <c r="G67" s="1122">
        <f>419204+M64+N64</f>
        <v>504345</v>
      </c>
      <c r="H67" s="1097">
        <f>G67/G68</f>
        <v>0.1452153187</v>
      </c>
      <c r="I67" s="916"/>
      <c r="J67" s="916"/>
      <c r="K67" s="1123">
        <f>L67/G67</f>
        <v>0.009279362341</v>
      </c>
      <c r="L67" s="1119">
        <v>4680.0</v>
      </c>
      <c r="M67" s="916"/>
      <c r="N67" s="228"/>
    </row>
    <row r="68">
      <c r="A68" s="968" t="s">
        <v>1083</v>
      </c>
      <c r="B68" s="1124"/>
      <c r="C68" s="1124"/>
      <c r="D68" s="1124"/>
      <c r="E68" s="1125"/>
      <c r="F68" s="1126">
        <v>2805457.0</v>
      </c>
      <c r="G68" s="1127">
        <f t="shared" ref="G68:H68" si="41">SUM(G64:G67)</f>
        <v>3473084</v>
      </c>
      <c r="H68" s="1128">
        <f t="shared" si="41"/>
        <v>1</v>
      </c>
      <c r="I68" s="1124"/>
      <c r="J68" s="1124"/>
      <c r="K68" s="972">
        <f>L68/F68</f>
        <v>0.2400550071</v>
      </c>
      <c r="L68" s="973">
        <f>SUM(L64:L67)+M64+N64</f>
        <v>673464</v>
      </c>
      <c r="M68" s="969"/>
      <c r="N68" s="1129"/>
    </row>
    <row r="69">
      <c r="A69" s="779" t="s">
        <v>892</v>
      </c>
      <c r="B69" s="1130"/>
      <c r="C69" s="1130"/>
      <c r="D69" s="1130"/>
      <c r="E69" s="1130"/>
      <c r="F69" s="1130"/>
      <c r="G69" s="1130"/>
      <c r="H69" s="1130"/>
      <c r="I69" s="1130"/>
      <c r="J69" s="1131"/>
    </row>
    <row r="70">
      <c r="A70" s="226" t="s">
        <v>248</v>
      </c>
      <c r="B70" s="482"/>
      <c r="C70" s="482"/>
      <c r="D70" s="482"/>
      <c r="E70" s="482"/>
      <c r="F70" s="484"/>
      <c r="G70" s="483" t="s">
        <v>1114</v>
      </c>
      <c r="H70" s="484"/>
      <c r="I70" s="483" t="s">
        <v>1115</v>
      </c>
      <c r="J70" s="484" t="s">
        <v>15</v>
      </c>
      <c r="K70" s="1081" t="s">
        <v>578</v>
      </c>
    </row>
    <row r="71">
      <c r="A71" s="114"/>
      <c r="B71" s="304" t="s">
        <v>265</v>
      </c>
      <c r="C71" s="1085" t="s">
        <v>266</v>
      </c>
      <c r="D71" s="1085"/>
      <c r="E71" s="115"/>
      <c r="F71" s="753"/>
      <c r="G71" s="850">
        <v>25928.68</v>
      </c>
      <c r="H71" s="753"/>
      <c r="I71" s="850">
        <v>26599.96</v>
      </c>
      <c r="J71" s="1087">
        <f t="shared" ref="J71:J75" si="42">I71-G71</f>
        <v>671.28</v>
      </c>
      <c r="K71" s="1132">
        <f t="shared" ref="K71:K75" si="43">I71/G71-1</f>
        <v>0.02588947837</v>
      </c>
    </row>
    <row r="72">
      <c r="A72" s="114"/>
      <c r="B72" s="304" t="s">
        <v>267</v>
      </c>
      <c r="C72" s="1089" t="s">
        <v>268</v>
      </c>
      <c r="D72" s="1089"/>
      <c r="E72" s="115"/>
      <c r="F72" s="753"/>
      <c r="G72" s="850">
        <v>2834.4</v>
      </c>
      <c r="H72" s="753"/>
      <c r="I72" s="850">
        <v>2941.76</v>
      </c>
      <c r="J72" s="1087">
        <f t="shared" si="42"/>
        <v>107.36</v>
      </c>
      <c r="K72" s="1132">
        <f t="shared" si="43"/>
        <v>0.03787750494</v>
      </c>
    </row>
    <row r="73">
      <c r="A73" s="114"/>
      <c r="B73" s="304" t="s">
        <v>269</v>
      </c>
      <c r="C73" s="1085" t="s">
        <v>270</v>
      </c>
      <c r="D73" s="1085"/>
      <c r="E73" s="115"/>
      <c r="F73" s="753"/>
      <c r="G73" s="850">
        <v>7729.32</v>
      </c>
      <c r="H73" s="753"/>
      <c r="I73" s="850">
        <v>8006.24</v>
      </c>
      <c r="J73" s="1087">
        <f t="shared" si="42"/>
        <v>276.92</v>
      </c>
      <c r="K73" s="1132">
        <f t="shared" si="43"/>
        <v>0.03582721378</v>
      </c>
    </row>
    <row r="74">
      <c r="A74" s="114"/>
      <c r="B74" s="304" t="s">
        <v>271</v>
      </c>
      <c r="C74" s="1085" t="s">
        <v>272</v>
      </c>
      <c r="D74" s="1085"/>
      <c r="E74" s="115"/>
      <c r="F74" s="753"/>
      <c r="G74" s="850">
        <v>1539.74</v>
      </c>
      <c r="H74" s="753"/>
      <c r="I74" s="850">
        <v>1566.57</v>
      </c>
      <c r="J74" s="1087">
        <f t="shared" si="42"/>
        <v>26.83</v>
      </c>
      <c r="K74" s="1132">
        <f t="shared" si="43"/>
        <v>0.01742501981</v>
      </c>
    </row>
    <row r="75">
      <c r="A75" s="114"/>
      <c r="B75" s="304" t="s">
        <v>273</v>
      </c>
      <c r="C75" s="1085" t="s">
        <v>274</v>
      </c>
      <c r="D75" s="1085"/>
      <c r="E75" s="115"/>
      <c r="F75" s="753"/>
      <c r="G75" s="850">
        <v>12696.88</v>
      </c>
      <c r="H75" s="753"/>
      <c r="I75" s="850">
        <v>13049.71</v>
      </c>
      <c r="J75" s="1087">
        <f t="shared" si="42"/>
        <v>352.83</v>
      </c>
      <c r="K75" s="1132">
        <f t="shared" si="43"/>
        <v>0.0277887166</v>
      </c>
    </row>
    <row r="76">
      <c r="A76" s="1091" t="s">
        <v>1087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88"/>
    <col customWidth="1" min="2" max="2" width="15.75"/>
    <col customWidth="1" min="3" max="3" width="7.38"/>
    <col customWidth="1" min="4" max="4" width="11.25"/>
    <col customWidth="1" min="5" max="5" width="18.13"/>
    <col customWidth="1" min="6" max="6" width="17.88"/>
    <col customWidth="1" min="7" max="7" width="13.75"/>
    <col customWidth="1" min="8" max="8" width="10.75"/>
    <col customWidth="1" min="9" max="9" width="15.0"/>
    <col customWidth="1" min="10" max="10" width="19.75"/>
    <col customWidth="1" min="11" max="11" width="10.75"/>
    <col customWidth="1" min="13" max="13" width="27.38"/>
    <col customWidth="1" min="14" max="14" width="23.25"/>
    <col customWidth="1" min="15" max="15" width="14.88"/>
    <col customWidth="1" min="16" max="16" width="15.0"/>
    <col customWidth="1" min="17" max="17" width="14.88"/>
    <col customWidth="1" min="20" max="21" width="15.75"/>
    <col customWidth="1" min="22" max="22" width="13.75"/>
    <col customWidth="1" min="25" max="25" width="13.88"/>
  </cols>
  <sheetData>
    <row r="1">
      <c r="A1" s="925" t="s">
        <v>719</v>
      </c>
      <c r="B1" s="924" t="s">
        <v>3</v>
      </c>
      <c r="C1" s="924" t="s">
        <v>1010</v>
      </c>
      <c r="D1" s="925" t="s">
        <v>1089</v>
      </c>
      <c r="E1" s="926" t="s">
        <v>1116</v>
      </c>
      <c r="F1" s="927" t="s">
        <v>1012</v>
      </c>
      <c r="G1" s="927" t="s">
        <v>1108</v>
      </c>
      <c r="H1" s="928" t="s">
        <v>10</v>
      </c>
      <c r="I1" s="928" t="s">
        <v>1014</v>
      </c>
      <c r="J1" s="924" t="s">
        <v>1015</v>
      </c>
      <c r="K1" s="924" t="s">
        <v>1092</v>
      </c>
      <c r="L1" s="924" t="s">
        <v>15</v>
      </c>
      <c r="M1" s="925" t="s">
        <v>1093</v>
      </c>
      <c r="N1" s="854" t="s">
        <v>17</v>
      </c>
      <c r="O1" s="854" t="s">
        <v>1041</v>
      </c>
      <c r="P1" s="1094" t="s">
        <v>1020</v>
      </c>
      <c r="Q1" s="854" t="s">
        <v>3</v>
      </c>
      <c r="R1" s="854" t="s">
        <v>1038</v>
      </c>
      <c r="S1" s="854" t="s">
        <v>1095</v>
      </c>
      <c r="T1" s="854" t="s">
        <v>1014</v>
      </c>
      <c r="U1" s="854" t="s">
        <v>1096</v>
      </c>
      <c r="V1" s="854" t="s">
        <v>1012</v>
      </c>
      <c r="W1" s="854" t="s">
        <v>15</v>
      </c>
      <c r="X1" s="854" t="s">
        <v>1097</v>
      </c>
      <c r="Y1" s="925" t="s">
        <v>1098</v>
      </c>
      <c r="Z1" s="854" t="s">
        <v>17</v>
      </c>
    </row>
    <row r="2">
      <c r="A2" s="1" t="s">
        <v>1099</v>
      </c>
      <c r="B2" s="820" t="s">
        <v>1027</v>
      </c>
      <c r="C2" s="950" t="s">
        <v>902</v>
      </c>
      <c r="D2" s="931">
        <v>7.2</v>
      </c>
      <c r="E2" s="932">
        <v>23678.0</v>
      </c>
      <c r="F2" s="933">
        <f t="shared" ref="F2:F12" si="1">E2+L2</f>
        <v>153117.7333</v>
      </c>
      <c r="G2" s="934">
        <v>39.0</v>
      </c>
      <c r="H2" s="935">
        <f>IFERROR(__xludf.DUMMYFUNCTION("GOOGLEFINANCE(C2,""changepct"")"),-1.33)</f>
        <v>-1.33</v>
      </c>
      <c r="I2" s="936">
        <f>IFERROR(__xludf.DUMMYFUNCTION("GOOGLEFINANCE(C2,""price"")"),252.2)</f>
        <v>252.2</v>
      </c>
      <c r="J2" s="936">
        <f t="shared" ref="J2:J12" si="2">(I2-G2)</f>
        <v>213.2</v>
      </c>
      <c r="K2" s="937">
        <f t="shared" ref="K2:K12" si="3">(I2/G2-1)</f>
        <v>5.466666667</v>
      </c>
      <c r="L2" s="933">
        <f t="shared" ref="L2:L12" si="4">(E2*K2)</f>
        <v>129439.7333</v>
      </c>
      <c r="M2" s="938">
        <v>0.0186</v>
      </c>
      <c r="N2" s="788">
        <v>133.0</v>
      </c>
      <c r="O2" s="854" t="s">
        <v>1100</v>
      </c>
      <c r="P2" s="946">
        <v>43472.0</v>
      </c>
      <c r="Q2" s="797" t="s">
        <v>898</v>
      </c>
      <c r="R2" s="787" t="s">
        <v>899</v>
      </c>
      <c r="S2" s="790">
        <v>46.54</v>
      </c>
      <c r="T2" s="792" t="str">
        <f>IFERROR(__xludf.DUMMYFUNCTION("GOOGLEFINANCE(R2,""price"")"),"#N/A")</f>
        <v>#N/A</v>
      </c>
      <c r="U2" s="790">
        <v>15358.2</v>
      </c>
      <c r="V2" s="800" t="str">
        <f t="shared" ref="V2:V9" si="5">U2+W2</f>
        <v>#N/A</v>
      </c>
      <c r="W2" s="807" t="str">
        <f t="shared" ref="W2:W9" si="6">U2*X2</f>
        <v>#N/A</v>
      </c>
      <c r="X2" s="856" t="str">
        <f t="shared" ref="X2:X9" si="7">T2/S2-1</f>
        <v>#N/A</v>
      </c>
      <c r="Y2" s="787" t="s">
        <v>128</v>
      </c>
      <c r="Z2" s="805"/>
    </row>
    <row r="3">
      <c r="A3" s="1097" t="str">
        <f>(F13+V13)/G58</f>
        <v>#N/A</v>
      </c>
      <c r="B3" s="820" t="s">
        <v>346</v>
      </c>
      <c r="C3" s="950" t="s">
        <v>347</v>
      </c>
      <c r="D3" s="931">
        <v>8.3</v>
      </c>
      <c r="E3" s="932">
        <v>27414.0</v>
      </c>
      <c r="F3" s="933">
        <f t="shared" si="1"/>
        <v>16826</v>
      </c>
      <c r="G3" s="934">
        <v>137.07</v>
      </c>
      <c r="H3" s="949">
        <f>IFERROR(__xludf.DUMMYFUNCTION("GOOGLEFINANCE(C3,""changepct"")"),-1.09)</f>
        <v>-1.09</v>
      </c>
      <c r="I3" s="936">
        <f>IFERROR(__xludf.DUMMYFUNCTION("GOOGLEFINANCE(C3,""price"")"),84.13)</f>
        <v>84.13</v>
      </c>
      <c r="J3" s="936">
        <f t="shared" si="2"/>
        <v>-52.94</v>
      </c>
      <c r="K3" s="937">
        <f t="shared" si="3"/>
        <v>-0.3862260159</v>
      </c>
      <c r="L3" s="933">
        <f t="shared" si="4"/>
        <v>-10588</v>
      </c>
      <c r="M3" s="950" t="s">
        <v>128</v>
      </c>
      <c r="N3" s="805"/>
      <c r="O3" s="989"/>
      <c r="P3" s="946">
        <v>43472.0</v>
      </c>
      <c r="Q3" s="797" t="s">
        <v>346</v>
      </c>
      <c r="R3" s="787" t="s">
        <v>347</v>
      </c>
      <c r="S3" s="790">
        <v>139.92</v>
      </c>
      <c r="T3" s="792">
        <f>IFERROR(__xludf.DUMMYFUNCTION("GOOGLEFINANCE(R3,""price"")"),84.13)</f>
        <v>84.13</v>
      </c>
      <c r="U3" s="790">
        <v>6950.0</v>
      </c>
      <c r="V3" s="807">
        <f t="shared" si="5"/>
        <v>4178.841481</v>
      </c>
      <c r="W3" s="807">
        <f t="shared" si="6"/>
        <v>-2771.158519</v>
      </c>
      <c r="X3" s="856">
        <f t="shared" si="7"/>
        <v>-0.3987278445</v>
      </c>
      <c r="Y3" s="787" t="s">
        <v>128</v>
      </c>
      <c r="Z3" s="805"/>
    </row>
    <row r="4">
      <c r="A4" s="1" t="s">
        <v>1059</v>
      </c>
      <c r="B4" s="820" t="s">
        <v>1030</v>
      </c>
      <c r="C4" s="950" t="s">
        <v>31</v>
      </c>
      <c r="D4" s="931">
        <v>7.1</v>
      </c>
      <c r="E4" s="932">
        <v>36246.0</v>
      </c>
      <c r="F4" s="933">
        <f t="shared" si="1"/>
        <v>6744.084878</v>
      </c>
      <c r="G4" s="934">
        <v>1035.61</v>
      </c>
      <c r="H4" s="949">
        <f>IFERROR(__xludf.DUMMYFUNCTION("GOOGLEFINANCE(C4,""changepct"")"),-0.7)</f>
        <v>-0.7</v>
      </c>
      <c r="I4" s="936">
        <f>IFERROR(__xludf.DUMMYFUNCTION("GOOGLEFINANCE(C4,""price"")"),192.69)</f>
        <v>192.69</v>
      </c>
      <c r="J4" s="936">
        <f t="shared" si="2"/>
        <v>-842.92</v>
      </c>
      <c r="K4" s="937">
        <f t="shared" si="3"/>
        <v>-0.813935748</v>
      </c>
      <c r="L4" s="933">
        <f t="shared" si="4"/>
        <v>-29501.91512</v>
      </c>
      <c r="M4" s="950" t="s">
        <v>128</v>
      </c>
      <c r="N4" s="805"/>
      <c r="O4" s="989"/>
      <c r="P4" s="946">
        <v>43472.0</v>
      </c>
      <c r="Q4" s="797" t="s">
        <v>651</v>
      </c>
      <c r="R4" s="787" t="s">
        <v>652</v>
      </c>
      <c r="S4" s="790">
        <v>3.39</v>
      </c>
      <c r="T4" s="792">
        <f>IFERROR(__xludf.DUMMYFUNCTION("GOOGLEFINANCE(R4,""price"")"),9.74)</f>
        <v>9.74</v>
      </c>
      <c r="U4" s="790">
        <v>10170.0</v>
      </c>
      <c r="V4" s="807">
        <f t="shared" si="5"/>
        <v>29220</v>
      </c>
      <c r="W4" s="807">
        <f t="shared" si="6"/>
        <v>19050</v>
      </c>
      <c r="X4" s="856">
        <f t="shared" si="7"/>
        <v>1.873156342</v>
      </c>
      <c r="Y4" s="787" t="s">
        <v>128</v>
      </c>
      <c r="Z4" s="805"/>
    </row>
    <row r="5">
      <c r="A5" s="226" t="str">
        <f>F13+V13</f>
        <v>#N/A</v>
      </c>
      <c r="B5" s="820" t="s">
        <v>734</v>
      </c>
      <c r="C5" s="950" t="s">
        <v>74</v>
      </c>
      <c r="D5" s="931">
        <v>8.1</v>
      </c>
      <c r="E5" s="932">
        <v>37581.0</v>
      </c>
      <c r="F5" s="933">
        <f t="shared" si="1"/>
        <v>157187.5183</v>
      </c>
      <c r="G5" s="934">
        <v>101.57</v>
      </c>
      <c r="H5" s="935">
        <f>IFERROR(__xludf.DUMMYFUNCTION("GOOGLEFINANCE(C5,""changepct"")"),-1.32)</f>
        <v>-1.32</v>
      </c>
      <c r="I5" s="936">
        <f>IFERROR(__xludf.DUMMYFUNCTION("GOOGLEFINANCE(C5,""price"")"),424.83)</f>
        <v>424.83</v>
      </c>
      <c r="J5" s="936">
        <f t="shared" si="2"/>
        <v>323.26</v>
      </c>
      <c r="K5" s="937">
        <f t="shared" si="3"/>
        <v>3.182632667</v>
      </c>
      <c r="L5" s="933">
        <f t="shared" si="4"/>
        <v>119606.5183</v>
      </c>
      <c r="M5" s="938">
        <v>0.0181</v>
      </c>
      <c r="N5" s="788">
        <v>195.0</v>
      </c>
      <c r="O5" s="989"/>
      <c r="P5" s="946">
        <v>43472.0</v>
      </c>
      <c r="Q5" s="797" t="s">
        <v>632</v>
      </c>
      <c r="R5" s="787" t="s">
        <v>674</v>
      </c>
      <c r="S5" s="790">
        <v>136.7</v>
      </c>
      <c r="T5" s="792">
        <f>IFERROR(__xludf.DUMMYFUNCTION("GOOGLEFINANCE(R5,""price"")"),185.26)</f>
        <v>185.26</v>
      </c>
      <c r="U5" s="790">
        <v>6835.0</v>
      </c>
      <c r="V5" s="807">
        <f t="shared" si="5"/>
        <v>9263</v>
      </c>
      <c r="W5" s="807">
        <f t="shared" si="6"/>
        <v>2428</v>
      </c>
      <c r="X5" s="856">
        <f t="shared" si="7"/>
        <v>0.3552304316</v>
      </c>
      <c r="Y5" s="787" t="s">
        <v>128</v>
      </c>
      <c r="Z5" s="805"/>
    </row>
    <row r="6">
      <c r="A6" s="969"/>
      <c r="B6" s="820" t="s">
        <v>632</v>
      </c>
      <c r="C6" s="950" t="s">
        <v>674</v>
      </c>
      <c r="D6" s="931">
        <v>7.7</v>
      </c>
      <c r="E6" s="932">
        <v>13109.0</v>
      </c>
      <c r="F6" s="933">
        <f t="shared" si="1"/>
        <v>18526</v>
      </c>
      <c r="G6" s="934">
        <v>131.09</v>
      </c>
      <c r="H6" s="949">
        <f>IFERROR(__xludf.DUMMYFUNCTION("GOOGLEFINANCE(C6,""changepct"")"),0.0)</f>
        <v>0</v>
      </c>
      <c r="I6" s="936">
        <f>IFERROR(__xludf.DUMMYFUNCTION("GOOGLEFINANCE(C6,""price"")"),185.26)</f>
        <v>185.26</v>
      </c>
      <c r="J6" s="936">
        <f t="shared" si="2"/>
        <v>54.17</v>
      </c>
      <c r="K6" s="937">
        <f t="shared" si="3"/>
        <v>0.4132275536</v>
      </c>
      <c r="L6" s="933">
        <f t="shared" si="4"/>
        <v>5417</v>
      </c>
      <c r="M6" s="950" t="s">
        <v>128</v>
      </c>
      <c r="N6" s="805"/>
      <c r="O6" s="989"/>
      <c r="P6" s="946">
        <v>43472.0</v>
      </c>
      <c r="Q6" s="797" t="s">
        <v>380</v>
      </c>
      <c r="R6" s="787" t="s">
        <v>53</v>
      </c>
      <c r="S6" s="790">
        <v>137.89</v>
      </c>
      <c r="T6" s="792">
        <f>IFERROR(__xludf.DUMMYFUNCTION("GOOGLEFINANCE(R6,""price"")"),137.49)</f>
        <v>137.49</v>
      </c>
      <c r="U6" s="790">
        <v>6894.5</v>
      </c>
      <c r="V6" s="807">
        <f t="shared" si="5"/>
        <v>6874.5</v>
      </c>
      <c r="W6" s="807">
        <f t="shared" si="6"/>
        <v>-20</v>
      </c>
      <c r="X6" s="856">
        <f t="shared" si="7"/>
        <v>-0.002900863007</v>
      </c>
      <c r="Y6" s="787" t="s">
        <v>128</v>
      </c>
      <c r="Z6" s="805"/>
    </row>
    <row r="7">
      <c r="A7" s="916"/>
      <c r="B7" s="820" t="s">
        <v>337</v>
      </c>
      <c r="C7" s="950" t="s">
        <v>338</v>
      </c>
      <c r="D7" s="931">
        <v>6.5</v>
      </c>
      <c r="E7" s="932">
        <v>35817.0</v>
      </c>
      <c r="F7" s="933">
        <f t="shared" si="1"/>
        <v>15126.63414</v>
      </c>
      <c r="G7" s="934">
        <v>46.93</v>
      </c>
      <c r="H7" s="949">
        <f>IFERROR(__xludf.DUMMYFUNCTION("GOOGLEFINANCE(C7,""changepct"")"),-2.36)</f>
        <v>-2.36</v>
      </c>
      <c r="I7" s="936">
        <f>IFERROR(__xludf.DUMMYFUNCTION("GOOGLEFINANCE(C7,""price"")"),19.82)</f>
        <v>19.82</v>
      </c>
      <c r="J7" s="936">
        <f t="shared" si="2"/>
        <v>-27.11</v>
      </c>
      <c r="K7" s="937">
        <f t="shared" si="3"/>
        <v>-0.5776688685</v>
      </c>
      <c r="L7" s="933">
        <f t="shared" si="4"/>
        <v>-20690.36586</v>
      </c>
      <c r="M7" s="938">
        <v>0.0264</v>
      </c>
      <c r="N7" s="788">
        <v>268.0</v>
      </c>
      <c r="O7" s="989"/>
      <c r="P7" s="946">
        <v>43472.0</v>
      </c>
      <c r="Q7" s="797" t="s">
        <v>749</v>
      </c>
      <c r="R7" s="787" t="s">
        <v>582</v>
      </c>
      <c r="S7" s="790">
        <v>304.1</v>
      </c>
      <c r="T7" s="792">
        <f>IFERROR(__xludf.DUMMYFUNCTION("GOOGLEFINANCE(R7,""price"")"),900.43)</f>
        <v>900.43</v>
      </c>
      <c r="U7" s="790">
        <v>6082.0</v>
      </c>
      <c r="V7" s="807">
        <f t="shared" si="5"/>
        <v>18008.6</v>
      </c>
      <c r="W7" s="807">
        <f t="shared" si="6"/>
        <v>11926.6</v>
      </c>
      <c r="X7" s="856">
        <f t="shared" si="7"/>
        <v>1.960966787</v>
      </c>
      <c r="Y7" s="787" t="s">
        <v>128</v>
      </c>
      <c r="Z7" s="805"/>
    </row>
    <row r="8">
      <c r="A8" s="969"/>
      <c r="B8" s="965" t="s">
        <v>380</v>
      </c>
      <c r="C8" s="931" t="s">
        <v>53</v>
      </c>
      <c r="D8" s="931">
        <v>6.2</v>
      </c>
      <c r="E8" s="932">
        <v>13350.0</v>
      </c>
      <c r="F8" s="933">
        <f t="shared" si="1"/>
        <v>13749</v>
      </c>
      <c r="G8" s="934">
        <v>133.5</v>
      </c>
      <c r="H8" s="949">
        <f>IFERROR(__xludf.DUMMYFUNCTION("GOOGLEFINANCE(C8,""changepct"")"),0.35)</f>
        <v>0.35</v>
      </c>
      <c r="I8" s="936">
        <f>IFERROR(__xludf.DUMMYFUNCTION("GOOGLEFINANCE(C8,""price"")"),137.49)</f>
        <v>137.49</v>
      </c>
      <c r="J8" s="936">
        <f t="shared" si="2"/>
        <v>3.99</v>
      </c>
      <c r="K8" s="937">
        <f t="shared" si="3"/>
        <v>0.02988764045</v>
      </c>
      <c r="L8" s="933">
        <f t="shared" si="4"/>
        <v>399</v>
      </c>
      <c r="M8" s="931" t="s">
        <v>128</v>
      </c>
      <c r="N8" s="805"/>
      <c r="O8" s="989"/>
      <c r="P8" s="946">
        <v>43472.0</v>
      </c>
      <c r="Q8" s="797" t="s">
        <v>530</v>
      </c>
      <c r="R8" s="787" t="s">
        <v>34</v>
      </c>
      <c r="S8" s="790">
        <v>160.4</v>
      </c>
      <c r="T8" s="792">
        <f>IFERROR(__xludf.DUMMYFUNCTION("GOOGLEFINANCE(R8,""price"")"),84.05)</f>
        <v>84.05</v>
      </c>
      <c r="U8" s="790">
        <v>8020.0</v>
      </c>
      <c r="V8" s="807">
        <f t="shared" si="5"/>
        <v>4202.5</v>
      </c>
      <c r="W8" s="807">
        <f t="shared" si="6"/>
        <v>-3817.5</v>
      </c>
      <c r="X8" s="856">
        <f t="shared" si="7"/>
        <v>-0.4759975062</v>
      </c>
      <c r="Y8" s="787" t="s">
        <v>128</v>
      </c>
      <c r="Z8" s="805"/>
    </row>
    <row r="9">
      <c r="A9" s="916"/>
      <c r="B9" s="820" t="s">
        <v>648</v>
      </c>
      <c r="C9" s="950" t="s">
        <v>36</v>
      </c>
      <c r="D9" s="931">
        <v>5.8</v>
      </c>
      <c r="E9" s="932">
        <v>41267.0</v>
      </c>
      <c r="F9" s="933">
        <f t="shared" si="1"/>
        <v>51758.58915</v>
      </c>
      <c r="G9" s="934">
        <v>332.8</v>
      </c>
      <c r="H9" s="949">
        <f>IFERROR(__xludf.DUMMYFUNCTION("GOOGLEFINANCE(C9,""changepct"")"),-3.3)</f>
        <v>-3.3</v>
      </c>
      <c r="I9" s="936">
        <f>IFERROR(__xludf.DUMMYFUNCTION("GOOGLEFINANCE(C9,""price"")"),417.41)</f>
        <v>417.41</v>
      </c>
      <c r="J9" s="936">
        <f t="shared" si="2"/>
        <v>84.61</v>
      </c>
      <c r="K9" s="937">
        <f t="shared" si="3"/>
        <v>0.2542367788</v>
      </c>
      <c r="L9" s="933">
        <f t="shared" si="4"/>
        <v>10491.58915</v>
      </c>
      <c r="M9" s="950" t="s">
        <v>128</v>
      </c>
      <c r="N9" s="805"/>
      <c r="O9" s="989"/>
      <c r="P9" s="946">
        <v>43490.0</v>
      </c>
      <c r="Q9" s="797" t="s">
        <v>648</v>
      </c>
      <c r="R9" s="787" t="s">
        <v>36</v>
      </c>
      <c r="S9" s="790">
        <v>290.6</v>
      </c>
      <c r="T9" s="792">
        <f>IFERROR(__xludf.DUMMYFUNCTION("GOOGLEFINANCE(R9,""price"")"),417.41)</f>
        <v>417.41</v>
      </c>
      <c r="U9" s="790">
        <v>14530.0</v>
      </c>
      <c r="V9" s="807">
        <f t="shared" si="5"/>
        <v>20870.5</v>
      </c>
      <c r="W9" s="807">
        <f t="shared" si="6"/>
        <v>6340.5</v>
      </c>
      <c r="X9" s="856">
        <f t="shared" si="7"/>
        <v>0.4363730213</v>
      </c>
      <c r="Y9" s="787" t="s">
        <v>128</v>
      </c>
      <c r="Z9" s="805"/>
    </row>
    <row r="10">
      <c r="A10" s="969"/>
      <c r="B10" s="820" t="s">
        <v>749</v>
      </c>
      <c r="C10" s="950" t="s">
        <v>582</v>
      </c>
      <c r="D10" s="931">
        <v>5.9</v>
      </c>
      <c r="E10" s="932">
        <v>13383.0</v>
      </c>
      <c r="F10" s="933">
        <f t="shared" si="1"/>
        <v>45021.5</v>
      </c>
      <c r="G10" s="934">
        <v>267.66</v>
      </c>
      <c r="H10" s="935">
        <f>IFERROR(__xludf.DUMMYFUNCTION("GOOGLEFINANCE(C10,""changepct"")"),-0.78)</f>
        <v>-0.78</v>
      </c>
      <c r="I10" s="936">
        <f>IFERROR(__xludf.DUMMYFUNCTION("GOOGLEFINANCE(C10,""price"")"),900.43)</f>
        <v>900.43</v>
      </c>
      <c r="J10" s="936">
        <f t="shared" si="2"/>
        <v>632.77</v>
      </c>
      <c r="K10" s="937">
        <f t="shared" si="3"/>
        <v>2.364081297</v>
      </c>
      <c r="L10" s="933">
        <f t="shared" si="4"/>
        <v>31638.5</v>
      </c>
      <c r="M10" s="950" t="s">
        <v>128</v>
      </c>
      <c r="N10" s="805"/>
      <c r="O10" s="989"/>
      <c r="P10" s="800"/>
      <c r="Q10" s="800"/>
      <c r="R10" s="800"/>
      <c r="S10" s="807"/>
      <c r="T10" s="792"/>
      <c r="U10" s="807"/>
      <c r="V10" s="800"/>
      <c r="W10" s="841"/>
      <c r="X10" s="856"/>
      <c r="Y10" s="800"/>
      <c r="Z10" s="805"/>
    </row>
    <row r="11">
      <c r="A11" s="916"/>
      <c r="B11" s="820" t="s">
        <v>344</v>
      </c>
      <c r="C11" s="950" t="s">
        <v>345</v>
      </c>
      <c r="D11" s="931">
        <v>7.7</v>
      </c>
      <c r="E11" s="932">
        <v>10606.0</v>
      </c>
      <c r="F11" s="933">
        <f t="shared" si="1"/>
        <v>14303.45528</v>
      </c>
      <c r="G11" s="934">
        <v>39.47</v>
      </c>
      <c r="H11" s="935">
        <f>IFERROR(__xludf.DUMMYFUNCTION("GOOGLEFINANCE(C11,""changepct"")"),-0.69)</f>
        <v>-0.69</v>
      </c>
      <c r="I11" s="936">
        <f>IFERROR(__xludf.DUMMYFUNCTION("GOOGLEFINANCE(C11,""price"")"),53.23)</f>
        <v>53.23</v>
      </c>
      <c r="J11" s="936">
        <f t="shared" si="2"/>
        <v>13.76</v>
      </c>
      <c r="K11" s="937">
        <f t="shared" si="3"/>
        <v>0.3486192045</v>
      </c>
      <c r="L11" s="933">
        <f t="shared" si="4"/>
        <v>3697.455282</v>
      </c>
      <c r="M11" s="950" t="s">
        <v>128</v>
      </c>
      <c r="N11" s="805"/>
      <c r="O11" s="989"/>
      <c r="P11" s="800"/>
      <c r="Q11" s="800"/>
      <c r="R11" s="800"/>
      <c r="S11" s="807"/>
      <c r="T11" s="807"/>
      <c r="U11" s="807"/>
      <c r="V11" s="800"/>
      <c r="W11" s="841"/>
      <c r="X11" s="856"/>
      <c r="Y11" s="800"/>
      <c r="Z11" s="805"/>
    </row>
    <row r="12">
      <c r="A12" s="969"/>
      <c r="B12" s="820" t="s">
        <v>530</v>
      </c>
      <c r="C12" s="950" t="s">
        <v>34</v>
      </c>
      <c r="D12" s="931">
        <v>7.1</v>
      </c>
      <c r="E12" s="932">
        <v>12810.0</v>
      </c>
      <c r="F12" s="933">
        <f t="shared" si="1"/>
        <v>6788.653846</v>
      </c>
      <c r="G12" s="934">
        <v>158.6</v>
      </c>
      <c r="H12" s="949">
        <f>IFERROR(__xludf.DUMMYFUNCTION("GOOGLEFINANCE(C12,""changepct"")"),-2.94)</f>
        <v>-2.94</v>
      </c>
      <c r="I12" s="936">
        <f>IFERROR(__xludf.DUMMYFUNCTION("GOOGLEFINANCE(C12,""price"")"),84.05)</f>
        <v>84.05</v>
      </c>
      <c r="J12" s="936">
        <f t="shared" si="2"/>
        <v>-74.55</v>
      </c>
      <c r="K12" s="937">
        <f t="shared" si="3"/>
        <v>-0.4700504414</v>
      </c>
      <c r="L12" s="933">
        <f t="shared" si="4"/>
        <v>-6021.346154</v>
      </c>
      <c r="M12" s="950" t="s">
        <v>128</v>
      </c>
      <c r="N12" s="805"/>
      <c r="O12" s="989"/>
      <c r="P12" s="800"/>
      <c r="Q12" s="800"/>
      <c r="R12" s="800"/>
      <c r="S12" s="807"/>
      <c r="T12" s="807"/>
      <c r="U12" s="807"/>
      <c r="V12" s="800"/>
      <c r="W12" s="841"/>
      <c r="X12" s="856"/>
      <c r="Y12" s="800"/>
      <c r="Z12" s="805"/>
    </row>
    <row r="13">
      <c r="A13" s="968" t="s">
        <v>89</v>
      </c>
      <c r="B13" s="969"/>
      <c r="C13" s="969"/>
      <c r="D13" s="969"/>
      <c r="E13" s="970">
        <f t="shared" ref="E13:F13" si="8">SUM(E2:E12)</f>
        <v>265261</v>
      </c>
      <c r="F13" s="970">
        <f t="shared" si="8"/>
        <v>499149.1689</v>
      </c>
      <c r="G13" s="969"/>
      <c r="H13" s="971"/>
      <c r="I13" s="969"/>
      <c r="J13" s="969"/>
      <c r="K13" s="972">
        <f>L13/E13</f>
        <v>0.8817284444</v>
      </c>
      <c r="L13" s="970">
        <f>SUM(L2:L12)</f>
        <v>233888.1689</v>
      </c>
      <c r="M13" s="969"/>
      <c r="N13" s="973">
        <f>SUM(N2:N12)</f>
        <v>596</v>
      </c>
      <c r="O13" s="989"/>
      <c r="P13" s="736" t="s">
        <v>113</v>
      </c>
      <c r="Q13" s="736"/>
      <c r="R13" s="989"/>
      <c r="S13" s="1133"/>
      <c r="T13" s="1133"/>
      <c r="U13" s="959">
        <f t="shared" ref="U13:V13" si="9">SUM(U2:U12)</f>
        <v>74839.7</v>
      </c>
      <c r="V13" s="1134" t="str">
        <f t="shared" si="9"/>
        <v>#N/A</v>
      </c>
      <c r="W13" s="959" t="str">
        <f>V13-U13</f>
        <v>#N/A</v>
      </c>
      <c r="X13" s="796" t="str">
        <f>W13/U13</f>
        <v>#N/A</v>
      </c>
      <c r="Y13" s="989"/>
      <c r="Z13" s="956"/>
    </row>
    <row r="14">
      <c r="A14" s="925" t="s">
        <v>1101</v>
      </c>
      <c r="B14" s="924" t="s">
        <v>3</v>
      </c>
      <c r="C14" s="924" t="s">
        <v>1010</v>
      </c>
      <c r="D14" s="924"/>
      <c r="E14" s="926" t="s">
        <v>1116</v>
      </c>
      <c r="F14" s="927" t="s">
        <v>1012</v>
      </c>
      <c r="G14" s="927" t="s">
        <v>1108</v>
      </c>
      <c r="H14" s="928" t="s">
        <v>10</v>
      </c>
      <c r="I14" s="924" t="s">
        <v>1014</v>
      </c>
      <c r="J14" s="924" t="s">
        <v>1015</v>
      </c>
      <c r="K14" s="924" t="s">
        <v>1092</v>
      </c>
      <c r="L14" s="924" t="s">
        <v>15</v>
      </c>
      <c r="M14" s="925" t="s">
        <v>1093</v>
      </c>
      <c r="N14" s="929" t="s">
        <v>17</v>
      </c>
      <c r="O14" s="854" t="s">
        <v>1117</v>
      </c>
      <c r="P14" s="1094" t="s">
        <v>1020</v>
      </c>
      <c r="Q14" s="854" t="s">
        <v>3</v>
      </c>
      <c r="R14" s="854" t="s">
        <v>1038</v>
      </c>
      <c r="S14" s="854" t="s">
        <v>1095</v>
      </c>
      <c r="T14" s="854" t="s">
        <v>1014</v>
      </c>
      <c r="U14" s="854" t="s">
        <v>1096</v>
      </c>
      <c r="V14" s="854" t="s">
        <v>1012</v>
      </c>
      <c r="W14" s="854" t="s">
        <v>15</v>
      </c>
      <c r="X14" s="854" t="s">
        <v>1097</v>
      </c>
      <c r="Y14" s="925" t="s">
        <v>1098</v>
      </c>
      <c r="Z14" s="929" t="s">
        <v>17</v>
      </c>
    </row>
    <row r="15">
      <c r="A15" s="1" t="s">
        <v>1099</v>
      </c>
      <c r="B15" s="820" t="s">
        <v>773</v>
      </c>
      <c r="C15" s="950" t="s">
        <v>774</v>
      </c>
      <c r="D15" s="931">
        <v>8.8</v>
      </c>
      <c r="E15" s="932">
        <v>52260.0</v>
      </c>
      <c r="F15" s="933">
        <f t="shared" ref="F15:F19" si="10">E15+L15</f>
        <v>95126.15702</v>
      </c>
      <c r="G15" s="975">
        <v>14.52</v>
      </c>
      <c r="H15" s="935">
        <f>IFERROR(__xludf.DUMMYFUNCTION("GOOGLEFINANCE(C15,""changepct"")"),-1.23)</f>
        <v>-1.23</v>
      </c>
      <c r="I15" s="936">
        <f>IFERROR(__xludf.DUMMYFUNCTION("googlefinance(C15,""price"")"),26.43)</f>
        <v>26.43</v>
      </c>
      <c r="J15" s="936">
        <f t="shared" ref="J15:J19" si="11">(I15-G15)</f>
        <v>11.91</v>
      </c>
      <c r="K15" s="976">
        <f t="shared" ref="K15:K19" si="12">(I15/G15-1)</f>
        <v>0.8202479339</v>
      </c>
      <c r="L15" s="933">
        <f t="shared" ref="L15:L19" si="13">(E15*K15)</f>
        <v>42866.15702</v>
      </c>
      <c r="M15" s="950" t="s">
        <v>128</v>
      </c>
      <c r="N15" s="805"/>
      <c r="O15" s="989"/>
      <c r="P15" s="946">
        <v>43481.0</v>
      </c>
      <c r="Q15" s="797" t="s">
        <v>506</v>
      </c>
      <c r="R15" s="787" t="s">
        <v>169</v>
      </c>
      <c r="S15" s="790">
        <v>31.18</v>
      </c>
      <c r="T15" s="807">
        <f>IFERROR(__xludf.DUMMYFUNCTION("GOOGLEFINANCE(R15,""price"")"),37.0)</f>
        <v>37</v>
      </c>
      <c r="U15" s="790">
        <v>15590.0</v>
      </c>
      <c r="V15" s="807">
        <f t="shared" ref="V15:V16" si="14">U15+W15</f>
        <v>18500</v>
      </c>
      <c r="W15" s="807">
        <f t="shared" ref="W15:W16" si="15">U15*X15</f>
        <v>2910</v>
      </c>
      <c r="X15" s="856">
        <f t="shared" ref="X15:X16" si="16">T15/S15-1</f>
        <v>0.1866581142</v>
      </c>
      <c r="Y15" s="802">
        <v>0.0163</v>
      </c>
      <c r="Z15" s="788">
        <v>72.0</v>
      </c>
    </row>
    <row r="16">
      <c r="A16" s="1097" t="str">
        <f>(F20+V20)/G58</f>
        <v>#N/A</v>
      </c>
      <c r="B16" s="820" t="s">
        <v>170</v>
      </c>
      <c r="C16" s="950" t="s">
        <v>169</v>
      </c>
      <c r="D16" s="931">
        <v>7.9</v>
      </c>
      <c r="E16" s="932">
        <v>47712.0</v>
      </c>
      <c r="F16" s="933">
        <f t="shared" si="10"/>
        <v>50947.87879</v>
      </c>
      <c r="G16" s="975">
        <v>34.65</v>
      </c>
      <c r="H16" s="935">
        <f>IFERROR(__xludf.DUMMYFUNCTION("GOOGLEFINANCE(C16,""changepct"")"),-2.22)</f>
        <v>-2.22</v>
      </c>
      <c r="I16" s="936">
        <f>IFERROR(__xludf.DUMMYFUNCTION("googlefinance(C16,""price"")"),37.0)</f>
        <v>37</v>
      </c>
      <c r="J16" s="936">
        <f t="shared" si="11"/>
        <v>2.35</v>
      </c>
      <c r="K16" s="976">
        <f t="shared" si="12"/>
        <v>0.06782106782</v>
      </c>
      <c r="L16" s="933">
        <f t="shared" si="13"/>
        <v>3235.878788</v>
      </c>
      <c r="M16" s="938">
        <v>0.0164</v>
      </c>
      <c r="N16" s="788">
        <v>200.0</v>
      </c>
      <c r="O16" s="989"/>
      <c r="P16" s="946">
        <v>43530.0</v>
      </c>
      <c r="Q16" s="797" t="s">
        <v>773</v>
      </c>
      <c r="R16" s="787" t="s">
        <v>774</v>
      </c>
      <c r="S16" s="790">
        <v>14.14</v>
      </c>
      <c r="T16" s="807">
        <f>IFERROR(__xludf.DUMMYFUNCTION("GOOGLEFINANCE(R16,""price"")"),26.43)</f>
        <v>26.43</v>
      </c>
      <c r="U16" s="790">
        <v>14140.0</v>
      </c>
      <c r="V16" s="807">
        <f t="shared" si="14"/>
        <v>26430</v>
      </c>
      <c r="W16" s="807">
        <f t="shared" si="15"/>
        <v>12290</v>
      </c>
      <c r="X16" s="856">
        <f t="shared" si="16"/>
        <v>0.869165488</v>
      </c>
      <c r="Y16" s="800"/>
      <c r="Z16" s="805"/>
    </row>
    <row r="17">
      <c r="A17" s="1" t="s">
        <v>1059</v>
      </c>
      <c r="B17" s="820" t="s">
        <v>1035</v>
      </c>
      <c r="C17" s="950" t="s">
        <v>158</v>
      </c>
      <c r="D17" s="931">
        <v>8.2</v>
      </c>
      <c r="E17" s="932">
        <v>45933.0</v>
      </c>
      <c r="F17" s="933">
        <f t="shared" si="10"/>
        <v>73549.42674</v>
      </c>
      <c r="G17" s="975">
        <v>21.09</v>
      </c>
      <c r="H17" s="935">
        <f>IFERROR(__xludf.DUMMYFUNCTION("GOOGLEFINANCE(C17,""changepct"")"),-1.43)</f>
        <v>-1.43</v>
      </c>
      <c r="I17" s="936">
        <f>IFERROR(__xludf.DUMMYFUNCTION("googlefinance(C17,""price"")"),33.77)</f>
        <v>33.77</v>
      </c>
      <c r="J17" s="936">
        <f t="shared" si="11"/>
        <v>12.68</v>
      </c>
      <c r="K17" s="976">
        <f t="shared" si="12"/>
        <v>0.6012328118</v>
      </c>
      <c r="L17" s="933">
        <f t="shared" si="13"/>
        <v>27616.42674</v>
      </c>
      <c r="M17" s="938">
        <v>0.0092</v>
      </c>
      <c r="N17" s="788">
        <v>115.0</v>
      </c>
      <c r="O17" s="989"/>
      <c r="P17" s="800"/>
      <c r="Q17" s="800"/>
      <c r="R17" s="800"/>
      <c r="S17" s="807"/>
      <c r="T17" s="807"/>
      <c r="U17" s="807"/>
      <c r="V17" s="807"/>
      <c r="W17" s="807"/>
      <c r="X17" s="856"/>
      <c r="Y17" s="800"/>
      <c r="Z17" s="805"/>
    </row>
    <row r="18">
      <c r="A18" s="226" t="str">
        <f>F20+V20</f>
        <v>#N/A</v>
      </c>
      <c r="B18" s="820" t="s">
        <v>1036</v>
      </c>
      <c r="C18" s="950" t="s">
        <v>161</v>
      </c>
      <c r="D18" s="931">
        <v>8.1</v>
      </c>
      <c r="E18" s="932">
        <v>35776.0</v>
      </c>
      <c r="F18" s="933">
        <f t="shared" si="10"/>
        <v>50100.60622</v>
      </c>
      <c r="G18" s="975">
        <v>30.22</v>
      </c>
      <c r="H18" s="935">
        <f>IFERROR(__xludf.DUMMYFUNCTION("GOOGLEFINANCE(C18,""changepct"")"),-1.7)</f>
        <v>-1.7</v>
      </c>
      <c r="I18" s="936">
        <f>IFERROR(__xludf.DUMMYFUNCTION("googlefinance(C18,""price"")"),42.32)</f>
        <v>42.32</v>
      </c>
      <c r="J18" s="936">
        <f t="shared" si="11"/>
        <v>12.1</v>
      </c>
      <c r="K18" s="976">
        <f t="shared" si="12"/>
        <v>0.400397088</v>
      </c>
      <c r="L18" s="933">
        <f t="shared" si="13"/>
        <v>14324.60622</v>
      </c>
      <c r="M18" s="950" t="s">
        <v>128</v>
      </c>
      <c r="N18" s="805"/>
      <c r="O18" s="989"/>
      <c r="P18" s="800"/>
      <c r="Q18" s="800"/>
      <c r="R18" s="800"/>
      <c r="S18" s="807"/>
      <c r="T18" s="807"/>
      <c r="U18" s="807"/>
      <c r="V18" s="807"/>
      <c r="W18" s="807"/>
      <c r="X18" s="856"/>
      <c r="Y18" s="800"/>
      <c r="Z18" s="805"/>
    </row>
    <row r="19">
      <c r="A19" s="969"/>
      <c r="B19" s="820" t="s">
        <v>1032</v>
      </c>
      <c r="C19" s="950" t="s">
        <v>710</v>
      </c>
      <c r="D19" s="931">
        <v>7.7</v>
      </c>
      <c r="E19" s="932">
        <v>41744.0</v>
      </c>
      <c r="F19" s="933" t="str">
        <f t="shared" si="10"/>
        <v>#N/A</v>
      </c>
      <c r="G19" s="975">
        <v>26.09</v>
      </c>
      <c r="H19" s="935" t="str">
        <f>IFERROR(__xludf.DUMMYFUNCTION("GOOGLEFINANCE(C19,""changepct"")"),"#N/A")</f>
        <v>#N/A</v>
      </c>
      <c r="I19" s="936" t="str">
        <f>IFERROR(__xludf.DUMMYFUNCTION("googlefinance(C19,""price"")"),"#N/A")</f>
        <v>#N/A</v>
      </c>
      <c r="J19" s="936" t="str">
        <f t="shared" si="11"/>
        <v>#N/A</v>
      </c>
      <c r="K19" s="976" t="str">
        <f t="shared" si="12"/>
        <v>#N/A</v>
      </c>
      <c r="L19" s="933" t="str">
        <f t="shared" si="13"/>
        <v>#N/A</v>
      </c>
      <c r="M19" s="938">
        <v>0.005</v>
      </c>
      <c r="N19" s="788">
        <v>65.0</v>
      </c>
      <c r="O19" s="989"/>
      <c r="P19" s="800"/>
      <c r="Q19" s="800"/>
      <c r="R19" s="800"/>
      <c r="S19" s="807"/>
      <c r="T19" s="807"/>
      <c r="U19" s="807"/>
      <c r="V19" s="807"/>
      <c r="W19" s="807"/>
      <c r="X19" s="856"/>
      <c r="Y19" s="800"/>
      <c r="Z19" s="805"/>
    </row>
    <row r="20">
      <c r="A20" s="968" t="s">
        <v>89</v>
      </c>
      <c r="B20" s="969"/>
      <c r="C20" s="969"/>
      <c r="D20" s="969"/>
      <c r="E20" s="970">
        <f t="shared" ref="E20:F20" si="17">SUM(E15:E19)</f>
        <v>223425</v>
      </c>
      <c r="F20" s="970" t="str">
        <f t="shared" si="17"/>
        <v>#N/A</v>
      </c>
      <c r="G20" s="985"/>
      <c r="H20" s="971"/>
      <c r="I20" s="985"/>
      <c r="J20" s="985"/>
      <c r="K20" s="972" t="str">
        <f>L20/E20</f>
        <v>#N/A</v>
      </c>
      <c r="L20" s="970" t="str">
        <f>SUM(L15:L19)</f>
        <v>#N/A</v>
      </c>
      <c r="M20" s="969"/>
      <c r="N20" s="973">
        <f>SUM(N15:N19)</f>
        <v>380</v>
      </c>
      <c r="O20" s="989"/>
      <c r="P20" s="736" t="s">
        <v>113</v>
      </c>
      <c r="Q20" s="736"/>
      <c r="R20" s="989"/>
      <c r="S20" s="1133"/>
      <c r="T20" s="1133"/>
      <c r="U20" s="959">
        <f t="shared" ref="U20:X20" si="18">SUM(U15:U19)</f>
        <v>29730</v>
      </c>
      <c r="V20" s="959">
        <f t="shared" si="18"/>
        <v>44930</v>
      </c>
      <c r="W20" s="959">
        <f t="shared" si="18"/>
        <v>15200</v>
      </c>
      <c r="X20" s="796">
        <f t="shared" si="18"/>
        <v>1.055823602</v>
      </c>
      <c r="Y20" s="989"/>
      <c r="Z20" s="1102">
        <f>SUM(Z15:Z19)</f>
        <v>72</v>
      </c>
    </row>
    <row r="21">
      <c r="A21" s="925" t="s">
        <v>1037</v>
      </c>
      <c r="B21" s="924" t="s">
        <v>3</v>
      </c>
      <c r="C21" s="924" t="s">
        <v>1038</v>
      </c>
      <c r="D21" s="924"/>
      <c r="E21" s="926" t="s">
        <v>1116</v>
      </c>
      <c r="F21" s="927" t="s">
        <v>1012</v>
      </c>
      <c r="G21" s="927" t="s">
        <v>1108</v>
      </c>
      <c r="H21" s="928" t="s">
        <v>10</v>
      </c>
      <c r="I21" s="924" t="s">
        <v>1014</v>
      </c>
      <c r="J21" s="924" t="s">
        <v>1015</v>
      </c>
      <c r="K21" s="924" t="s">
        <v>1092</v>
      </c>
      <c r="L21" s="924" t="s">
        <v>15</v>
      </c>
      <c r="M21" s="925" t="s">
        <v>1093</v>
      </c>
      <c r="N21" s="929" t="s">
        <v>17</v>
      </c>
      <c r="O21" s="925" t="s">
        <v>1037</v>
      </c>
      <c r="P21" s="1094" t="s">
        <v>1020</v>
      </c>
      <c r="Q21" s="854" t="s">
        <v>3</v>
      </c>
      <c r="R21" s="854" t="s">
        <v>1038</v>
      </c>
      <c r="S21" s="854" t="s">
        <v>1095</v>
      </c>
      <c r="T21" s="854" t="s">
        <v>1014</v>
      </c>
      <c r="U21" s="854" t="s">
        <v>1096</v>
      </c>
      <c r="V21" s="854" t="s">
        <v>1012</v>
      </c>
      <c r="W21" s="854" t="s">
        <v>15</v>
      </c>
      <c r="X21" s="854" t="s">
        <v>1097</v>
      </c>
      <c r="Y21" s="925" t="s">
        <v>1098</v>
      </c>
      <c r="Z21" s="929" t="s">
        <v>17</v>
      </c>
    </row>
    <row r="22">
      <c r="A22" s="1" t="s">
        <v>1099</v>
      </c>
      <c r="B22" s="965" t="s">
        <v>1102</v>
      </c>
      <c r="C22" s="950" t="s">
        <v>1103</v>
      </c>
      <c r="D22" s="931">
        <v>7.3</v>
      </c>
      <c r="E22" s="932">
        <v>41364.0</v>
      </c>
      <c r="F22" s="933">
        <f t="shared" ref="F22:F26" si="19">E22+L22</f>
        <v>75190.5</v>
      </c>
      <c r="G22" s="975">
        <v>91.92</v>
      </c>
      <c r="H22" s="935">
        <f>IFERROR(__xludf.DUMMYFUNCTION("GOOGLEFINANCE(C22,""changepct"")"),-1.44)</f>
        <v>-1.44</v>
      </c>
      <c r="I22" s="936">
        <f>IFERROR(__xludf.DUMMYFUNCTION("googlefinance(C22,""price"")"),167.09)</f>
        <v>167.09</v>
      </c>
      <c r="J22" s="936">
        <f t="shared" ref="J22:J26" si="20">(I22-G22)</f>
        <v>75.17</v>
      </c>
      <c r="K22" s="976">
        <f t="shared" ref="K22:K26" si="21">(I22/G22-1)</f>
        <v>0.8177763272</v>
      </c>
      <c r="L22" s="933">
        <f t="shared" ref="L22:L26" si="22">(E22*K22)</f>
        <v>33826.5</v>
      </c>
      <c r="M22" s="938">
        <v>0.0315</v>
      </c>
      <c r="N22" s="788">
        <v>350.0</v>
      </c>
      <c r="O22" s="989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5"/>
    </row>
    <row r="23">
      <c r="A23" s="1097">
        <f>F27/G58</f>
        <v>0.16593324</v>
      </c>
      <c r="B23" s="820" t="s">
        <v>606</v>
      </c>
      <c r="C23" s="950" t="s">
        <v>607</v>
      </c>
      <c r="D23" s="931">
        <v>6.9</v>
      </c>
      <c r="E23" s="932">
        <v>38940.0</v>
      </c>
      <c r="F23" s="933">
        <f t="shared" si="19"/>
        <v>63370</v>
      </c>
      <c r="G23" s="975">
        <v>38.94</v>
      </c>
      <c r="H23" s="935">
        <f>IFERROR(__xludf.DUMMYFUNCTION("GOOGLEFINANCE(C23,""changepct"")"),-0.91)</f>
        <v>-0.91</v>
      </c>
      <c r="I23" s="936">
        <f>IFERROR(__xludf.DUMMYFUNCTION("googlefinance(C23,""price"")"),63.37)</f>
        <v>63.37</v>
      </c>
      <c r="J23" s="936">
        <f t="shared" si="20"/>
        <v>24.43</v>
      </c>
      <c r="K23" s="937">
        <f t="shared" si="21"/>
        <v>0.6273754494</v>
      </c>
      <c r="L23" s="933">
        <f t="shared" si="22"/>
        <v>24430</v>
      </c>
      <c r="M23" s="938">
        <v>0.0502</v>
      </c>
      <c r="N23" s="788">
        <v>645.0</v>
      </c>
      <c r="O23" s="989"/>
      <c r="P23" s="800"/>
      <c r="Q23" s="800"/>
      <c r="R23" s="800"/>
      <c r="S23" s="800"/>
      <c r="T23" s="800"/>
      <c r="U23" s="800"/>
      <c r="V23" s="800"/>
      <c r="W23" s="800"/>
      <c r="X23" s="800"/>
      <c r="Y23" s="800"/>
      <c r="Z23" s="805"/>
    </row>
    <row r="24">
      <c r="A24" s="1" t="s">
        <v>1046</v>
      </c>
      <c r="B24" s="820" t="s">
        <v>483</v>
      </c>
      <c r="C24" s="950" t="s">
        <v>484</v>
      </c>
      <c r="D24" s="931">
        <v>6.8</v>
      </c>
      <c r="E24" s="932">
        <v>34248.0</v>
      </c>
      <c r="F24" s="933">
        <f t="shared" si="19"/>
        <v>27132</v>
      </c>
      <c r="G24" s="975">
        <v>28.54</v>
      </c>
      <c r="H24" s="935">
        <f>IFERROR(__xludf.DUMMYFUNCTION("GOOGLEFINANCE(C24,""changepct"")"),-1.09)</f>
        <v>-1.09</v>
      </c>
      <c r="I24" s="936">
        <f>IFERROR(__xludf.DUMMYFUNCTION("googlefinance(C24,""price"")"),22.61)</f>
        <v>22.61</v>
      </c>
      <c r="J24" s="936">
        <f t="shared" si="20"/>
        <v>-5.93</v>
      </c>
      <c r="K24" s="937">
        <f t="shared" si="21"/>
        <v>-0.2077785564</v>
      </c>
      <c r="L24" s="933">
        <f t="shared" si="22"/>
        <v>-7116</v>
      </c>
      <c r="M24" s="938">
        <v>0.0712</v>
      </c>
      <c r="N24" s="788">
        <v>655.0</v>
      </c>
      <c r="O24" s="989"/>
      <c r="P24" s="800"/>
      <c r="Q24" s="800"/>
      <c r="R24" s="800"/>
      <c r="S24" s="800"/>
      <c r="T24" s="800"/>
      <c r="U24" s="800"/>
      <c r="V24" s="800"/>
      <c r="W24" s="800"/>
      <c r="X24" s="800"/>
      <c r="Y24" s="800"/>
      <c r="Z24" s="805"/>
    </row>
    <row r="25">
      <c r="A25" s="1099">
        <f>F27</f>
        <v>236462.5</v>
      </c>
      <c r="B25" s="820" t="s">
        <v>604</v>
      </c>
      <c r="C25" s="950" t="s">
        <v>605</v>
      </c>
      <c r="D25" s="931">
        <v>5.7</v>
      </c>
      <c r="E25" s="932">
        <v>43040.0</v>
      </c>
      <c r="F25" s="933">
        <f t="shared" si="19"/>
        <v>30360</v>
      </c>
      <c r="G25" s="975">
        <v>43.04</v>
      </c>
      <c r="H25" s="949">
        <f>IFERROR(__xludf.DUMMYFUNCTION("GOOGLEFINANCE(C25,""changepct"")"),-1.04)</f>
        <v>-1.04</v>
      </c>
      <c r="I25" s="936">
        <f>IFERROR(__xludf.DUMMYFUNCTION("googlefinance(C25,""price"")"),30.36)</f>
        <v>30.36</v>
      </c>
      <c r="J25" s="936">
        <f t="shared" si="20"/>
        <v>-12.68</v>
      </c>
      <c r="K25" s="937">
        <f t="shared" si="21"/>
        <v>-0.2946096654</v>
      </c>
      <c r="L25" s="933">
        <f t="shared" si="22"/>
        <v>-12680</v>
      </c>
      <c r="M25" s="991">
        <v>0.0766</v>
      </c>
      <c r="N25" s="788">
        <v>557.0</v>
      </c>
      <c r="O25" s="989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5"/>
    </row>
    <row r="26">
      <c r="A26" s="969"/>
      <c r="B26" s="965" t="s">
        <v>608</v>
      </c>
      <c r="C26" s="950" t="s">
        <v>1039</v>
      </c>
      <c r="D26" s="931">
        <v>6.3</v>
      </c>
      <c r="E26" s="932">
        <v>28505.0</v>
      </c>
      <c r="F26" s="933">
        <f t="shared" si="19"/>
        <v>40410</v>
      </c>
      <c r="G26" s="975">
        <v>57.01</v>
      </c>
      <c r="H26" s="949">
        <f>IFERROR(__xludf.DUMMYFUNCTION("GOOGLEFINANCE(C26,""changepct"")"),-0.43)</f>
        <v>-0.43</v>
      </c>
      <c r="I26" s="936">
        <f>IFERROR(__xludf.DUMMYFUNCTION("googlefinance(C26,""price"")"),80.82)</f>
        <v>80.82</v>
      </c>
      <c r="J26" s="936">
        <f t="shared" si="20"/>
        <v>23.81</v>
      </c>
      <c r="K26" s="937">
        <f t="shared" si="21"/>
        <v>0.417646027</v>
      </c>
      <c r="L26" s="933">
        <f t="shared" si="22"/>
        <v>11905</v>
      </c>
      <c r="M26" s="938">
        <v>0.039</v>
      </c>
      <c r="N26" s="788">
        <v>272.0</v>
      </c>
      <c r="O26" s="989"/>
      <c r="P26" s="800"/>
      <c r="Q26" s="800"/>
      <c r="R26" s="800"/>
      <c r="S26" s="800"/>
      <c r="T26" s="800"/>
      <c r="U26" s="800"/>
      <c r="V26" s="800"/>
      <c r="W26" s="800"/>
      <c r="X26" s="800"/>
      <c r="Y26" s="800"/>
      <c r="Z26" s="805"/>
    </row>
    <row r="27">
      <c r="A27" s="968" t="s">
        <v>89</v>
      </c>
      <c r="B27" s="969"/>
      <c r="C27" s="969"/>
      <c r="D27" s="969"/>
      <c r="E27" s="970">
        <f t="shared" ref="E27:F27" si="23">SUM(E22:E26)</f>
        <v>186097</v>
      </c>
      <c r="F27" s="970">
        <f t="shared" si="23"/>
        <v>236462.5</v>
      </c>
      <c r="G27" s="985"/>
      <c r="H27" s="971"/>
      <c r="I27" s="985"/>
      <c r="J27" s="985"/>
      <c r="K27" s="972">
        <f>L27/E27</f>
        <v>0.2706411173</v>
      </c>
      <c r="L27" s="970">
        <f>SUM(L22:L26)</f>
        <v>50365.5</v>
      </c>
      <c r="M27" s="969"/>
      <c r="N27" s="973">
        <f>SUM(N22:N26)</f>
        <v>2479</v>
      </c>
      <c r="O27" s="989"/>
      <c r="P27" s="736" t="s">
        <v>113</v>
      </c>
      <c r="Q27" s="989"/>
      <c r="R27" s="989"/>
      <c r="S27" s="989"/>
      <c r="T27" s="989"/>
      <c r="U27" s="989"/>
      <c r="V27" s="989"/>
      <c r="W27" s="989"/>
      <c r="X27" s="989"/>
      <c r="Y27" s="989"/>
      <c r="Z27" s="956"/>
    </row>
    <row r="28">
      <c r="A28" s="925" t="s">
        <v>614</v>
      </c>
      <c r="B28" s="924" t="s">
        <v>3</v>
      </c>
      <c r="C28" s="924" t="s">
        <v>1038</v>
      </c>
      <c r="D28" s="924"/>
      <c r="E28" s="926" t="s">
        <v>1116</v>
      </c>
      <c r="F28" s="927" t="s">
        <v>1012</v>
      </c>
      <c r="G28" s="927" t="s">
        <v>1108</v>
      </c>
      <c r="H28" s="928" t="s">
        <v>10</v>
      </c>
      <c r="I28" s="924" t="s">
        <v>1014</v>
      </c>
      <c r="J28" s="924" t="s">
        <v>1015</v>
      </c>
      <c r="K28" s="924" t="s">
        <v>1092</v>
      </c>
      <c r="L28" s="924" t="s">
        <v>15</v>
      </c>
      <c r="M28" s="925" t="s">
        <v>1093</v>
      </c>
      <c r="N28" s="929" t="s">
        <v>17</v>
      </c>
      <c r="O28" s="925" t="s">
        <v>614</v>
      </c>
      <c r="P28" s="1094" t="s">
        <v>1020</v>
      </c>
      <c r="Q28" s="854" t="s">
        <v>3</v>
      </c>
      <c r="R28" s="854" t="s">
        <v>1038</v>
      </c>
      <c r="S28" s="854" t="s">
        <v>1095</v>
      </c>
      <c r="T28" s="854" t="s">
        <v>1014</v>
      </c>
      <c r="U28" s="854" t="s">
        <v>1096</v>
      </c>
      <c r="V28" s="854" t="s">
        <v>1012</v>
      </c>
      <c r="W28" s="854" t="s">
        <v>15</v>
      </c>
      <c r="X28" s="854" t="s">
        <v>1097</v>
      </c>
      <c r="Y28" s="925" t="s">
        <v>1098</v>
      </c>
      <c r="Z28" s="929" t="s">
        <v>17</v>
      </c>
    </row>
    <row r="29">
      <c r="A29" s="1" t="s">
        <v>1099</v>
      </c>
      <c r="B29" s="820" t="s">
        <v>615</v>
      </c>
      <c r="C29" s="950" t="s">
        <v>616</v>
      </c>
      <c r="D29" s="931">
        <v>7.7</v>
      </c>
      <c r="E29" s="932">
        <v>29286.0</v>
      </c>
      <c r="F29" s="933">
        <f t="shared" ref="F29:F35" si="24">E29+L29</f>
        <v>71796</v>
      </c>
      <c r="G29" s="975">
        <v>97.62</v>
      </c>
      <c r="H29" s="935">
        <f>IFERROR(__xludf.DUMMYFUNCTION("GOOGLEFINANCE(C29,""changepct"")"),-0.77)</f>
        <v>-0.77</v>
      </c>
      <c r="I29" s="936">
        <f>IFERROR(__xludf.DUMMYFUNCTION("googlefinance(C29,""price"")"),239.32)</f>
        <v>239.32</v>
      </c>
      <c r="J29" s="936">
        <f t="shared" ref="J29:J35" si="25">(I29-G29)</f>
        <v>141.7</v>
      </c>
      <c r="K29" s="937">
        <f t="shared" ref="K29:K35" si="26">(I29/G29-1)</f>
        <v>1.451546814</v>
      </c>
      <c r="L29" s="933">
        <f t="shared" ref="L29:L35" si="27">(E29*K29)</f>
        <v>42510</v>
      </c>
      <c r="M29" s="938">
        <v>0.0332</v>
      </c>
      <c r="N29" s="788">
        <v>247.0</v>
      </c>
      <c r="O29" s="989"/>
      <c r="P29" s="946">
        <v>43472.0</v>
      </c>
      <c r="Q29" s="797" t="s">
        <v>456</v>
      </c>
      <c r="R29" s="787" t="s">
        <v>457</v>
      </c>
      <c r="S29" s="790">
        <v>15.51</v>
      </c>
      <c r="T29" s="792">
        <f>IFERROR(__xludf.DUMMYFUNCTION("GOOGLEFINANCE(R29,""price"")"),17.11)</f>
        <v>17.11</v>
      </c>
      <c r="U29" s="790">
        <v>7755.0</v>
      </c>
      <c r="V29" s="807">
        <f t="shared" ref="V29:V32" si="28">U29+W29</f>
        <v>8555</v>
      </c>
      <c r="W29" s="807">
        <f t="shared" ref="W29:W32" si="29">U29*X29</f>
        <v>800</v>
      </c>
      <c r="X29" s="856">
        <f t="shared" ref="X29:X32" si="30">T29/S29-1</f>
        <v>0.1031592521</v>
      </c>
      <c r="Y29" s="802">
        <v>0.0465</v>
      </c>
      <c r="Z29" s="788">
        <v>89.0</v>
      </c>
    </row>
    <row r="30">
      <c r="A30" s="1097" t="str">
        <f>(F36+V36)/G58</f>
        <v>#N/A</v>
      </c>
      <c r="B30" s="820" t="s">
        <v>539</v>
      </c>
      <c r="C30" s="950" t="s">
        <v>540</v>
      </c>
      <c r="D30" s="931">
        <v>8.2</v>
      </c>
      <c r="E30" s="932">
        <v>25058.0</v>
      </c>
      <c r="F30" s="933">
        <f t="shared" si="24"/>
        <v>86034.2167</v>
      </c>
      <c r="G30" s="975">
        <v>167.05</v>
      </c>
      <c r="H30" s="935">
        <f>IFERROR(__xludf.DUMMYFUNCTION("GOOGLEFINANCE(C30,""changepct"")"),-0.46)</f>
        <v>-0.46</v>
      </c>
      <c r="I30" s="936">
        <f>IFERROR(__xludf.DUMMYFUNCTION("googlefinance(C30,""price"")"),573.55)</f>
        <v>573.55</v>
      </c>
      <c r="J30" s="936">
        <f t="shared" si="25"/>
        <v>406.5</v>
      </c>
      <c r="K30" s="937">
        <f t="shared" si="26"/>
        <v>2.433403173</v>
      </c>
      <c r="L30" s="933">
        <f t="shared" si="27"/>
        <v>60976.2167</v>
      </c>
      <c r="M30" s="938">
        <v>0.019</v>
      </c>
      <c r="N30" s="788">
        <v>121.0</v>
      </c>
      <c r="O30" s="989"/>
      <c r="P30" s="946">
        <v>43472.0</v>
      </c>
      <c r="Q30" s="797" t="s">
        <v>1048</v>
      </c>
      <c r="R30" s="787" t="s">
        <v>1049</v>
      </c>
      <c r="S30" s="790">
        <v>24.13</v>
      </c>
      <c r="T30" s="792">
        <f>IFERROR(__xludf.DUMMYFUNCTION("GOOGLEFINANCE(R30,""price"")"),48.28)</f>
        <v>48.28</v>
      </c>
      <c r="U30" s="790">
        <v>9652.0</v>
      </c>
      <c r="V30" s="807">
        <f t="shared" si="28"/>
        <v>19312</v>
      </c>
      <c r="W30" s="807">
        <f t="shared" si="29"/>
        <v>9660</v>
      </c>
      <c r="X30" s="856">
        <f t="shared" si="30"/>
        <v>1.000828844</v>
      </c>
      <c r="Y30" s="802">
        <v>0.0206</v>
      </c>
      <c r="Z30" s="788">
        <v>51.0</v>
      </c>
    </row>
    <row r="31">
      <c r="A31" s="1" t="s">
        <v>1046</v>
      </c>
      <c r="B31" s="820" t="s">
        <v>456</v>
      </c>
      <c r="C31" s="950" t="s">
        <v>457</v>
      </c>
      <c r="D31" s="931">
        <v>7.3</v>
      </c>
      <c r="E31" s="932">
        <v>14780.0</v>
      </c>
      <c r="F31" s="933">
        <f t="shared" si="24"/>
        <v>17110</v>
      </c>
      <c r="G31" s="975">
        <v>14.78</v>
      </c>
      <c r="H31" s="935">
        <f>IFERROR(__xludf.DUMMYFUNCTION("GOOGLEFINANCE(C31,""changepct"")"),-0.52)</f>
        <v>-0.52</v>
      </c>
      <c r="I31" s="936">
        <f>IFERROR(__xludf.DUMMYFUNCTION("googlefinance(C31,""price"")"),17.11)</f>
        <v>17.11</v>
      </c>
      <c r="J31" s="936">
        <f t="shared" si="25"/>
        <v>2.33</v>
      </c>
      <c r="K31" s="937">
        <f t="shared" si="26"/>
        <v>0.1576454668</v>
      </c>
      <c r="L31" s="933">
        <f t="shared" si="27"/>
        <v>2330</v>
      </c>
      <c r="M31" s="938">
        <v>0.0474</v>
      </c>
      <c r="N31" s="788">
        <v>342.0</v>
      </c>
      <c r="O31" s="989"/>
      <c r="P31" s="946">
        <v>43472.0</v>
      </c>
      <c r="Q31" s="797" t="s">
        <v>822</v>
      </c>
      <c r="R31" s="787" t="s">
        <v>823</v>
      </c>
      <c r="S31" s="790">
        <v>11.59</v>
      </c>
      <c r="T31" s="792" t="str">
        <f>IFERROR(__xludf.DUMMYFUNCTION("GOOGLEFINANCE(R31,""price"")"),"#N/A")</f>
        <v>#N/A</v>
      </c>
      <c r="U31" s="790">
        <v>4636.0</v>
      </c>
      <c r="V31" s="800" t="str">
        <f t="shared" si="28"/>
        <v>#N/A</v>
      </c>
      <c r="W31" s="800" t="str">
        <f t="shared" si="29"/>
        <v>#N/A</v>
      </c>
      <c r="X31" s="856" t="str">
        <f t="shared" si="30"/>
        <v>#N/A</v>
      </c>
      <c r="Y31" s="802">
        <v>0.0706</v>
      </c>
      <c r="Z31" s="788">
        <v>90.0</v>
      </c>
    </row>
    <row r="32">
      <c r="A32" s="226" t="str">
        <f>F36+V36</f>
        <v>#N/A</v>
      </c>
      <c r="B32" s="820" t="s">
        <v>914</v>
      </c>
      <c r="C32" s="950" t="s">
        <v>686</v>
      </c>
      <c r="D32" s="931">
        <v>6.9</v>
      </c>
      <c r="E32" s="932">
        <v>15618.0</v>
      </c>
      <c r="F32" s="933">
        <f t="shared" si="24"/>
        <v>21117</v>
      </c>
      <c r="G32" s="975">
        <v>52.06</v>
      </c>
      <c r="H32" s="935">
        <f>IFERROR(__xludf.DUMMYFUNCTION("GOOGLEFINANCE(C32,""changepct"")"),-0.86)</f>
        <v>-0.86</v>
      </c>
      <c r="I32" s="936">
        <f>IFERROR(__xludf.DUMMYFUNCTION("googlefinance(C32,""price"")"),70.39)</f>
        <v>70.39</v>
      </c>
      <c r="J32" s="936">
        <f t="shared" si="25"/>
        <v>18.33</v>
      </c>
      <c r="K32" s="937">
        <f t="shared" si="26"/>
        <v>0.352093738</v>
      </c>
      <c r="L32" s="933">
        <f t="shared" si="27"/>
        <v>5499</v>
      </c>
      <c r="M32" s="938">
        <v>0.0341</v>
      </c>
      <c r="N32" s="788">
        <v>156.0</v>
      </c>
      <c r="O32" s="989"/>
      <c r="P32" s="946">
        <v>43472.0</v>
      </c>
      <c r="Q32" s="797" t="s">
        <v>914</v>
      </c>
      <c r="R32" s="787" t="s">
        <v>686</v>
      </c>
      <c r="S32" s="790">
        <v>53.04</v>
      </c>
      <c r="T32" s="792">
        <f>IFERROR(__xludf.DUMMYFUNCTION("GOOGLEFINANCE(R32,""price"")"),70.39)</f>
        <v>70.39</v>
      </c>
      <c r="U32" s="790">
        <v>5304.0</v>
      </c>
      <c r="V32" s="807">
        <f t="shared" si="28"/>
        <v>7039</v>
      </c>
      <c r="W32" s="807">
        <f t="shared" si="29"/>
        <v>1735</v>
      </c>
      <c r="X32" s="856">
        <f t="shared" si="30"/>
        <v>0.3271116139</v>
      </c>
      <c r="Y32" s="802">
        <v>0.0348</v>
      </c>
      <c r="Z32" s="788">
        <v>42.0</v>
      </c>
    </row>
    <row r="33">
      <c r="A33" s="969"/>
      <c r="B33" s="965" t="s">
        <v>768</v>
      </c>
      <c r="C33" s="931" t="s">
        <v>769</v>
      </c>
      <c r="D33" s="931">
        <v>7.2</v>
      </c>
      <c r="E33" s="932">
        <v>18812.0</v>
      </c>
      <c r="F33" s="933">
        <f t="shared" si="24"/>
        <v>23153</v>
      </c>
      <c r="G33" s="975">
        <v>188.12</v>
      </c>
      <c r="H33" s="935">
        <f>IFERROR(__xludf.DUMMYFUNCTION("GOOGLEFINANCE(C33,""changepct"")"),-0.84)</f>
        <v>-0.84</v>
      </c>
      <c r="I33" s="936">
        <f>IFERROR(__xludf.DUMMYFUNCTION("googlefinance(C33,""price"")"),231.53)</f>
        <v>231.53</v>
      </c>
      <c r="J33" s="936">
        <f t="shared" si="25"/>
        <v>43.41</v>
      </c>
      <c r="K33" s="937">
        <f t="shared" si="26"/>
        <v>0.2307569636</v>
      </c>
      <c r="L33" s="933">
        <f t="shared" si="27"/>
        <v>4341</v>
      </c>
      <c r="M33" s="991">
        <v>0.0152</v>
      </c>
      <c r="N33" s="788">
        <v>60.0</v>
      </c>
      <c r="O33" s="989"/>
      <c r="P33" s="800"/>
      <c r="Q33" s="800"/>
      <c r="R33" s="800"/>
      <c r="S33" s="807"/>
      <c r="T33" s="807"/>
      <c r="U33" s="807"/>
      <c r="V33" s="800"/>
      <c r="W33" s="800"/>
      <c r="X33" s="856"/>
      <c r="Y33" s="800"/>
      <c r="Z33" s="805"/>
    </row>
    <row r="34">
      <c r="A34" s="916"/>
      <c r="B34" s="820" t="s">
        <v>822</v>
      </c>
      <c r="C34" s="950" t="s">
        <v>823</v>
      </c>
      <c r="D34" s="931">
        <v>7.1</v>
      </c>
      <c r="E34" s="932">
        <v>16440.0</v>
      </c>
      <c r="F34" s="933" t="str">
        <f t="shared" si="24"/>
        <v>#N/A</v>
      </c>
      <c r="G34" s="975">
        <v>10.96</v>
      </c>
      <c r="H34" s="935" t="str">
        <f>IFERROR(__xludf.DUMMYFUNCTION("GOOGLEFINANCE(C34,""changepct"")"),"#N/A")</f>
        <v>#N/A</v>
      </c>
      <c r="I34" s="936" t="str">
        <f>IFERROR(__xludf.DUMMYFUNCTION("googlefinance(C34,""price"")"),"#N/A")</f>
        <v>#N/A</v>
      </c>
      <c r="J34" s="936" t="str">
        <f t="shared" si="25"/>
        <v>#N/A</v>
      </c>
      <c r="K34" s="937" t="str">
        <f t="shared" si="26"/>
        <v>#N/A</v>
      </c>
      <c r="L34" s="933" t="str">
        <f t="shared" si="27"/>
        <v>#N/A</v>
      </c>
      <c r="M34" s="938">
        <v>0.0683</v>
      </c>
      <c r="N34" s="788">
        <v>340.0</v>
      </c>
      <c r="O34" s="989"/>
      <c r="P34" s="800"/>
      <c r="Q34" s="800"/>
      <c r="R34" s="800"/>
      <c r="S34" s="807"/>
      <c r="T34" s="807"/>
      <c r="U34" s="807"/>
      <c r="V34" s="800"/>
      <c r="W34" s="800"/>
      <c r="X34" s="856"/>
      <c r="Y34" s="800"/>
      <c r="Z34" s="805"/>
    </row>
    <row r="35">
      <c r="A35" s="969"/>
      <c r="B35" s="820" t="s">
        <v>1048</v>
      </c>
      <c r="C35" s="950" t="s">
        <v>1049</v>
      </c>
      <c r="D35" s="931">
        <v>7.0</v>
      </c>
      <c r="E35" s="932">
        <v>11910.0</v>
      </c>
      <c r="F35" s="933">
        <f t="shared" si="24"/>
        <v>24140</v>
      </c>
      <c r="G35" s="975">
        <v>23.82</v>
      </c>
      <c r="H35" s="935">
        <f>IFERROR(__xludf.DUMMYFUNCTION("GOOGLEFINANCE(C35,""changepct"")"),-0.96)</f>
        <v>-0.96</v>
      </c>
      <c r="I35" s="936">
        <f>IFERROR(__xludf.DUMMYFUNCTION("googlefinance(C35,""price"")"),48.28)</f>
        <v>48.28</v>
      </c>
      <c r="J35" s="936">
        <f t="shared" si="25"/>
        <v>24.46</v>
      </c>
      <c r="K35" s="937">
        <f t="shared" si="26"/>
        <v>1.026868178</v>
      </c>
      <c r="L35" s="933">
        <f t="shared" si="27"/>
        <v>12230</v>
      </c>
      <c r="M35" s="938">
        <v>0.0177</v>
      </c>
      <c r="N35" s="788">
        <v>57.0</v>
      </c>
      <c r="O35" s="989"/>
      <c r="P35" s="800"/>
      <c r="Q35" s="800"/>
      <c r="R35" s="800"/>
      <c r="S35" s="807"/>
      <c r="T35" s="807"/>
      <c r="U35" s="807"/>
      <c r="V35" s="800"/>
      <c r="W35" s="800"/>
      <c r="X35" s="856"/>
      <c r="Y35" s="800"/>
      <c r="Z35" s="805"/>
    </row>
    <row r="36">
      <c r="A36" s="968" t="s">
        <v>89</v>
      </c>
      <c r="B36" s="969"/>
      <c r="C36" s="969"/>
      <c r="D36" s="969"/>
      <c r="E36" s="970">
        <f t="shared" ref="E36:F36" si="31">SUM(E29:E35)</f>
        <v>131904</v>
      </c>
      <c r="F36" s="970" t="str">
        <f t="shared" si="31"/>
        <v>#N/A</v>
      </c>
      <c r="G36" s="985"/>
      <c r="H36" s="971"/>
      <c r="I36" s="969"/>
      <c r="J36" s="969"/>
      <c r="K36" s="972" t="str">
        <f>L36/E36</f>
        <v>#N/A</v>
      </c>
      <c r="L36" s="970" t="str">
        <f>SUM(L29:L35)</f>
        <v>#N/A</v>
      </c>
      <c r="M36" s="969"/>
      <c r="N36" s="973">
        <f>SUM(N29:N35)</f>
        <v>1323</v>
      </c>
      <c r="O36" s="989"/>
      <c r="P36" s="736" t="s">
        <v>113</v>
      </c>
      <c r="Q36" s="989"/>
      <c r="R36" s="989"/>
      <c r="S36" s="1133"/>
      <c r="T36" s="1133"/>
      <c r="U36" s="959">
        <f t="shared" ref="U36:W36" si="32">SUM(U29:U35)</f>
        <v>27347</v>
      </c>
      <c r="V36" s="1134" t="str">
        <f t="shared" si="32"/>
        <v>#N/A</v>
      </c>
      <c r="W36" s="1134" t="str">
        <f t="shared" si="32"/>
        <v>#N/A</v>
      </c>
      <c r="X36" s="796" t="str">
        <f>W36/U36</f>
        <v>#N/A</v>
      </c>
      <c r="Y36" s="989"/>
      <c r="Z36" s="1102">
        <f>SUM(Z29:Z35)</f>
        <v>272</v>
      </c>
    </row>
    <row r="37">
      <c r="A37" s="925" t="s">
        <v>1051</v>
      </c>
      <c r="B37" s="924" t="s">
        <v>3</v>
      </c>
      <c r="C37" s="924" t="s">
        <v>1038</v>
      </c>
      <c r="D37" s="924"/>
      <c r="E37" s="926" t="s">
        <v>1116</v>
      </c>
      <c r="F37" s="927" t="s">
        <v>1012</v>
      </c>
      <c r="G37" s="927" t="s">
        <v>1108</v>
      </c>
      <c r="H37" s="928" t="s">
        <v>10</v>
      </c>
      <c r="I37" s="924" t="s">
        <v>1014</v>
      </c>
      <c r="J37" s="924" t="s">
        <v>1015</v>
      </c>
      <c r="K37" s="924" t="s">
        <v>1092</v>
      </c>
      <c r="L37" s="924" t="s">
        <v>15</v>
      </c>
      <c r="M37" s="925" t="s">
        <v>1093</v>
      </c>
      <c r="N37" s="929" t="s">
        <v>17</v>
      </c>
      <c r="O37" s="925" t="s">
        <v>1051</v>
      </c>
      <c r="P37" s="1094" t="s">
        <v>1020</v>
      </c>
      <c r="Q37" s="854" t="s">
        <v>3</v>
      </c>
      <c r="R37" s="854" t="s">
        <v>1038</v>
      </c>
      <c r="S37" s="854" t="s">
        <v>1095</v>
      </c>
      <c r="T37" s="854" t="s">
        <v>1014</v>
      </c>
      <c r="U37" s="854" t="s">
        <v>1096</v>
      </c>
      <c r="V37" s="854" t="s">
        <v>1012</v>
      </c>
      <c r="W37" s="854" t="s">
        <v>15</v>
      </c>
      <c r="X37" s="854" t="s">
        <v>1097</v>
      </c>
      <c r="Y37" s="925" t="s">
        <v>1098</v>
      </c>
      <c r="Z37" s="929" t="s">
        <v>17</v>
      </c>
    </row>
    <row r="38">
      <c r="A38" s="1" t="s">
        <v>1099</v>
      </c>
      <c r="B38" s="820" t="s">
        <v>313</v>
      </c>
      <c r="C38" s="950" t="s">
        <v>106</v>
      </c>
      <c r="D38" s="931">
        <v>7.8</v>
      </c>
      <c r="E38" s="932">
        <v>43650.0</v>
      </c>
      <c r="F38" s="933">
        <f t="shared" ref="F38:F41" si="33">E38+L38</f>
        <v>26420</v>
      </c>
      <c r="G38" s="975">
        <v>43.65</v>
      </c>
      <c r="H38" s="935">
        <f>IFERROR(__xludf.DUMMYFUNCTION("GOOGLEFINANCE(C38,""changepct"")"),-0.75)</f>
        <v>-0.75</v>
      </c>
      <c r="I38" s="936">
        <f>IFERROR(__xludf.DUMMYFUNCTION("googlefinance(C38,""price"")"),26.42)</f>
        <v>26.42</v>
      </c>
      <c r="J38" s="936">
        <f t="shared" ref="J38:J41" si="34">(I38-G38)</f>
        <v>-17.23</v>
      </c>
      <c r="K38" s="937">
        <f t="shared" ref="K38:K41" si="35">(I38/G38-1)</f>
        <v>-0.3947308133</v>
      </c>
      <c r="L38" s="933">
        <f t="shared" ref="L38:L41" si="36">(E38*K38)</f>
        <v>-17230</v>
      </c>
      <c r="M38" s="938">
        <v>0.0343</v>
      </c>
      <c r="N38" s="788">
        <v>360.0</v>
      </c>
      <c r="O38" s="989"/>
      <c r="P38" s="800"/>
      <c r="Q38" s="800"/>
      <c r="R38" s="800"/>
      <c r="S38" s="800"/>
      <c r="T38" s="800"/>
      <c r="U38" s="800"/>
      <c r="V38" s="800"/>
      <c r="W38" s="800"/>
      <c r="X38" s="800"/>
      <c r="Y38" s="800"/>
      <c r="Z38" s="805"/>
    </row>
    <row r="39">
      <c r="A39" s="1135">
        <f>F42/G58</f>
        <v>0.1131156468</v>
      </c>
      <c r="B39" s="728" t="s">
        <v>589</v>
      </c>
      <c r="C39" s="1008" t="s">
        <v>315</v>
      </c>
      <c r="D39" s="1008">
        <v>6.9</v>
      </c>
      <c r="E39" s="1009">
        <v>31275.0</v>
      </c>
      <c r="F39" s="933">
        <f t="shared" si="33"/>
        <v>46005</v>
      </c>
      <c r="G39" s="1010">
        <v>62.55</v>
      </c>
      <c r="H39" s="935">
        <f>IFERROR(__xludf.DUMMYFUNCTION("GOOGLEFINANCE(C39,""changepct"")"),-2.23)</f>
        <v>-2.23</v>
      </c>
      <c r="I39" s="936">
        <f>IFERROR(__xludf.DUMMYFUNCTION("googlefinance(C39,""price"")"),92.01)</f>
        <v>92.01</v>
      </c>
      <c r="J39" s="936">
        <f t="shared" si="34"/>
        <v>29.46</v>
      </c>
      <c r="K39" s="937">
        <f t="shared" si="35"/>
        <v>0.4709832134</v>
      </c>
      <c r="L39" s="933">
        <f t="shared" si="36"/>
        <v>14730</v>
      </c>
      <c r="M39" s="1011">
        <v>0.0361</v>
      </c>
      <c r="N39" s="788">
        <v>286.0</v>
      </c>
      <c r="O39" s="989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5"/>
    </row>
    <row r="40">
      <c r="A40" s="1" t="s">
        <v>1046</v>
      </c>
      <c r="B40" s="728" t="s">
        <v>810</v>
      </c>
      <c r="C40" s="1008" t="s">
        <v>811</v>
      </c>
      <c r="D40" s="1008">
        <v>7.4</v>
      </c>
      <c r="E40" s="1009">
        <v>33220.0</v>
      </c>
      <c r="F40" s="933">
        <f t="shared" si="33"/>
        <v>36910</v>
      </c>
      <c r="G40" s="1010">
        <v>33.22</v>
      </c>
      <c r="H40" s="935">
        <f>IFERROR(__xludf.DUMMYFUNCTION("GOOGLEFINANCE(C40,""changepct"")"),-0.73)</f>
        <v>-0.73</v>
      </c>
      <c r="I40" s="936">
        <f>IFERROR(__xludf.DUMMYFUNCTION("googlefinance(C40,""price"")"),36.91)</f>
        <v>36.91</v>
      </c>
      <c r="J40" s="936">
        <f t="shared" si="34"/>
        <v>3.69</v>
      </c>
      <c r="K40" s="937">
        <f t="shared" si="35"/>
        <v>0.1110776641</v>
      </c>
      <c r="L40" s="933">
        <f t="shared" si="36"/>
        <v>3690</v>
      </c>
      <c r="M40" s="1008" t="s">
        <v>128</v>
      </c>
      <c r="N40" s="805"/>
      <c r="O40" s="989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5"/>
    </row>
    <row r="41">
      <c r="A41" s="1105">
        <f>F42</f>
        <v>161195</v>
      </c>
      <c r="B41" s="728" t="s">
        <v>590</v>
      </c>
      <c r="C41" s="1008" t="s">
        <v>104</v>
      </c>
      <c r="D41" s="1008">
        <v>7.3</v>
      </c>
      <c r="E41" s="1009">
        <v>38934.0</v>
      </c>
      <c r="F41" s="933">
        <f t="shared" si="33"/>
        <v>51860</v>
      </c>
      <c r="G41" s="1010">
        <v>194.67</v>
      </c>
      <c r="H41" s="935">
        <f>IFERROR(__xludf.DUMMYFUNCTION("GOOGLEFINANCE(C41,""changepct"")"),-1.28)</f>
        <v>-1.28</v>
      </c>
      <c r="I41" s="936">
        <f>IFERROR(__xludf.DUMMYFUNCTION("googlefinance(C41,""price"")"),259.3)</f>
        <v>259.3</v>
      </c>
      <c r="J41" s="936">
        <f t="shared" si="34"/>
        <v>64.63</v>
      </c>
      <c r="K41" s="937">
        <f t="shared" si="35"/>
        <v>0.3319977398</v>
      </c>
      <c r="L41" s="933">
        <f t="shared" si="36"/>
        <v>12926</v>
      </c>
      <c r="M41" s="1011">
        <v>0.0305</v>
      </c>
      <c r="N41" s="788">
        <v>284.0</v>
      </c>
      <c r="O41" s="989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5"/>
    </row>
    <row r="42">
      <c r="A42" s="964" t="s">
        <v>89</v>
      </c>
      <c r="B42" s="968"/>
      <c r="C42" s="968"/>
      <c r="D42" s="968"/>
      <c r="E42" s="1017">
        <f t="shared" ref="E42:F42" si="37">SUM(E38:E41)</f>
        <v>147079</v>
      </c>
      <c r="F42" s="1017">
        <f t="shared" si="37"/>
        <v>161195</v>
      </c>
      <c r="G42" s="1018"/>
      <c r="H42" s="1018"/>
      <c r="I42" s="968"/>
      <c r="J42" s="968"/>
      <c r="K42" s="1019">
        <f>L42/E42</f>
        <v>0.09597563214</v>
      </c>
      <c r="L42" s="970">
        <f>SUM(L38:L41)</f>
        <v>14116</v>
      </c>
      <c r="M42" s="968"/>
      <c r="N42" s="973">
        <f>SUM(N38:N41)</f>
        <v>930</v>
      </c>
      <c r="O42" s="989"/>
      <c r="P42" s="736" t="s">
        <v>113</v>
      </c>
      <c r="Q42" s="989"/>
      <c r="R42" s="989"/>
      <c r="S42" s="989"/>
      <c r="T42" s="989"/>
      <c r="U42" s="989"/>
      <c r="V42" s="989"/>
      <c r="W42" s="989"/>
      <c r="X42" s="989"/>
      <c r="Y42" s="989"/>
      <c r="Z42" s="956"/>
    </row>
    <row r="43">
      <c r="A43" s="924" t="s">
        <v>303</v>
      </c>
      <c r="B43" s="924" t="s">
        <v>3</v>
      </c>
      <c r="C43" s="924" t="s">
        <v>1038</v>
      </c>
      <c r="D43" s="924"/>
      <c r="E43" s="926" t="s">
        <v>1116</v>
      </c>
      <c r="F43" s="927" t="s">
        <v>1012</v>
      </c>
      <c r="G43" s="927" t="s">
        <v>1108</v>
      </c>
      <c r="H43" s="928" t="s">
        <v>10</v>
      </c>
      <c r="I43" s="924" t="s">
        <v>1014</v>
      </c>
      <c r="J43" s="924" t="s">
        <v>1015</v>
      </c>
      <c r="K43" s="924" t="s">
        <v>1092</v>
      </c>
      <c r="L43" s="924" t="s">
        <v>15</v>
      </c>
      <c r="M43" s="925" t="s">
        <v>1093</v>
      </c>
      <c r="N43" s="929" t="s">
        <v>1118</v>
      </c>
      <c r="O43" s="924" t="s">
        <v>303</v>
      </c>
      <c r="P43" s="1094" t="s">
        <v>1020</v>
      </c>
      <c r="Q43" s="854" t="s">
        <v>3</v>
      </c>
      <c r="R43" s="854" t="s">
        <v>1038</v>
      </c>
      <c r="S43" s="854" t="s">
        <v>1095</v>
      </c>
      <c r="T43" s="854" t="s">
        <v>1014</v>
      </c>
      <c r="U43" s="854" t="s">
        <v>1096</v>
      </c>
      <c r="V43" s="854" t="s">
        <v>1012</v>
      </c>
      <c r="W43" s="854" t="s">
        <v>15</v>
      </c>
      <c r="X43" s="854" t="s">
        <v>1097</v>
      </c>
      <c r="Y43" s="925" t="s">
        <v>1098</v>
      </c>
      <c r="Z43" s="929" t="s">
        <v>17</v>
      </c>
    </row>
    <row r="44">
      <c r="A44" s="1" t="s">
        <v>1099</v>
      </c>
      <c r="B44" s="820" t="s">
        <v>493</v>
      </c>
      <c r="C44" s="950" t="s">
        <v>494</v>
      </c>
      <c r="D44" s="931">
        <v>7.2</v>
      </c>
      <c r="E44" s="932">
        <v>18960.0</v>
      </c>
      <c r="F44" s="933">
        <f t="shared" ref="F44:F49" si="38">E44+L44</f>
        <v>14545</v>
      </c>
      <c r="G44" s="975">
        <v>37.92</v>
      </c>
      <c r="H44" s="949">
        <f>IFERROR(__xludf.DUMMYFUNCTION("GOOGLEFINANCE(C44,""changepct"")"),0.45)</f>
        <v>0.45</v>
      </c>
      <c r="I44" s="936">
        <f>IFERROR(__xludf.DUMMYFUNCTION("googlefinance(C44,""price"")"),29.09)</f>
        <v>29.09</v>
      </c>
      <c r="J44" s="936">
        <f t="shared" ref="J44:J49" si="39">(I44-G44)</f>
        <v>-8.83</v>
      </c>
      <c r="K44" s="937">
        <f t="shared" ref="K44:K49" si="40">(I44/G44-1)</f>
        <v>-0.2328586498</v>
      </c>
      <c r="L44" s="933">
        <f t="shared" ref="L44:L49" si="41">(E44*K44)</f>
        <v>-4415</v>
      </c>
      <c r="M44" s="938">
        <v>0.066</v>
      </c>
      <c r="N44" s="788">
        <v>359.0</v>
      </c>
      <c r="O44" s="989"/>
      <c r="P44" s="946">
        <v>43472.0</v>
      </c>
      <c r="Q44" s="797" t="s">
        <v>1119</v>
      </c>
      <c r="R44" s="787" t="s">
        <v>494</v>
      </c>
      <c r="S44" s="790">
        <v>39.65</v>
      </c>
      <c r="T44" s="792">
        <f>IFERROR(__xludf.DUMMYFUNCTION("GOOGLEFINANCE(R44,""price"")"),29.09)</f>
        <v>29.09</v>
      </c>
      <c r="U44" s="790">
        <v>7969.65</v>
      </c>
      <c r="V44" s="807">
        <f t="shared" ref="V44:V48" si="42">U44+W44</f>
        <v>5847.09</v>
      </c>
      <c r="W44" s="807">
        <f t="shared" ref="W44:W48" si="43">U44*X44</f>
        <v>-2122.56</v>
      </c>
      <c r="X44" s="856">
        <f t="shared" ref="X44:X48" si="44">T44/S44-1</f>
        <v>-0.2663303909</v>
      </c>
      <c r="Y44" s="802">
        <v>0.0645</v>
      </c>
      <c r="Z44" s="788">
        <v>141.0</v>
      </c>
    </row>
    <row r="45">
      <c r="A45" s="1097" t="str">
        <f>(F50+V50)/G58</f>
        <v>#N/A</v>
      </c>
      <c r="B45" s="820" t="s">
        <v>1105</v>
      </c>
      <c r="C45" s="950" t="s">
        <v>492</v>
      </c>
      <c r="D45" s="931">
        <v>7.4</v>
      </c>
      <c r="E45" s="932">
        <v>13638.0</v>
      </c>
      <c r="F45" s="933">
        <f t="shared" si="38"/>
        <v>21152</v>
      </c>
      <c r="G45" s="975">
        <v>68.19</v>
      </c>
      <c r="H45" s="935">
        <f>IFERROR(__xludf.DUMMYFUNCTION("GOOGLEFINANCE(C45,""changepct"")"),-0.68)</f>
        <v>-0.68</v>
      </c>
      <c r="I45" s="936">
        <f>IFERROR(__xludf.DUMMYFUNCTION("googlefinance(C45,""price"")"),105.76)</f>
        <v>105.76</v>
      </c>
      <c r="J45" s="936">
        <f t="shared" si="39"/>
        <v>37.57</v>
      </c>
      <c r="K45" s="937">
        <f t="shared" si="40"/>
        <v>0.5509605514</v>
      </c>
      <c r="L45" s="933">
        <f t="shared" si="41"/>
        <v>7514</v>
      </c>
      <c r="M45" s="938">
        <v>0.0478</v>
      </c>
      <c r="N45" s="788">
        <v>353.0</v>
      </c>
      <c r="O45" s="989"/>
      <c r="P45" s="946">
        <v>43472.0</v>
      </c>
      <c r="Q45" s="797" t="s">
        <v>1105</v>
      </c>
      <c r="R45" s="787" t="s">
        <v>492</v>
      </c>
      <c r="S45" s="790">
        <v>70.87</v>
      </c>
      <c r="T45" s="792">
        <f>IFERROR(__xludf.DUMMYFUNCTION("GOOGLEFINANCE(R45,""price"")"),105.76)</f>
        <v>105.76</v>
      </c>
      <c r="U45" s="790">
        <v>7087.0</v>
      </c>
      <c r="V45" s="807">
        <f t="shared" si="42"/>
        <v>10576</v>
      </c>
      <c r="W45" s="807">
        <f t="shared" si="43"/>
        <v>3489</v>
      </c>
      <c r="X45" s="856">
        <f t="shared" si="44"/>
        <v>0.4923098631</v>
      </c>
      <c r="Y45" s="802">
        <v>0.0476</v>
      </c>
      <c r="Z45" s="788">
        <v>96.0</v>
      </c>
    </row>
    <row r="46">
      <c r="A46" s="1" t="s">
        <v>1046</v>
      </c>
      <c r="B46" s="820" t="s">
        <v>815</v>
      </c>
      <c r="C46" s="950" t="s">
        <v>816</v>
      </c>
      <c r="D46" s="931">
        <v>6.8</v>
      </c>
      <c r="E46" s="932">
        <v>17680.0</v>
      </c>
      <c r="F46" s="933" t="str">
        <f t="shared" si="38"/>
        <v>#N/A</v>
      </c>
      <c r="G46" s="975">
        <v>4.42</v>
      </c>
      <c r="H46" s="935" t="str">
        <f>IFERROR(__xludf.DUMMYFUNCTION("GOOGLEFINANCE(C46,""changepct"")"),"#N/A")</f>
        <v>#N/A</v>
      </c>
      <c r="I46" s="936" t="str">
        <f>IFERROR(__xludf.DUMMYFUNCTION("googlefinance(C46,""price"")"),"#N/A")</f>
        <v>#N/A</v>
      </c>
      <c r="J46" s="936" t="str">
        <f t="shared" si="39"/>
        <v>#N/A</v>
      </c>
      <c r="K46" s="937" t="str">
        <f t="shared" si="40"/>
        <v>#N/A</v>
      </c>
      <c r="L46" s="933" t="str">
        <f t="shared" si="41"/>
        <v>#N/A</v>
      </c>
      <c r="M46" s="938">
        <v>0.0536</v>
      </c>
      <c r="N46" s="788">
        <v>245.0</v>
      </c>
      <c r="O46" s="989"/>
      <c r="P46" s="946">
        <v>43472.0</v>
      </c>
      <c r="Q46" s="797" t="s">
        <v>1120</v>
      </c>
      <c r="R46" s="787" t="s">
        <v>816</v>
      </c>
      <c r="S46" s="790">
        <v>4.68</v>
      </c>
      <c r="T46" s="792" t="str">
        <f>IFERROR(__xludf.DUMMYFUNCTION("GOOGLEFINANCE(R46,""price"")"),"#N/A")</f>
        <v>#N/A</v>
      </c>
      <c r="U46" s="790">
        <v>7020.0</v>
      </c>
      <c r="V46" s="800" t="str">
        <f t="shared" si="42"/>
        <v>#N/A</v>
      </c>
      <c r="W46" s="800" t="str">
        <f t="shared" si="43"/>
        <v>#N/A</v>
      </c>
      <c r="X46" s="856" t="str">
        <f t="shared" si="44"/>
        <v>#N/A</v>
      </c>
      <c r="Y46" s="802">
        <v>0.0556</v>
      </c>
      <c r="Z46" s="788">
        <v>95.0</v>
      </c>
    </row>
    <row r="47">
      <c r="A47" s="226" t="str">
        <f>F50+V50</f>
        <v>#N/A</v>
      </c>
      <c r="B47" s="965" t="s">
        <v>94</v>
      </c>
      <c r="C47" s="931" t="s">
        <v>95</v>
      </c>
      <c r="D47" s="931">
        <v>6.5</v>
      </c>
      <c r="E47" s="932">
        <v>18040.0</v>
      </c>
      <c r="F47" s="933">
        <f t="shared" si="38"/>
        <v>18905</v>
      </c>
      <c r="G47" s="975">
        <v>36.08</v>
      </c>
      <c r="H47" s="935">
        <f>IFERROR(__xludf.DUMMYFUNCTION("GOOGLEFINANCE(C47,""changepct"")"),0.03)</f>
        <v>0.03</v>
      </c>
      <c r="I47" s="936">
        <f>IFERROR(__xludf.DUMMYFUNCTION("googlefinance(C47,""price"")"),37.81)</f>
        <v>37.81</v>
      </c>
      <c r="J47" s="936">
        <f t="shared" si="39"/>
        <v>1.73</v>
      </c>
      <c r="K47" s="937">
        <f t="shared" si="40"/>
        <v>0.04794900222</v>
      </c>
      <c r="L47" s="933">
        <f t="shared" si="41"/>
        <v>865</v>
      </c>
      <c r="M47" s="991">
        <v>0.0546</v>
      </c>
      <c r="N47" s="788">
        <v>292.0</v>
      </c>
      <c r="O47" s="989"/>
      <c r="P47" s="946">
        <v>43472.0</v>
      </c>
      <c r="Q47" s="797" t="s">
        <v>1057</v>
      </c>
      <c r="R47" s="787" t="s">
        <v>309</v>
      </c>
      <c r="S47" s="790">
        <v>26.68</v>
      </c>
      <c r="T47" s="792">
        <f>IFERROR(__xludf.DUMMYFUNCTION("GOOGLEFINANCE(R47,""price"")"),14.51)</f>
        <v>14.51</v>
      </c>
      <c r="U47" s="790">
        <v>13340.0</v>
      </c>
      <c r="V47" s="807">
        <f t="shared" si="42"/>
        <v>7255</v>
      </c>
      <c r="W47" s="807">
        <f t="shared" si="43"/>
        <v>-6085</v>
      </c>
      <c r="X47" s="856">
        <f t="shared" si="44"/>
        <v>-0.4561469265</v>
      </c>
      <c r="Y47" s="802">
        <v>0.0077</v>
      </c>
      <c r="Z47" s="788">
        <v>26.0</v>
      </c>
    </row>
    <row r="48">
      <c r="A48" s="969"/>
      <c r="B48" s="965" t="s">
        <v>905</v>
      </c>
      <c r="C48" s="931" t="s">
        <v>567</v>
      </c>
      <c r="D48" s="931">
        <v>7.1</v>
      </c>
      <c r="E48" s="932">
        <v>18743.0</v>
      </c>
      <c r="F48" s="933">
        <f t="shared" si="38"/>
        <v>29898.29759</v>
      </c>
      <c r="G48" s="975">
        <v>74.97</v>
      </c>
      <c r="H48" s="935">
        <f>IFERROR(__xludf.DUMMYFUNCTION("GOOGLEFINANCE(C48,""changepct"")"),0.01)</f>
        <v>0.01</v>
      </c>
      <c r="I48" s="936">
        <f>IFERROR(__xludf.DUMMYFUNCTION("googlefinance(C48,""price"")"),119.59)</f>
        <v>119.59</v>
      </c>
      <c r="J48" s="936">
        <f t="shared" si="39"/>
        <v>44.62</v>
      </c>
      <c r="K48" s="937">
        <f t="shared" si="40"/>
        <v>0.5951714019</v>
      </c>
      <c r="L48" s="933">
        <f t="shared" si="41"/>
        <v>11155.29759</v>
      </c>
      <c r="M48" s="991">
        <v>0.0429</v>
      </c>
      <c r="N48" s="788">
        <v>230.0</v>
      </c>
      <c r="O48" s="989"/>
      <c r="P48" s="946">
        <v>43472.0</v>
      </c>
      <c r="Q48" s="797" t="s">
        <v>906</v>
      </c>
      <c r="R48" s="787" t="s">
        <v>496</v>
      </c>
      <c r="S48" s="790">
        <v>62.95</v>
      </c>
      <c r="T48" s="792">
        <f>IFERROR(__xludf.DUMMYFUNCTION("GOOGLEFINANCE(R48,""price"")"),48.46)</f>
        <v>48.46</v>
      </c>
      <c r="U48" s="790">
        <v>12590.0</v>
      </c>
      <c r="V48" s="807">
        <f t="shared" si="42"/>
        <v>9692</v>
      </c>
      <c r="W48" s="807">
        <f t="shared" si="43"/>
        <v>-2898</v>
      </c>
      <c r="X48" s="856">
        <f t="shared" si="44"/>
        <v>-0.2301826847</v>
      </c>
      <c r="Y48" s="802">
        <v>0.0513</v>
      </c>
      <c r="Z48" s="788">
        <v>170.0</v>
      </c>
    </row>
    <row r="49">
      <c r="A49" s="916"/>
      <c r="B49" s="820" t="s">
        <v>1033</v>
      </c>
      <c r="C49" s="950" t="s">
        <v>1034</v>
      </c>
      <c r="D49" s="931">
        <v>7.2</v>
      </c>
      <c r="E49" s="932">
        <v>14030.0</v>
      </c>
      <c r="F49" s="933">
        <f t="shared" si="38"/>
        <v>267560</v>
      </c>
      <c r="G49" s="975">
        <v>14.03</v>
      </c>
      <c r="H49" s="949">
        <f>IFERROR(__xludf.DUMMYFUNCTION("GOOGLEFINANCE(C49,""changepct"")"),0.99)</f>
        <v>0.99</v>
      </c>
      <c r="I49" s="936">
        <f>IFERROR(__xludf.DUMMYFUNCTION("googlefinance(C49,""price"")"),267.56)</f>
        <v>267.56</v>
      </c>
      <c r="J49" s="936">
        <f t="shared" si="39"/>
        <v>253.53</v>
      </c>
      <c r="K49" s="937">
        <f t="shared" si="40"/>
        <v>18.07056308</v>
      </c>
      <c r="L49" s="933">
        <f t="shared" si="41"/>
        <v>253530</v>
      </c>
      <c r="M49" s="938">
        <v>0.0375</v>
      </c>
      <c r="N49" s="788">
        <v>162.0</v>
      </c>
      <c r="O49" s="989"/>
      <c r="P49" s="800"/>
      <c r="Q49" s="800"/>
      <c r="R49" s="800"/>
      <c r="S49" s="807"/>
      <c r="T49" s="807"/>
      <c r="U49" s="807"/>
      <c r="V49" s="800"/>
      <c r="W49" s="800"/>
      <c r="X49" s="856"/>
      <c r="Y49" s="800"/>
      <c r="Z49" s="805"/>
    </row>
    <row r="50">
      <c r="A50" s="968" t="s">
        <v>113</v>
      </c>
      <c r="B50" s="969"/>
      <c r="C50" s="969"/>
      <c r="D50" s="969"/>
      <c r="E50" s="970">
        <f t="shared" ref="E50:F50" si="45">SUM(E44:E49)</f>
        <v>101091</v>
      </c>
      <c r="F50" s="970" t="str">
        <f t="shared" si="45"/>
        <v>#N/A</v>
      </c>
      <c r="G50" s="985"/>
      <c r="H50" s="971"/>
      <c r="I50" s="985"/>
      <c r="J50" s="969"/>
      <c r="K50" s="972" t="str">
        <f>L50/E50</f>
        <v>#N/A</v>
      </c>
      <c r="L50" s="970" t="str">
        <f>SUM(L44:L49)</f>
        <v>#N/A</v>
      </c>
      <c r="M50" s="1108"/>
      <c r="N50" s="973">
        <f>SUM(N44:N49)</f>
        <v>1641</v>
      </c>
      <c r="O50" s="989"/>
      <c r="P50" s="736" t="s">
        <v>113</v>
      </c>
      <c r="Q50" s="989"/>
      <c r="R50" s="989"/>
      <c r="S50" s="1133"/>
      <c r="T50" s="1133"/>
      <c r="U50" s="959">
        <f t="shared" ref="U50:W50" si="46">SUM(U44:U49)</f>
        <v>48006.65</v>
      </c>
      <c r="V50" s="1134" t="str">
        <f t="shared" si="46"/>
        <v>#N/A</v>
      </c>
      <c r="W50" s="1134" t="str">
        <f t="shared" si="46"/>
        <v>#N/A</v>
      </c>
      <c r="X50" s="796" t="str">
        <f>W50/U50</f>
        <v>#N/A</v>
      </c>
      <c r="Y50" s="989"/>
      <c r="Z50" s="1102">
        <f>SUM(Z44:Z49)</f>
        <v>528</v>
      </c>
    </row>
    <row r="51">
      <c r="A51" s="924" t="s">
        <v>1058</v>
      </c>
      <c r="B51" s="924" t="s">
        <v>3</v>
      </c>
      <c r="C51" s="924" t="s">
        <v>1038</v>
      </c>
      <c r="D51" s="924"/>
      <c r="E51" s="926" t="s">
        <v>1116</v>
      </c>
      <c r="F51" s="927" t="s">
        <v>1012</v>
      </c>
      <c r="G51" s="927" t="s">
        <v>1108</v>
      </c>
      <c r="H51" s="928" t="s">
        <v>10</v>
      </c>
      <c r="I51" s="928" t="s">
        <v>1014</v>
      </c>
      <c r="J51" s="924" t="s">
        <v>1015</v>
      </c>
      <c r="K51" s="924" t="s">
        <v>1092</v>
      </c>
      <c r="L51" s="924" t="s">
        <v>15</v>
      </c>
      <c r="M51" s="925" t="s">
        <v>1093</v>
      </c>
      <c r="N51" s="929" t="s">
        <v>17</v>
      </c>
      <c r="O51" s="924" t="s">
        <v>1058</v>
      </c>
      <c r="P51" s="1094" t="s">
        <v>1020</v>
      </c>
      <c r="Q51" s="854" t="s">
        <v>3</v>
      </c>
      <c r="R51" s="854" t="s">
        <v>1038</v>
      </c>
      <c r="S51" s="854" t="s">
        <v>1095</v>
      </c>
      <c r="T51" s="854" t="s">
        <v>1014</v>
      </c>
      <c r="U51" s="854" t="s">
        <v>1096</v>
      </c>
      <c r="V51" s="854" t="s">
        <v>1012</v>
      </c>
      <c r="W51" s="854" t="s">
        <v>15</v>
      </c>
      <c r="X51" s="854" t="s">
        <v>1097</v>
      </c>
      <c r="Y51" s="925" t="s">
        <v>1098</v>
      </c>
      <c r="Z51" s="929" t="s">
        <v>17</v>
      </c>
    </row>
    <row r="52">
      <c r="A52" s="1" t="s">
        <v>1099</v>
      </c>
      <c r="B52" s="820" t="s">
        <v>980</v>
      </c>
      <c r="C52" s="950" t="s">
        <v>956</v>
      </c>
      <c r="D52" s="931">
        <v>6.8</v>
      </c>
      <c r="E52" s="932">
        <v>15335.0</v>
      </c>
      <c r="F52" s="933">
        <f t="shared" ref="F52:F54" si="47">E52+L52</f>
        <v>116800</v>
      </c>
      <c r="G52" s="975">
        <v>153.35</v>
      </c>
      <c r="H52" s="935">
        <f>IFERROR(__xludf.DUMMYFUNCTION("GOOGLEFINANCE(C52,""changepct"")"),-0.34)</f>
        <v>-0.34</v>
      </c>
      <c r="I52" s="936">
        <f>IFERROR(__xludf.DUMMYFUNCTION("googlefinance(C52,""price"")"),1168.0)</f>
        <v>1168</v>
      </c>
      <c r="J52" s="936">
        <f t="shared" ref="J52:J54" si="48">(I52-G52)</f>
        <v>1014.65</v>
      </c>
      <c r="K52" s="937">
        <f t="shared" ref="K52:K54" si="49">(I52/G52-1)</f>
        <v>6.616563417</v>
      </c>
      <c r="L52" s="933">
        <f t="shared" ref="L52:L54" si="50">(E52*K52)</f>
        <v>101465</v>
      </c>
      <c r="M52" s="938">
        <v>0.022</v>
      </c>
      <c r="N52" s="788">
        <v>99.0</v>
      </c>
      <c r="O52" s="989"/>
      <c r="P52" s="946">
        <v>43472.0</v>
      </c>
      <c r="Q52" s="797" t="s">
        <v>401</v>
      </c>
      <c r="R52" s="787" t="s">
        <v>956</v>
      </c>
      <c r="S52" s="790">
        <v>153.14</v>
      </c>
      <c r="T52" s="792">
        <f>IFERROR(__xludf.DUMMYFUNCTION("GOOGLEFINANCE(R52,""price"")"),1168.0)</f>
        <v>1168</v>
      </c>
      <c r="U52" s="790">
        <v>4594.2</v>
      </c>
      <c r="V52" s="807">
        <f t="shared" ref="V52:V53" si="51">U52+W52</f>
        <v>35040</v>
      </c>
      <c r="W52" s="807">
        <f t="shared" ref="W52:W53" si="52">U52*X52</f>
        <v>30445.8</v>
      </c>
      <c r="X52" s="856">
        <f t="shared" ref="X52:X53" si="53">T52/S52-1</f>
        <v>6.627007967</v>
      </c>
      <c r="Y52" s="802">
        <v>0.0226</v>
      </c>
      <c r="Z52" s="788">
        <v>35.0</v>
      </c>
    </row>
    <row r="53">
      <c r="A53" s="1097">
        <f>(F56+V56)/G58</f>
        <v>0.4825262432</v>
      </c>
      <c r="B53" s="820" t="s">
        <v>117</v>
      </c>
      <c r="C53" s="950" t="s">
        <v>118</v>
      </c>
      <c r="D53" s="931">
        <v>6.9</v>
      </c>
      <c r="E53" s="932">
        <v>11783.0</v>
      </c>
      <c r="F53" s="933">
        <f t="shared" si="47"/>
        <v>21752.01921</v>
      </c>
      <c r="G53" s="975">
        <v>261.84</v>
      </c>
      <c r="H53" s="935">
        <f>IFERROR(__xludf.DUMMYFUNCTION("GOOGLEFINANCE(C53,""changepct"")"),-1.15)</f>
        <v>-1.15</v>
      </c>
      <c r="I53" s="936">
        <f>IFERROR(__xludf.DUMMYFUNCTION("googlefinance(C53,""price"")"),483.37)</f>
        <v>483.37</v>
      </c>
      <c r="J53" s="936">
        <f t="shared" si="48"/>
        <v>221.53</v>
      </c>
      <c r="K53" s="937">
        <f t="shared" si="49"/>
        <v>0.8460510235</v>
      </c>
      <c r="L53" s="933">
        <f t="shared" si="50"/>
        <v>9969.01921</v>
      </c>
      <c r="M53" s="991">
        <v>0.0339</v>
      </c>
      <c r="N53" s="788">
        <v>113.0</v>
      </c>
      <c r="O53" s="989"/>
      <c r="P53" s="946">
        <v>43472.0</v>
      </c>
      <c r="Q53" s="797" t="s">
        <v>117</v>
      </c>
      <c r="R53" s="787" t="s">
        <v>118</v>
      </c>
      <c r="S53" s="790">
        <v>265.31</v>
      </c>
      <c r="T53" s="792">
        <f>IFERROR(__xludf.DUMMYFUNCTION("GOOGLEFINANCE(R53,""price"")"),483.37)</f>
        <v>483.37</v>
      </c>
      <c r="U53" s="790">
        <v>5340.6</v>
      </c>
      <c r="V53" s="807">
        <f t="shared" si="51"/>
        <v>9730.073582</v>
      </c>
      <c r="W53" s="807">
        <f t="shared" si="52"/>
        <v>4389.473582</v>
      </c>
      <c r="X53" s="856">
        <f t="shared" si="53"/>
        <v>0.8219064491</v>
      </c>
      <c r="Y53" s="802">
        <v>0.0339</v>
      </c>
      <c r="Z53" s="788">
        <v>50.0</v>
      </c>
    </row>
    <row r="54">
      <c r="A54" s="1" t="s">
        <v>1059</v>
      </c>
      <c r="B54" s="820" t="s">
        <v>981</v>
      </c>
      <c r="C54" s="950" t="s">
        <v>765</v>
      </c>
      <c r="D54" s="931">
        <v>6.6</v>
      </c>
      <c r="E54" s="932">
        <v>22710.0</v>
      </c>
      <c r="F54" s="933">
        <f t="shared" si="47"/>
        <v>504300</v>
      </c>
      <c r="G54" s="975">
        <v>7.57</v>
      </c>
      <c r="H54" s="935">
        <f>IFERROR(__xludf.DUMMYFUNCTION("GOOGLEFINANCE(C54,""changepct"")"),-1.16)</f>
        <v>-1.16</v>
      </c>
      <c r="I54" s="936">
        <f>IFERROR(__xludf.DUMMYFUNCTION("googlefinance(C54,""price"")"),168.1)</f>
        <v>168.1</v>
      </c>
      <c r="J54" s="936">
        <f t="shared" si="48"/>
        <v>160.53</v>
      </c>
      <c r="K54" s="937">
        <f t="shared" si="49"/>
        <v>21.20607662</v>
      </c>
      <c r="L54" s="933">
        <f t="shared" si="50"/>
        <v>481590</v>
      </c>
      <c r="M54" s="938">
        <v>0.0052</v>
      </c>
      <c r="N54" s="788">
        <v>38.0</v>
      </c>
      <c r="O54" s="989"/>
      <c r="P54" s="800"/>
      <c r="Q54" s="800"/>
      <c r="R54" s="800"/>
      <c r="S54" s="807"/>
      <c r="T54" s="807"/>
      <c r="U54" s="807"/>
      <c r="V54" s="800"/>
      <c r="W54" s="800"/>
      <c r="X54" s="856"/>
      <c r="Y54" s="800"/>
      <c r="Z54" s="805"/>
    </row>
    <row r="55">
      <c r="A55" s="1105">
        <f>F56+V56</f>
        <v>687622.0928</v>
      </c>
      <c r="B55" s="1109"/>
      <c r="C55" s="1109"/>
      <c r="D55" s="1109"/>
      <c r="E55" s="1110"/>
      <c r="F55" s="1110"/>
      <c r="G55" s="1111"/>
      <c r="H55" s="1112"/>
      <c r="I55" s="1109"/>
      <c r="J55" s="1109"/>
      <c r="K55" s="1113"/>
      <c r="L55" s="1110"/>
      <c r="M55" s="1109"/>
      <c r="N55" s="1114"/>
      <c r="O55" s="989"/>
      <c r="P55" s="939"/>
      <c r="Q55" s="1074"/>
      <c r="R55" s="1074"/>
      <c r="S55" s="1075"/>
      <c r="T55" s="1075"/>
      <c r="U55" s="1027"/>
      <c r="V55" s="1136"/>
      <c r="W55" s="1136"/>
      <c r="X55" s="1137"/>
      <c r="Y55" s="1074"/>
      <c r="Z55" s="944"/>
    </row>
    <row r="56">
      <c r="A56" s="968" t="s">
        <v>113</v>
      </c>
      <c r="B56" s="969"/>
      <c r="C56" s="969"/>
      <c r="D56" s="969"/>
      <c r="E56" s="970">
        <f t="shared" ref="E56:F56" si="54">SUM(E52:E54)</f>
        <v>49828</v>
      </c>
      <c r="F56" s="970">
        <f t="shared" si="54"/>
        <v>642852.0192</v>
      </c>
      <c r="G56" s="985"/>
      <c r="H56" s="969"/>
      <c r="I56" s="969"/>
      <c r="J56" s="969"/>
      <c r="K56" s="972">
        <f>L56/E56</f>
        <v>11.90142127</v>
      </c>
      <c r="L56" s="970">
        <f>SUM(L52:L54)</f>
        <v>593024.0192</v>
      </c>
      <c r="M56" s="969"/>
      <c r="N56" s="973">
        <f>SUM(N52:N55)</f>
        <v>250</v>
      </c>
      <c r="O56" s="989"/>
      <c r="P56" s="736" t="s">
        <v>113</v>
      </c>
      <c r="Q56" s="989"/>
      <c r="R56" s="989"/>
      <c r="S56" s="1133"/>
      <c r="T56" s="1133"/>
      <c r="U56" s="959">
        <f t="shared" ref="U56:W56" si="55">SUM(U52:U54)</f>
        <v>9934.8</v>
      </c>
      <c r="V56" s="959">
        <f t="shared" si="55"/>
        <v>44770.07358</v>
      </c>
      <c r="W56" s="959">
        <f t="shared" si="55"/>
        <v>34835.27358</v>
      </c>
      <c r="X56" s="796">
        <f>W56/U56</f>
        <v>3.506389015</v>
      </c>
      <c r="Y56" s="989"/>
      <c r="Z56" s="1102">
        <f>SUM(Z52:Z55)</f>
        <v>85</v>
      </c>
    </row>
    <row r="57">
      <c r="A57" s="924" t="s">
        <v>1061</v>
      </c>
      <c r="B57" s="916"/>
      <c r="C57" s="916"/>
      <c r="D57" s="916"/>
      <c r="E57" s="926" t="s">
        <v>1121</v>
      </c>
      <c r="F57" s="1116" t="s">
        <v>1122</v>
      </c>
      <c r="G57" s="1116" t="s">
        <v>1123</v>
      </c>
      <c r="H57" s="925" t="s">
        <v>1066</v>
      </c>
      <c r="I57" s="925" t="s">
        <v>1124</v>
      </c>
      <c r="J57" s="925" t="s">
        <v>1113</v>
      </c>
      <c r="K57" s="924" t="s">
        <v>1092</v>
      </c>
      <c r="L57" s="924" t="s">
        <v>15</v>
      </c>
      <c r="M57" s="228" t="s">
        <v>1069</v>
      </c>
      <c r="N57" s="228" t="s">
        <v>1125</v>
      </c>
      <c r="O57" s="989"/>
      <c r="P57" s="854" t="s">
        <v>1126</v>
      </c>
      <c r="Q57" s="886">
        <f>U56+U50+U36+U13+U20</f>
        <v>189858.15</v>
      </c>
      <c r="R57" s="1093"/>
      <c r="S57" s="1093"/>
      <c r="T57" s="1093"/>
      <c r="U57" s="1093"/>
      <c r="V57" s="1093"/>
      <c r="W57" s="1093"/>
      <c r="X57" s="1093"/>
      <c r="Y57" s="854" t="s">
        <v>1127</v>
      </c>
      <c r="Z57" s="886">
        <f>Z56+Z50+Z36+Z20</f>
        <v>957</v>
      </c>
    </row>
    <row r="58">
      <c r="A58" s="964" t="s">
        <v>1071</v>
      </c>
      <c r="B58" s="969"/>
      <c r="C58" s="969"/>
      <c r="D58" s="969"/>
      <c r="E58" s="970">
        <f>E56+E50+E42+E36+E27+E20+E13</f>
        <v>1104685</v>
      </c>
      <c r="F58" s="970">
        <f>E58+Q57</f>
        <v>1294543.15</v>
      </c>
      <c r="G58" s="1115">
        <v>1425046.0</v>
      </c>
      <c r="H58" s="1117">
        <f>G58/G62</f>
        <v>0.5079550319</v>
      </c>
      <c r="I58" s="1117">
        <f>J58/F58</f>
        <v>0.1506188573</v>
      </c>
      <c r="J58" s="1118">
        <f>L58+M58+N58</f>
        <v>194982.61</v>
      </c>
      <c r="K58" s="972">
        <f>L58/F58</f>
        <v>0.1008100811</v>
      </c>
      <c r="L58" s="1115">
        <v>130503.0</v>
      </c>
      <c r="M58" s="1138">
        <v>55923.61</v>
      </c>
      <c r="N58" s="973">
        <f>N56+N50+N42+N36+N27+N20+N13+Z57</f>
        <v>8556</v>
      </c>
      <c r="O58" s="989"/>
      <c r="P58" s="736" t="s">
        <v>1128</v>
      </c>
      <c r="Q58" s="1102" t="str">
        <f>V56+V50+V36+V13+V20</f>
        <v>#N/A</v>
      </c>
      <c r="R58" s="989"/>
      <c r="S58" s="989"/>
      <c r="T58" s="989"/>
      <c r="U58" s="989"/>
      <c r="V58" s="989"/>
      <c r="W58" s="989"/>
      <c r="X58" s="989"/>
      <c r="Y58" s="989"/>
      <c r="Z58" s="989"/>
    </row>
    <row r="59">
      <c r="A59" s="925" t="s">
        <v>1073</v>
      </c>
      <c r="B59" s="916"/>
      <c r="C59" s="916"/>
      <c r="D59" s="916"/>
      <c r="E59" s="1119">
        <v>127872.0</v>
      </c>
      <c r="F59" s="1099">
        <f>E59</f>
        <v>127872</v>
      </c>
      <c r="G59" s="1120">
        <v>128421.0</v>
      </c>
      <c r="H59" s="1097">
        <f>G59/G62</f>
        <v>0.04577542981</v>
      </c>
      <c r="I59" s="916"/>
      <c r="J59" s="916"/>
      <c r="K59" s="1123">
        <v>0.0043</v>
      </c>
      <c r="L59" s="1119">
        <v>549.0</v>
      </c>
      <c r="M59" s="228" t="s">
        <v>1129</v>
      </c>
      <c r="N59" s="228" t="s">
        <v>1130</v>
      </c>
      <c r="O59" s="989"/>
      <c r="P59" s="854" t="s">
        <v>1131</v>
      </c>
      <c r="Q59" s="1139" t="str">
        <f>Q58/Q57-1</f>
        <v>#N/A</v>
      </c>
      <c r="R59" s="1093"/>
      <c r="S59" s="1093"/>
      <c r="T59" s="1093"/>
      <c r="U59" s="1093"/>
      <c r="V59" s="1093"/>
      <c r="W59" s="1093"/>
      <c r="X59" s="1093"/>
      <c r="Y59" s="1093"/>
      <c r="Z59" s="1093"/>
    </row>
    <row r="60">
      <c r="A60" s="964" t="s">
        <v>240</v>
      </c>
      <c r="B60" s="969"/>
      <c r="C60" s="969"/>
      <c r="D60" s="969"/>
      <c r="E60" s="1034">
        <v>160913.0</v>
      </c>
      <c r="F60" s="1034">
        <v>312943.0</v>
      </c>
      <c r="G60" s="1115">
        <v>397865.0</v>
      </c>
      <c r="H60" s="1117">
        <f>G60/G62</f>
        <v>0.1418182492</v>
      </c>
      <c r="I60" s="969"/>
      <c r="J60" s="969"/>
      <c r="K60" s="1117">
        <f t="shared" ref="K60:K61" si="56">L60/F60</f>
        <v>0.271365712</v>
      </c>
      <c r="L60" s="973">
        <f>G60-F60</f>
        <v>84922</v>
      </c>
      <c r="M60" s="1117">
        <f>M58/G62</f>
        <v>0.01993386817</v>
      </c>
      <c r="N60" s="1129">
        <f>N58/F58</f>
        <v>0.006609281429</v>
      </c>
      <c r="O60" s="989"/>
      <c r="P60" s="736" t="s">
        <v>1132</v>
      </c>
      <c r="Q60" s="1102" t="str">
        <f>Q57*Q59</f>
        <v>#N/A</v>
      </c>
      <c r="R60" s="989"/>
      <c r="S60" s="989"/>
      <c r="T60" s="989"/>
      <c r="U60" s="989"/>
      <c r="V60" s="989"/>
      <c r="W60" s="989"/>
      <c r="X60" s="989"/>
      <c r="Y60" s="989"/>
      <c r="Z60" s="989"/>
    </row>
    <row r="61">
      <c r="A61" s="925" t="s">
        <v>1078</v>
      </c>
      <c r="B61" s="916"/>
      <c r="C61" s="916"/>
      <c r="D61" s="916"/>
      <c r="E61" s="1119">
        <v>1140473.0</v>
      </c>
      <c r="F61" s="1119">
        <v>798615.0</v>
      </c>
      <c r="G61" s="1122">
        <v>854125.0</v>
      </c>
      <c r="H61" s="1097">
        <f>G61/G62</f>
        <v>0.304451289</v>
      </c>
      <c r="I61" s="916"/>
      <c r="J61" s="916"/>
      <c r="K61" s="1123">
        <f t="shared" si="56"/>
        <v>0.004427039312</v>
      </c>
      <c r="L61" s="1119">
        <v>3535.5</v>
      </c>
      <c r="M61" s="916"/>
      <c r="N61" s="228"/>
      <c r="O61" s="989"/>
      <c r="P61" s="854" t="s">
        <v>1133</v>
      </c>
      <c r="Q61" s="886">
        <f>Z57</f>
        <v>957</v>
      </c>
      <c r="R61" s="1093"/>
      <c r="S61" s="1093"/>
      <c r="T61" s="1093"/>
      <c r="U61" s="1093"/>
      <c r="V61" s="1093"/>
      <c r="W61" s="1093"/>
      <c r="X61" s="1093"/>
      <c r="Y61" s="1093"/>
      <c r="Z61" s="1093"/>
    </row>
    <row r="62">
      <c r="A62" s="968" t="s">
        <v>1083</v>
      </c>
      <c r="B62" s="1124"/>
      <c r="C62" s="1124"/>
      <c r="D62" s="1124"/>
      <c r="E62" s="1125">
        <f t="shared" ref="E62:H62" si="57">SUM(E58:E61)</f>
        <v>2533943</v>
      </c>
      <c r="F62" s="1125">
        <f t="shared" si="57"/>
        <v>2533973.15</v>
      </c>
      <c r="G62" s="1127">
        <f t="shared" si="57"/>
        <v>2805457</v>
      </c>
      <c r="H62" s="1128">
        <f t="shared" si="57"/>
        <v>1</v>
      </c>
      <c r="I62" s="1124"/>
      <c r="J62" s="1124"/>
      <c r="K62" s="972">
        <f>L62/E62</f>
        <v>0.112073993</v>
      </c>
      <c r="L62" s="973">
        <f>SUM(L58:L61)+M58+N58</f>
        <v>283989.11</v>
      </c>
      <c r="M62" s="969"/>
      <c r="N62" s="1129"/>
      <c r="O62" s="989"/>
      <c r="P62" s="736" t="s">
        <v>1134</v>
      </c>
      <c r="Q62" s="1102" t="str">
        <f>Q61+Q58</f>
        <v>#N/A</v>
      </c>
      <c r="R62" s="989"/>
      <c r="S62" s="989"/>
      <c r="T62" s="989"/>
      <c r="U62" s="989"/>
      <c r="V62" s="989"/>
      <c r="W62" s="989"/>
      <c r="X62" s="989"/>
      <c r="Y62" s="989"/>
      <c r="Z62" s="989"/>
    </row>
    <row r="63">
      <c r="A63" s="779" t="s">
        <v>892</v>
      </c>
      <c r="B63" s="1130"/>
      <c r="C63" s="1130"/>
      <c r="D63" s="1130"/>
      <c r="E63" s="1130"/>
      <c r="F63" s="1130"/>
      <c r="G63" s="1130"/>
      <c r="H63" s="1130"/>
      <c r="I63" s="1130"/>
      <c r="J63" s="1131"/>
    </row>
    <row r="64">
      <c r="A64" s="226" t="s">
        <v>248</v>
      </c>
      <c r="B64" s="482"/>
      <c r="C64" s="482"/>
      <c r="D64" s="482"/>
      <c r="E64" s="482"/>
      <c r="F64" s="484"/>
      <c r="G64" s="483" t="s">
        <v>1135</v>
      </c>
      <c r="H64" s="484"/>
      <c r="I64" s="484" t="s">
        <v>1014</v>
      </c>
      <c r="J64" s="484" t="s">
        <v>15</v>
      </c>
      <c r="K64" s="1081" t="s">
        <v>578</v>
      </c>
    </row>
    <row r="65">
      <c r="A65" s="114"/>
      <c r="B65" s="304" t="s">
        <v>265</v>
      </c>
      <c r="C65" s="1085" t="s">
        <v>266</v>
      </c>
      <c r="D65" s="1085"/>
      <c r="E65" s="115"/>
      <c r="F65" s="753"/>
      <c r="G65" s="850">
        <v>23283.0</v>
      </c>
      <c r="H65" s="753"/>
      <c r="I65" s="850">
        <v>25928.68</v>
      </c>
      <c r="J65" s="1087">
        <f t="shared" ref="J65:J69" si="58">I65-G65</f>
        <v>2645.68</v>
      </c>
      <c r="K65" s="1132">
        <f t="shared" ref="K65:K69" si="59">I65/G65-1</f>
        <v>0.1136314049</v>
      </c>
    </row>
    <row r="66">
      <c r="A66" s="114"/>
      <c r="B66" s="304" t="s">
        <v>267</v>
      </c>
      <c r="C66" s="1089" t="s">
        <v>268</v>
      </c>
      <c r="D66" s="1089"/>
      <c r="E66" s="115"/>
      <c r="F66" s="753"/>
      <c r="G66" s="850">
        <v>2506.0</v>
      </c>
      <c r="H66" s="753"/>
      <c r="I66" s="850">
        <v>2834.4</v>
      </c>
      <c r="J66" s="1087">
        <f t="shared" si="58"/>
        <v>328.4</v>
      </c>
      <c r="K66" s="1132">
        <f t="shared" si="59"/>
        <v>0.1310454908</v>
      </c>
    </row>
    <row r="67">
      <c r="A67" s="114"/>
      <c r="B67" s="304" t="s">
        <v>269</v>
      </c>
      <c r="C67" s="1085" t="s">
        <v>270</v>
      </c>
      <c r="D67" s="1085"/>
      <c r="E67" s="115"/>
      <c r="F67" s="753"/>
      <c r="G67" s="850">
        <v>6623.0</v>
      </c>
      <c r="H67" s="753"/>
      <c r="I67" s="850">
        <v>7729.32</v>
      </c>
      <c r="J67" s="1087">
        <f t="shared" si="58"/>
        <v>1106.32</v>
      </c>
      <c r="K67" s="1132">
        <f t="shared" si="59"/>
        <v>0.1670421259</v>
      </c>
    </row>
    <row r="68">
      <c r="A68" s="114"/>
      <c r="B68" s="304" t="s">
        <v>271</v>
      </c>
      <c r="C68" s="1085" t="s">
        <v>272</v>
      </c>
      <c r="D68" s="1085"/>
      <c r="E68" s="115"/>
      <c r="F68" s="753"/>
      <c r="G68" s="850">
        <v>1346.0</v>
      </c>
      <c r="H68" s="753"/>
      <c r="I68" s="850">
        <v>1539.74</v>
      </c>
      <c r="J68" s="1087">
        <f t="shared" si="58"/>
        <v>193.74</v>
      </c>
      <c r="K68" s="1132">
        <f t="shared" si="59"/>
        <v>0.1439375929</v>
      </c>
    </row>
    <row r="69">
      <c r="A69" s="114"/>
      <c r="B69" s="304" t="s">
        <v>273</v>
      </c>
      <c r="C69" s="1085" t="s">
        <v>274</v>
      </c>
      <c r="D69" s="1085"/>
      <c r="E69" s="115"/>
      <c r="F69" s="753"/>
      <c r="G69" s="850">
        <v>11354.0</v>
      </c>
      <c r="H69" s="753"/>
      <c r="I69" s="850">
        <v>12696.88</v>
      </c>
      <c r="J69" s="1087">
        <f t="shared" si="58"/>
        <v>1342.88</v>
      </c>
      <c r="K69" s="1132">
        <f t="shared" si="59"/>
        <v>0.1182737361</v>
      </c>
    </row>
    <row r="70">
      <c r="A70" s="1091" t="s">
        <v>1087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7.38"/>
    <col customWidth="1" min="3" max="3" width="20.38"/>
    <col customWidth="1" min="4" max="4" width="19.13"/>
    <col customWidth="1" min="5" max="5" width="24.75"/>
    <col customWidth="1" min="6" max="6" width="11.13"/>
    <col customWidth="1" min="7" max="7" width="9.5"/>
    <col customWidth="1" min="8" max="8" width="23.25"/>
    <col customWidth="1" min="9" max="9" width="24.38"/>
    <col customWidth="1" min="10" max="10" width="15.38"/>
    <col customWidth="1" min="11" max="11" width="22.13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7.5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5"/>
    <col customWidth="1" min="29" max="29" width="11.13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8" t="s">
        <v>11</v>
      </c>
      <c r="M2" s="9" t="s">
        <v>12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18</v>
      </c>
      <c r="T2" s="5" t="s">
        <v>19</v>
      </c>
      <c r="U2" s="5" t="s">
        <v>20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13" t="s">
        <v>29</v>
      </c>
      <c r="B3" s="13" t="s">
        <v>29</v>
      </c>
      <c r="C3" s="14">
        <f>I3/E135</f>
        <v>0.03519242025</v>
      </c>
      <c r="D3" s="15" t="s">
        <v>331</v>
      </c>
      <c r="E3" s="16" t="s">
        <v>31</v>
      </c>
      <c r="F3" s="17">
        <v>8.1</v>
      </c>
      <c r="G3" s="18">
        <v>4000.0</v>
      </c>
      <c r="H3" s="19">
        <f t="shared" ref="H3:H48" si="1">G3*J3</f>
        <v>609040</v>
      </c>
      <c r="I3" s="20">
        <f>H3+P3</f>
        <v>770760</v>
      </c>
      <c r="J3" s="21">
        <v>152.26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48" si="2">L3-J3</f>
        <v>40.43</v>
      </c>
      <c r="O3" s="25">
        <f>L3/J3-1</f>
        <v>0.2655326415</v>
      </c>
      <c r="P3" s="19">
        <f t="shared" ref="P3:P48" si="3">H3*O3</f>
        <v>161720</v>
      </c>
      <c r="Q3" s="26">
        <v>0.0011</v>
      </c>
      <c r="R3" s="27">
        <v>800.0</v>
      </c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3">
        <f>(I49+I58+I66+I77+I82)/E135</f>
        <v>1.269529805</v>
      </c>
      <c r="B4" s="33">
        <f>I49/E135</f>
        <v>1.11535202</v>
      </c>
      <c r="C4" s="14">
        <f>I4/E135</f>
        <v>0</v>
      </c>
      <c r="D4" s="42" t="s">
        <v>332</v>
      </c>
      <c r="E4" s="45" t="s">
        <v>299</v>
      </c>
      <c r="F4" s="44">
        <v>7.7</v>
      </c>
      <c r="G4" s="18">
        <v>1000.0</v>
      </c>
      <c r="H4" s="19">
        <f t="shared" si="1"/>
        <v>84580</v>
      </c>
      <c r="I4" s="20">
        <v>0.0</v>
      </c>
      <c r="J4" s="21">
        <v>84.58</v>
      </c>
      <c r="K4" s="22">
        <f>IFERROR(__xludf.DUMMYFUNCTION("GOOGLEFINANCE(E4,""changepct"")"),-1.67)</f>
        <v>-1.67</v>
      </c>
      <c r="L4" s="23">
        <f>IFERROR(__xludf.DUMMYFUNCTION("googlefinance(E4,""price"")"),87.48)</f>
        <v>87.48</v>
      </c>
      <c r="M4" s="21">
        <v>72.23</v>
      </c>
      <c r="N4" s="24">
        <f t="shared" si="2"/>
        <v>2.9</v>
      </c>
      <c r="O4" s="25">
        <f t="shared" ref="O4:O5" si="4">M4/J4-1</f>
        <v>-0.1460156065</v>
      </c>
      <c r="P4" s="19">
        <f t="shared" si="3"/>
        <v>-12350</v>
      </c>
      <c r="Q4" s="34"/>
      <c r="R4" s="29"/>
      <c r="S4" s="35"/>
      <c r="T4" s="27">
        <v>2300.0</v>
      </c>
      <c r="U4" s="27"/>
      <c r="V4" s="15" t="s">
        <v>299</v>
      </c>
      <c r="W4" s="36">
        <v>45400.0</v>
      </c>
      <c r="X4" s="37">
        <v>72.23</v>
      </c>
      <c r="Y4" s="27">
        <v>72230.0</v>
      </c>
      <c r="Z4" s="16"/>
      <c r="AA4" s="32"/>
      <c r="AB4" s="31"/>
      <c r="AC4" s="29"/>
    </row>
    <row r="5">
      <c r="A5" s="38"/>
      <c r="B5" s="32"/>
      <c r="C5" s="14">
        <f>I5/E135</f>
        <v>0</v>
      </c>
      <c r="D5" s="42" t="s">
        <v>332</v>
      </c>
      <c r="E5" s="45" t="s">
        <v>299</v>
      </c>
      <c r="F5" s="44">
        <v>7.7</v>
      </c>
      <c r="G5" s="18">
        <v>2000.0</v>
      </c>
      <c r="H5" s="19">
        <f t="shared" si="1"/>
        <v>169160</v>
      </c>
      <c r="I5" s="20">
        <v>0.0</v>
      </c>
      <c r="J5" s="21">
        <v>84.58</v>
      </c>
      <c r="K5" s="22">
        <f>IFERROR(__xludf.DUMMYFUNCTION("GOOGLEFINANCE(E5,""changepct"")"),-1.67)</f>
        <v>-1.67</v>
      </c>
      <c r="L5" s="23">
        <f>IFERROR(__xludf.DUMMYFUNCTION("googlefinance(E5,""price"")"),87.48)</f>
        <v>87.48</v>
      </c>
      <c r="M5" s="21">
        <v>74.17</v>
      </c>
      <c r="N5" s="24">
        <f t="shared" si="2"/>
        <v>2.9</v>
      </c>
      <c r="O5" s="25">
        <f t="shared" si="4"/>
        <v>-0.123078742</v>
      </c>
      <c r="P5" s="19">
        <f t="shared" si="3"/>
        <v>-20820</v>
      </c>
      <c r="Q5" s="34"/>
      <c r="R5" s="29"/>
      <c r="S5" s="39"/>
      <c r="T5" s="27">
        <v>3700.0</v>
      </c>
      <c r="U5" s="40"/>
      <c r="V5" s="15" t="s">
        <v>299</v>
      </c>
      <c r="W5" s="36">
        <v>45399.0</v>
      </c>
      <c r="X5" s="37">
        <v>74.17</v>
      </c>
      <c r="Y5" s="27">
        <v>148340.0</v>
      </c>
      <c r="Z5" s="15"/>
      <c r="AA5" s="41"/>
      <c r="AB5" s="21"/>
      <c r="AC5" s="20"/>
    </row>
    <row r="6">
      <c r="A6" s="38"/>
      <c r="B6" s="32"/>
      <c r="C6" s="14">
        <f>I6/E135</f>
        <v>0.09529339961</v>
      </c>
      <c r="D6" s="15" t="s">
        <v>35</v>
      </c>
      <c r="E6" s="15" t="s">
        <v>36</v>
      </c>
      <c r="F6" s="17">
        <v>8.1</v>
      </c>
      <c r="G6" s="18">
        <v>5000.0</v>
      </c>
      <c r="H6" s="19">
        <f t="shared" si="1"/>
        <v>878950</v>
      </c>
      <c r="I6" s="20">
        <f t="shared" ref="I6:I18" si="5">H6+P6</f>
        <v>2087050</v>
      </c>
      <c r="J6" s="21">
        <v>175.79</v>
      </c>
      <c r="K6" s="22">
        <f>IFERROR(__xludf.DUMMYFUNCTION("GOOGLEFINANCE(E6,""changepct"")"),-3.3)</f>
        <v>-3.3</v>
      </c>
      <c r="L6" s="23">
        <f>IFERROR(__xludf.DUMMYFUNCTION("googlefinance(E6,""price"")"),417.41)</f>
        <v>417.41</v>
      </c>
      <c r="M6" s="24"/>
      <c r="N6" s="24">
        <f t="shared" si="2"/>
        <v>241.62</v>
      </c>
      <c r="O6" s="25">
        <f t="shared" ref="O6:O18" si="6">L6/J6-1</f>
        <v>1.374480915</v>
      </c>
      <c r="P6" s="19">
        <f t="shared" si="3"/>
        <v>1208100</v>
      </c>
      <c r="Q6" s="34"/>
      <c r="R6" s="29"/>
      <c r="S6" s="39"/>
      <c r="T6" s="27">
        <v>-650.0</v>
      </c>
      <c r="U6" s="40"/>
      <c r="V6" s="15"/>
      <c r="W6" s="36"/>
      <c r="X6" s="37"/>
      <c r="Y6" s="27"/>
      <c r="Z6" s="15"/>
      <c r="AA6" s="41"/>
      <c r="AB6" s="21"/>
      <c r="AC6" s="20"/>
    </row>
    <row r="7">
      <c r="A7" s="38"/>
      <c r="B7" s="32"/>
      <c r="C7" s="14">
        <f>I7/E135</f>
        <v>0.01905867992</v>
      </c>
      <c r="D7" s="15" t="s">
        <v>37</v>
      </c>
      <c r="E7" s="15" t="s">
        <v>36</v>
      </c>
      <c r="F7" s="17">
        <v>8.1</v>
      </c>
      <c r="G7" s="18">
        <v>1000.0</v>
      </c>
      <c r="H7" s="19">
        <f t="shared" si="1"/>
        <v>141640</v>
      </c>
      <c r="I7" s="20">
        <f t="shared" si="5"/>
        <v>417410</v>
      </c>
      <c r="J7" s="21">
        <v>141.64</v>
      </c>
      <c r="K7" s="22">
        <f>IFERROR(__xludf.DUMMYFUNCTION("GOOGLEFINANCE(E7,""changepct"")"),-3.3)</f>
        <v>-3.3</v>
      </c>
      <c r="L7" s="23">
        <f>IFERROR(__xludf.DUMMYFUNCTION("googlefinance(E7,""price"")"),417.41)</f>
        <v>417.41</v>
      </c>
      <c r="M7" s="24"/>
      <c r="N7" s="24">
        <f t="shared" si="2"/>
        <v>275.77</v>
      </c>
      <c r="O7" s="25">
        <f t="shared" si="6"/>
        <v>1.946978255</v>
      </c>
      <c r="P7" s="19">
        <f t="shared" si="3"/>
        <v>275770</v>
      </c>
      <c r="Q7" s="34"/>
      <c r="R7" s="29"/>
      <c r="S7" s="43"/>
      <c r="T7" s="27"/>
      <c r="U7" s="40"/>
      <c r="V7" s="15"/>
      <c r="W7" s="41"/>
      <c r="X7" s="21"/>
      <c r="Y7" s="20"/>
      <c r="Z7" s="42" t="s">
        <v>36</v>
      </c>
      <c r="AA7" s="36">
        <v>45405.0</v>
      </c>
      <c r="AB7" s="37">
        <v>141.64</v>
      </c>
      <c r="AC7" s="27">
        <v>141640.0</v>
      </c>
    </row>
    <row r="8">
      <c r="A8" s="38"/>
      <c r="B8" s="32"/>
      <c r="C8" s="14">
        <f>I8/E135</f>
        <v>0.03811735985</v>
      </c>
      <c r="D8" s="15" t="s">
        <v>37</v>
      </c>
      <c r="E8" s="15" t="s">
        <v>36</v>
      </c>
      <c r="F8" s="17">
        <v>8.1</v>
      </c>
      <c r="G8" s="18">
        <v>2000.0</v>
      </c>
      <c r="H8" s="19">
        <f t="shared" si="1"/>
        <v>361660</v>
      </c>
      <c r="I8" s="20">
        <f t="shared" si="5"/>
        <v>834820</v>
      </c>
      <c r="J8" s="21">
        <v>180.83</v>
      </c>
      <c r="K8" s="22">
        <f>IFERROR(__xludf.DUMMYFUNCTION("GOOGLEFINANCE(E8,""changepct"")"),-3.3)</f>
        <v>-3.3</v>
      </c>
      <c r="L8" s="23">
        <f>IFERROR(__xludf.DUMMYFUNCTION("googlefinance(E8,""price"")"),417.41)</f>
        <v>417.41</v>
      </c>
      <c r="M8" s="24"/>
      <c r="N8" s="24">
        <f t="shared" si="2"/>
        <v>236.58</v>
      </c>
      <c r="O8" s="25">
        <f t="shared" si="6"/>
        <v>1.308300614</v>
      </c>
      <c r="P8" s="19">
        <f t="shared" si="3"/>
        <v>473160</v>
      </c>
      <c r="Q8" s="34"/>
      <c r="R8" s="29"/>
      <c r="S8" s="43"/>
      <c r="T8" s="27"/>
      <c r="U8" s="40"/>
      <c r="V8" s="15"/>
      <c r="W8" s="41"/>
      <c r="X8" s="21"/>
      <c r="Y8" s="20"/>
      <c r="Z8" s="42" t="s">
        <v>36</v>
      </c>
      <c r="AA8" s="36">
        <v>45460.0</v>
      </c>
      <c r="AB8" s="37">
        <v>180.83</v>
      </c>
      <c r="AC8" s="27">
        <v>361660.0</v>
      </c>
    </row>
    <row r="9">
      <c r="A9" s="38"/>
      <c r="B9" s="32"/>
      <c r="C9" s="14">
        <f>I9/E135</f>
        <v>0.03811735985</v>
      </c>
      <c r="D9" s="15" t="s">
        <v>37</v>
      </c>
      <c r="E9" s="15" t="s">
        <v>36</v>
      </c>
      <c r="F9" s="17">
        <v>8.1</v>
      </c>
      <c r="G9" s="18">
        <v>2000.0</v>
      </c>
      <c r="H9" s="19">
        <f t="shared" si="1"/>
        <v>363600</v>
      </c>
      <c r="I9" s="20">
        <f t="shared" si="5"/>
        <v>834820</v>
      </c>
      <c r="J9" s="21">
        <v>181.8</v>
      </c>
      <c r="K9" s="22">
        <f>IFERROR(__xludf.DUMMYFUNCTION("GOOGLEFINANCE(E9,""changepct"")"),-3.3)</f>
        <v>-3.3</v>
      </c>
      <c r="L9" s="23">
        <f>IFERROR(__xludf.DUMMYFUNCTION("googlefinance(E9,""price"")"),417.41)</f>
        <v>417.41</v>
      </c>
      <c r="M9" s="24"/>
      <c r="N9" s="24">
        <f t="shared" si="2"/>
        <v>235.61</v>
      </c>
      <c r="O9" s="25">
        <f t="shared" si="6"/>
        <v>1.295984598</v>
      </c>
      <c r="P9" s="19">
        <f t="shared" si="3"/>
        <v>471220</v>
      </c>
      <c r="Q9" s="34"/>
      <c r="R9" s="29"/>
      <c r="S9" s="43"/>
      <c r="T9" s="27"/>
      <c r="U9" s="40"/>
      <c r="V9" s="15"/>
      <c r="W9" s="41"/>
      <c r="X9" s="21"/>
      <c r="Y9" s="20"/>
      <c r="Z9" s="42" t="s">
        <v>36</v>
      </c>
      <c r="AA9" s="36">
        <v>45464.0</v>
      </c>
      <c r="AB9" s="37">
        <v>181.8</v>
      </c>
      <c r="AC9" s="27">
        <v>363600.0</v>
      </c>
    </row>
    <row r="10">
      <c r="A10" s="38"/>
      <c r="B10" s="32"/>
      <c r="C10" s="14">
        <f>I10/E135</f>
        <v>0.03913373754</v>
      </c>
      <c r="D10" s="42" t="s">
        <v>39</v>
      </c>
      <c r="E10" s="42" t="s">
        <v>40</v>
      </c>
      <c r="F10" s="44">
        <v>8.0</v>
      </c>
      <c r="G10" s="18">
        <v>7000.0</v>
      </c>
      <c r="H10" s="19">
        <f t="shared" si="1"/>
        <v>1263430</v>
      </c>
      <c r="I10" s="20">
        <f t="shared" si="5"/>
        <v>857080</v>
      </c>
      <c r="J10" s="21">
        <v>180.49</v>
      </c>
      <c r="K10" s="22">
        <f>IFERROR(__xludf.DUMMYFUNCTION("GOOGLEFINANCE(E10,""changepct"")"),-2.2)</f>
        <v>-2.2</v>
      </c>
      <c r="L10" s="23">
        <f>IFERROR(__xludf.DUMMYFUNCTION("googlefinance(E10,""price"")"),122.44)</f>
        <v>122.44</v>
      </c>
      <c r="M10" s="24"/>
      <c r="N10" s="24">
        <f t="shared" si="2"/>
        <v>-58.05</v>
      </c>
      <c r="O10" s="25">
        <f t="shared" si="6"/>
        <v>-0.3216244667</v>
      </c>
      <c r="P10" s="19">
        <f t="shared" si="3"/>
        <v>-406350</v>
      </c>
      <c r="Q10" s="34"/>
      <c r="R10" s="29"/>
      <c r="S10" s="43"/>
      <c r="T10" s="27"/>
      <c r="U10" s="40"/>
      <c r="V10" s="15"/>
      <c r="W10" s="41"/>
      <c r="X10" s="21"/>
      <c r="Y10" s="20"/>
      <c r="Z10" s="42"/>
      <c r="AA10" s="36"/>
      <c r="AB10" s="37"/>
      <c r="AC10" s="27"/>
    </row>
    <row r="11">
      <c r="A11" s="38"/>
      <c r="B11" s="32"/>
      <c r="C11" s="14">
        <f>I11/E135</f>
        <v>0.01118106787</v>
      </c>
      <c r="D11" s="42" t="s">
        <v>41</v>
      </c>
      <c r="E11" s="42" t="s">
        <v>40</v>
      </c>
      <c r="F11" s="44">
        <v>8.0</v>
      </c>
      <c r="G11" s="18">
        <v>2000.0</v>
      </c>
      <c r="H11" s="19">
        <f t="shared" si="1"/>
        <v>314000</v>
      </c>
      <c r="I11" s="20">
        <f t="shared" si="5"/>
        <v>244880</v>
      </c>
      <c r="J11" s="21">
        <v>157.0</v>
      </c>
      <c r="K11" s="22">
        <f>IFERROR(__xludf.DUMMYFUNCTION("GOOGLEFINANCE(E11,""changepct"")"),-2.2)</f>
        <v>-2.2</v>
      </c>
      <c r="L11" s="23">
        <f>IFERROR(__xludf.DUMMYFUNCTION("googlefinance(E11,""price"")"),122.44)</f>
        <v>122.44</v>
      </c>
      <c r="M11" s="24"/>
      <c r="N11" s="24">
        <f t="shared" si="2"/>
        <v>-34.56</v>
      </c>
      <c r="O11" s="25">
        <f t="shared" si="6"/>
        <v>-0.2201273885</v>
      </c>
      <c r="P11" s="19">
        <f t="shared" si="3"/>
        <v>-69120</v>
      </c>
      <c r="Q11" s="34"/>
      <c r="R11" s="29"/>
      <c r="S11" s="43"/>
      <c r="T11" s="27"/>
      <c r="U11" s="40"/>
      <c r="V11" s="15"/>
      <c r="W11" s="41"/>
      <c r="X11" s="21"/>
      <c r="Y11" s="20"/>
      <c r="Z11" s="42" t="s">
        <v>40</v>
      </c>
      <c r="AA11" s="36">
        <v>45468.0</v>
      </c>
      <c r="AB11" s="37">
        <v>157.0</v>
      </c>
      <c r="AC11" s="27">
        <v>314000.0</v>
      </c>
    </row>
    <row r="12">
      <c r="A12" s="38"/>
      <c r="B12" s="32"/>
      <c r="C12" s="14">
        <f>I12/E135</f>
        <v>0.03031325939</v>
      </c>
      <c r="D12" s="42" t="s">
        <v>42</v>
      </c>
      <c r="E12" s="45" t="s">
        <v>43</v>
      </c>
      <c r="F12" s="44">
        <v>8.1</v>
      </c>
      <c r="G12" s="18">
        <v>3000.0</v>
      </c>
      <c r="H12" s="19">
        <f t="shared" si="1"/>
        <v>541140</v>
      </c>
      <c r="I12" s="20">
        <f t="shared" si="5"/>
        <v>663900</v>
      </c>
      <c r="J12" s="21">
        <v>180.38</v>
      </c>
      <c r="K12" s="22">
        <f>IFERROR(__xludf.DUMMYFUNCTION("GOOGLEFINANCE(E12,""changepct"")"),-1.09)</f>
        <v>-1.09</v>
      </c>
      <c r="L12" s="23">
        <f>IFERROR(__xludf.DUMMYFUNCTION("googlefinance(E12,""price"")"),221.3)</f>
        <v>221.3</v>
      </c>
      <c r="M12" s="24"/>
      <c r="N12" s="24">
        <f t="shared" si="2"/>
        <v>40.92</v>
      </c>
      <c r="O12" s="25">
        <f t="shared" si="6"/>
        <v>0.2268544184</v>
      </c>
      <c r="P12" s="19">
        <f t="shared" si="3"/>
        <v>122760</v>
      </c>
      <c r="Q12" s="34"/>
      <c r="R12" s="29"/>
      <c r="S12" s="43"/>
      <c r="T12" s="27"/>
      <c r="U12" s="40"/>
      <c r="V12" s="15"/>
      <c r="W12" s="41"/>
      <c r="X12" s="21"/>
      <c r="Y12" s="20"/>
      <c r="Z12" s="42"/>
      <c r="AA12" s="36"/>
      <c r="AB12" s="37"/>
      <c r="AC12" s="27"/>
    </row>
    <row r="13">
      <c r="A13" s="38"/>
      <c r="B13" s="32"/>
      <c r="C13" s="14">
        <f>I13/E135</f>
        <v>0.0101044198</v>
      </c>
      <c r="D13" s="42" t="s">
        <v>44</v>
      </c>
      <c r="E13" s="45" t="s">
        <v>43</v>
      </c>
      <c r="F13" s="44">
        <v>8.1</v>
      </c>
      <c r="G13" s="18">
        <v>1000.0</v>
      </c>
      <c r="H13" s="19">
        <f t="shared" si="1"/>
        <v>194000</v>
      </c>
      <c r="I13" s="20">
        <f t="shared" si="5"/>
        <v>221300</v>
      </c>
      <c r="J13" s="21">
        <v>194.0</v>
      </c>
      <c r="K13" s="22">
        <f>IFERROR(__xludf.DUMMYFUNCTION("GOOGLEFINANCE(E13,""changepct"")"),-1.09)</f>
        <v>-1.09</v>
      </c>
      <c r="L13" s="23">
        <f>IFERROR(__xludf.DUMMYFUNCTION("googlefinance(E13,""price"")"),221.3)</f>
        <v>221.3</v>
      </c>
      <c r="M13" s="21"/>
      <c r="N13" s="24">
        <f t="shared" si="2"/>
        <v>27.3</v>
      </c>
      <c r="O13" s="25">
        <f t="shared" si="6"/>
        <v>0.1407216495</v>
      </c>
      <c r="P13" s="19">
        <f t="shared" si="3"/>
        <v>27300</v>
      </c>
      <c r="Q13" s="34"/>
      <c r="R13" s="29"/>
      <c r="S13" s="37"/>
      <c r="T13" s="27"/>
      <c r="U13" s="40"/>
      <c r="V13" s="15"/>
      <c r="W13" s="36"/>
      <c r="X13" s="37"/>
      <c r="Y13" s="27"/>
      <c r="Z13" s="42" t="s">
        <v>43</v>
      </c>
      <c r="AA13" s="41">
        <v>45469.0</v>
      </c>
      <c r="AB13" s="21">
        <v>194.0</v>
      </c>
      <c r="AC13" s="20">
        <v>194000.0</v>
      </c>
    </row>
    <row r="14">
      <c r="A14" s="38"/>
      <c r="B14" s="32"/>
      <c r="C14" s="14">
        <f>I14/E135</f>
        <v>0.35239906</v>
      </c>
      <c r="D14" s="42" t="s">
        <v>45</v>
      </c>
      <c r="E14" s="45" t="s">
        <v>46</v>
      </c>
      <c r="F14" s="44">
        <v>8.2</v>
      </c>
      <c r="G14" s="18">
        <v>100000.0</v>
      </c>
      <c r="H14" s="19">
        <f t="shared" si="1"/>
        <v>2301000</v>
      </c>
      <c r="I14" s="20">
        <f t="shared" si="5"/>
        <v>7718000</v>
      </c>
      <c r="J14" s="21">
        <v>23.01</v>
      </c>
      <c r="K14" s="22">
        <f>IFERROR(__xludf.DUMMYFUNCTION("GOOGLEFINANCE(E14,""changepct"")"),-2.4)</f>
        <v>-2.4</v>
      </c>
      <c r="L14" s="23">
        <f>IFERROR(__xludf.DUMMYFUNCTION("googlefinance(E14,""price"")"),77.18)</f>
        <v>77.18</v>
      </c>
      <c r="M14" s="21"/>
      <c r="N14" s="24">
        <f t="shared" si="2"/>
        <v>54.17</v>
      </c>
      <c r="O14" s="25">
        <f t="shared" si="6"/>
        <v>2.354193829</v>
      </c>
      <c r="P14" s="19">
        <f t="shared" si="3"/>
        <v>5417000</v>
      </c>
      <c r="Q14" s="34"/>
      <c r="R14" s="29"/>
      <c r="S14" s="37"/>
      <c r="T14" s="27">
        <v>2000.0</v>
      </c>
      <c r="U14" s="40"/>
      <c r="V14" s="15"/>
      <c r="W14" s="36"/>
      <c r="X14" s="37"/>
      <c r="Y14" s="27"/>
      <c r="Z14" s="42"/>
      <c r="AA14" s="41"/>
      <c r="AB14" s="21"/>
      <c r="AC14" s="20"/>
    </row>
    <row r="15">
      <c r="A15" s="38"/>
      <c r="B15" s="32"/>
      <c r="C15" s="14">
        <f>I15/E135</f>
        <v>0.035239906</v>
      </c>
      <c r="D15" s="42" t="s">
        <v>48</v>
      </c>
      <c r="E15" s="45" t="s">
        <v>46</v>
      </c>
      <c r="F15" s="44">
        <v>8.2</v>
      </c>
      <c r="G15" s="18">
        <v>10000.0</v>
      </c>
      <c r="H15" s="19">
        <f t="shared" si="1"/>
        <v>228400</v>
      </c>
      <c r="I15" s="20">
        <f t="shared" si="5"/>
        <v>771800</v>
      </c>
      <c r="J15" s="21">
        <v>22.84</v>
      </c>
      <c r="K15" s="22">
        <f>IFERROR(__xludf.DUMMYFUNCTION("GOOGLEFINANCE(E15,""changepct"")"),-2.4)</f>
        <v>-2.4</v>
      </c>
      <c r="L15" s="23">
        <f>IFERROR(__xludf.DUMMYFUNCTION("googlefinance(E15,""price"")"),77.18)</f>
        <v>77.18</v>
      </c>
      <c r="M15" s="21"/>
      <c r="N15" s="24">
        <f t="shared" si="2"/>
        <v>54.34</v>
      </c>
      <c r="O15" s="25">
        <f t="shared" si="6"/>
        <v>2.37915937</v>
      </c>
      <c r="P15" s="19">
        <f t="shared" si="3"/>
        <v>543400</v>
      </c>
      <c r="Q15" s="14"/>
      <c r="R15" s="19"/>
      <c r="S15" s="37"/>
      <c r="T15" s="27">
        <v>1200.0</v>
      </c>
      <c r="U15" s="27"/>
      <c r="V15" s="15"/>
      <c r="W15" s="36"/>
      <c r="X15" s="37"/>
      <c r="Y15" s="27"/>
      <c r="Z15" s="15" t="s">
        <v>46</v>
      </c>
      <c r="AA15" s="36">
        <v>45393.0</v>
      </c>
      <c r="AB15" s="37">
        <v>22.84</v>
      </c>
      <c r="AC15" s="27">
        <v>228400.0</v>
      </c>
    </row>
    <row r="16">
      <c r="A16" s="38"/>
      <c r="B16" s="32"/>
      <c r="C16" s="14">
        <f>I16/E135</f>
        <v>0.035239906</v>
      </c>
      <c r="D16" s="42" t="s">
        <v>48</v>
      </c>
      <c r="E16" s="45" t="s">
        <v>46</v>
      </c>
      <c r="F16" s="44">
        <v>8.2</v>
      </c>
      <c r="G16" s="18">
        <v>10000.0</v>
      </c>
      <c r="H16" s="19">
        <f t="shared" si="1"/>
        <v>211700</v>
      </c>
      <c r="I16" s="20">
        <f t="shared" si="5"/>
        <v>771800</v>
      </c>
      <c r="J16" s="21">
        <v>21.17</v>
      </c>
      <c r="K16" s="22">
        <f>IFERROR(__xludf.DUMMYFUNCTION("GOOGLEFINANCE(E16,""changepct"")"),-2.4)</f>
        <v>-2.4</v>
      </c>
      <c r="L16" s="23">
        <f>IFERROR(__xludf.DUMMYFUNCTION("googlefinance(E16,""price"")"),77.18)</f>
        <v>77.18</v>
      </c>
      <c r="M16" s="21"/>
      <c r="N16" s="24">
        <f t="shared" si="2"/>
        <v>56.01</v>
      </c>
      <c r="O16" s="25">
        <f t="shared" si="6"/>
        <v>2.645725083</v>
      </c>
      <c r="P16" s="19">
        <f t="shared" si="3"/>
        <v>560100</v>
      </c>
      <c r="Q16" s="14"/>
      <c r="R16" s="19"/>
      <c r="S16" s="37"/>
      <c r="T16" s="27">
        <v>-2000.0</v>
      </c>
      <c r="U16" s="27"/>
      <c r="V16" s="15"/>
      <c r="W16" s="36"/>
      <c r="X16" s="37"/>
      <c r="Y16" s="27"/>
      <c r="Z16" s="15" t="s">
        <v>46</v>
      </c>
      <c r="AA16" s="36">
        <v>45421.0</v>
      </c>
      <c r="AB16" s="37">
        <v>21.17</v>
      </c>
      <c r="AC16" s="27">
        <v>211700.0</v>
      </c>
    </row>
    <row r="17">
      <c r="A17" s="38"/>
      <c r="B17" s="32"/>
      <c r="C17" s="14">
        <f>I17/E135</f>
        <v>0.035239906</v>
      </c>
      <c r="D17" s="42" t="s">
        <v>48</v>
      </c>
      <c r="E17" s="45" t="s">
        <v>46</v>
      </c>
      <c r="F17" s="44">
        <v>8.2</v>
      </c>
      <c r="G17" s="18">
        <v>10000.0</v>
      </c>
      <c r="H17" s="19">
        <f t="shared" si="1"/>
        <v>212600</v>
      </c>
      <c r="I17" s="20">
        <f t="shared" si="5"/>
        <v>771800</v>
      </c>
      <c r="J17" s="21">
        <v>21.26</v>
      </c>
      <c r="K17" s="22">
        <f>IFERROR(__xludf.DUMMYFUNCTION("GOOGLEFINANCE(E17,""changepct"")"),-2.4)</f>
        <v>-2.4</v>
      </c>
      <c r="L17" s="23">
        <f>IFERROR(__xludf.DUMMYFUNCTION("googlefinance(E17,""price"")"),77.18)</f>
        <v>77.18</v>
      </c>
      <c r="M17" s="21"/>
      <c r="N17" s="24">
        <f t="shared" si="2"/>
        <v>55.92</v>
      </c>
      <c r="O17" s="25">
        <f t="shared" si="6"/>
        <v>2.630291627</v>
      </c>
      <c r="P17" s="19">
        <f t="shared" si="3"/>
        <v>559200</v>
      </c>
      <c r="Q17" s="14"/>
      <c r="R17" s="19"/>
      <c r="S17" s="37"/>
      <c r="T17" s="27">
        <v>-2000.0</v>
      </c>
      <c r="U17" s="27"/>
      <c r="V17" s="15"/>
      <c r="W17" s="36"/>
      <c r="X17" s="37"/>
      <c r="Y17" s="27"/>
      <c r="Z17" s="15" t="s">
        <v>46</v>
      </c>
      <c r="AA17" s="36">
        <v>45442.0</v>
      </c>
      <c r="AB17" s="37">
        <v>21.26</v>
      </c>
      <c r="AC17" s="27">
        <v>212600.0</v>
      </c>
    </row>
    <row r="18">
      <c r="A18" s="38"/>
      <c r="B18" s="32"/>
      <c r="C18" s="14">
        <f>I18/E135</f>
        <v>0.035239906</v>
      </c>
      <c r="D18" s="42" t="s">
        <v>48</v>
      </c>
      <c r="E18" s="45" t="s">
        <v>46</v>
      </c>
      <c r="F18" s="44">
        <v>8.2</v>
      </c>
      <c r="G18" s="18">
        <v>10000.0</v>
      </c>
      <c r="H18" s="19">
        <f t="shared" si="1"/>
        <v>236500</v>
      </c>
      <c r="I18" s="20">
        <f t="shared" si="5"/>
        <v>771800</v>
      </c>
      <c r="J18" s="21">
        <v>23.65</v>
      </c>
      <c r="K18" s="22">
        <f>IFERROR(__xludf.DUMMYFUNCTION("GOOGLEFINANCE(E18,""changepct"")"),-2.4)</f>
        <v>-2.4</v>
      </c>
      <c r="L18" s="23">
        <f>IFERROR(__xludf.DUMMYFUNCTION("googlefinance(E18,""price"")"),77.18)</f>
        <v>77.18</v>
      </c>
      <c r="M18" s="21"/>
      <c r="N18" s="24">
        <f t="shared" si="2"/>
        <v>53.53</v>
      </c>
      <c r="O18" s="25">
        <f t="shared" si="6"/>
        <v>2.263424947</v>
      </c>
      <c r="P18" s="19">
        <f t="shared" si="3"/>
        <v>535300</v>
      </c>
      <c r="Q18" s="14"/>
      <c r="R18" s="19"/>
      <c r="S18" s="37"/>
      <c r="T18" s="27"/>
      <c r="U18" s="27"/>
      <c r="V18" s="15"/>
      <c r="W18" s="36"/>
      <c r="X18" s="37"/>
      <c r="Y18" s="27"/>
      <c r="Z18" s="15" t="s">
        <v>46</v>
      </c>
      <c r="AA18" s="36">
        <v>45464.0</v>
      </c>
      <c r="AB18" s="37">
        <v>23.65</v>
      </c>
      <c r="AC18" s="27">
        <v>236500.0</v>
      </c>
    </row>
    <row r="19">
      <c r="A19" s="38"/>
      <c r="B19" s="32"/>
      <c r="C19" s="14">
        <f>I19/E135</f>
        <v>0</v>
      </c>
      <c r="D19" s="104" t="s">
        <v>333</v>
      </c>
      <c r="E19" s="278" t="s">
        <v>334</v>
      </c>
      <c r="F19" s="279">
        <v>7.5</v>
      </c>
      <c r="G19" s="18">
        <v>1000.0</v>
      </c>
      <c r="H19" s="19">
        <f t="shared" si="1"/>
        <v>83300</v>
      </c>
      <c r="I19" s="20">
        <v>0.0</v>
      </c>
      <c r="J19" s="21">
        <v>83.3</v>
      </c>
      <c r="K19" s="22">
        <f>IFERROR(__xludf.DUMMYFUNCTION("GOOGLEFINANCE(E19,""changepct"")"),-1.76)</f>
        <v>-1.76</v>
      </c>
      <c r="L19" s="23">
        <f>IFERROR(__xludf.DUMMYFUNCTION("googlefinance(E19,""price"")"),109.71)</f>
        <v>109.71</v>
      </c>
      <c r="M19" s="21">
        <v>80.09</v>
      </c>
      <c r="N19" s="24">
        <f t="shared" si="2"/>
        <v>26.41</v>
      </c>
      <c r="O19" s="25">
        <f t="shared" ref="O19:O20" si="7">M19/J19-1</f>
        <v>-0.03853541417</v>
      </c>
      <c r="P19" s="19">
        <f t="shared" si="3"/>
        <v>-3210</v>
      </c>
      <c r="Q19" s="14"/>
      <c r="R19" s="19"/>
      <c r="S19" s="37"/>
      <c r="T19" s="27"/>
      <c r="U19" s="27"/>
      <c r="V19" s="15" t="s">
        <v>334</v>
      </c>
      <c r="W19" s="36">
        <v>45384.0</v>
      </c>
      <c r="X19" s="37">
        <v>80.09</v>
      </c>
      <c r="Y19" s="27">
        <v>80090.0</v>
      </c>
      <c r="Z19" s="15"/>
      <c r="AA19" s="36"/>
      <c r="AB19" s="37"/>
      <c r="AC19" s="27"/>
    </row>
    <row r="20">
      <c r="A20" s="38"/>
      <c r="B20" s="32"/>
      <c r="C20" s="14">
        <f>I20/E135</f>
        <v>0</v>
      </c>
      <c r="D20" s="104" t="s">
        <v>333</v>
      </c>
      <c r="E20" s="278" t="s">
        <v>334</v>
      </c>
      <c r="F20" s="279">
        <v>7.5</v>
      </c>
      <c r="G20" s="18">
        <v>2000.0</v>
      </c>
      <c r="H20" s="19">
        <f t="shared" si="1"/>
        <v>166600</v>
      </c>
      <c r="I20" s="20">
        <v>0.0</v>
      </c>
      <c r="J20" s="21">
        <v>83.3</v>
      </c>
      <c r="K20" s="22">
        <f>IFERROR(__xludf.DUMMYFUNCTION("GOOGLEFINANCE(E20,""changepct"")"),-1.76)</f>
        <v>-1.76</v>
      </c>
      <c r="L20" s="23">
        <f>IFERROR(__xludf.DUMMYFUNCTION("googlefinance(E20,""price"")"),109.71)</f>
        <v>109.71</v>
      </c>
      <c r="M20" s="21">
        <v>81.54</v>
      </c>
      <c r="N20" s="24">
        <f t="shared" si="2"/>
        <v>26.41</v>
      </c>
      <c r="O20" s="25">
        <f t="shared" si="7"/>
        <v>-0.02112845138</v>
      </c>
      <c r="P20" s="19">
        <f t="shared" si="3"/>
        <v>-3520</v>
      </c>
      <c r="Q20" s="14"/>
      <c r="R20" s="19"/>
      <c r="S20" s="37"/>
      <c r="T20" s="27"/>
      <c r="U20" s="27"/>
      <c r="V20" s="15" t="s">
        <v>334</v>
      </c>
      <c r="W20" s="36">
        <v>45386.0</v>
      </c>
      <c r="X20" s="37">
        <v>81.54</v>
      </c>
      <c r="Y20" s="27">
        <v>163080.0</v>
      </c>
      <c r="Z20" s="15"/>
      <c r="AA20" s="36"/>
      <c r="AB20" s="37"/>
      <c r="AC20" s="27"/>
    </row>
    <row r="21">
      <c r="A21" s="38"/>
      <c r="B21" s="32"/>
      <c r="C21" s="14">
        <f>I21/E135</f>
        <v>0.00748813758</v>
      </c>
      <c r="D21" s="42" t="s">
        <v>288</v>
      </c>
      <c r="E21" s="42" t="s">
        <v>289</v>
      </c>
      <c r="F21" s="44">
        <v>8.1</v>
      </c>
      <c r="G21" s="18">
        <v>5000.0</v>
      </c>
      <c r="H21" s="19">
        <f t="shared" si="1"/>
        <v>159750</v>
      </c>
      <c r="I21" s="20">
        <f t="shared" ref="I21:I24" si="8">H21+P21</f>
        <v>164000</v>
      </c>
      <c r="J21" s="21">
        <v>31.95</v>
      </c>
      <c r="K21" s="22">
        <f>IFERROR(__xludf.DUMMYFUNCTION("GOOGLEFINANCE(E21,""changepct"")"),-1.12)</f>
        <v>-1.12</v>
      </c>
      <c r="L21" s="23">
        <f>IFERROR(__xludf.DUMMYFUNCTION("googlefinance(E21,""price"")"),32.8)</f>
        <v>32.8</v>
      </c>
      <c r="M21" s="24"/>
      <c r="N21" s="24">
        <f t="shared" si="2"/>
        <v>0.85</v>
      </c>
      <c r="O21" s="25">
        <f t="shared" ref="O21:O24" si="9">L21/J21-1</f>
        <v>0.02660406886</v>
      </c>
      <c r="P21" s="19">
        <f t="shared" si="3"/>
        <v>4250</v>
      </c>
      <c r="Q21" s="14"/>
      <c r="R21" s="19"/>
      <c r="S21" s="37"/>
      <c r="T21" s="27"/>
      <c r="U21" s="29"/>
      <c r="V21" s="16"/>
      <c r="W21" s="30"/>
      <c r="X21" s="31"/>
      <c r="Y21" s="29"/>
      <c r="Z21" s="15" t="s">
        <v>289</v>
      </c>
      <c r="AA21" s="36">
        <v>45399.0</v>
      </c>
      <c r="AB21" s="37">
        <v>31.95</v>
      </c>
      <c r="AC21" s="27">
        <v>159750.0</v>
      </c>
    </row>
    <row r="22">
      <c r="A22" s="38"/>
      <c r="B22" s="32"/>
      <c r="C22" s="14">
        <f>I22/E135</f>
        <v>0.00748813758</v>
      </c>
      <c r="D22" s="42" t="s">
        <v>288</v>
      </c>
      <c r="E22" s="42" t="s">
        <v>289</v>
      </c>
      <c r="F22" s="44">
        <v>8.1</v>
      </c>
      <c r="G22" s="18">
        <v>5000.0</v>
      </c>
      <c r="H22" s="19">
        <f t="shared" si="1"/>
        <v>167450</v>
      </c>
      <c r="I22" s="20">
        <f t="shared" si="8"/>
        <v>164000</v>
      </c>
      <c r="J22" s="21">
        <v>33.49</v>
      </c>
      <c r="K22" s="22">
        <f>IFERROR(__xludf.DUMMYFUNCTION("GOOGLEFINANCE(E22,""changepct"")"),-1.12)</f>
        <v>-1.12</v>
      </c>
      <c r="L22" s="23">
        <f>IFERROR(__xludf.DUMMYFUNCTION("googlefinance(E22,""price"")"),32.8)</f>
        <v>32.8</v>
      </c>
      <c r="M22" s="24"/>
      <c r="N22" s="24">
        <f t="shared" si="2"/>
        <v>-0.69</v>
      </c>
      <c r="O22" s="25">
        <f t="shared" si="9"/>
        <v>-0.02060316512</v>
      </c>
      <c r="P22" s="19">
        <f t="shared" si="3"/>
        <v>-3450</v>
      </c>
      <c r="Q22" s="14"/>
      <c r="R22" s="19"/>
      <c r="S22" s="37"/>
      <c r="T22" s="27"/>
      <c r="U22" s="29"/>
      <c r="V22" s="16"/>
      <c r="W22" s="30"/>
      <c r="X22" s="31"/>
      <c r="Y22" s="29"/>
      <c r="Z22" s="15" t="s">
        <v>289</v>
      </c>
      <c r="AA22" s="36">
        <v>45392.0</v>
      </c>
      <c r="AB22" s="37">
        <v>33.49</v>
      </c>
      <c r="AC22" s="27">
        <v>167450.0</v>
      </c>
    </row>
    <row r="23">
      <c r="A23" s="38"/>
      <c r="B23" s="32"/>
      <c r="C23" s="14">
        <f>I23/E135</f>
        <v>0.02246441274</v>
      </c>
      <c r="D23" s="42" t="s">
        <v>288</v>
      </c>
      <c r="E23" s="42" t="s">
        <v>289</v>
      </c>
      <c r="F23" s="44">
        <v>8.1</v>
      </c>
      <c r="G23" s="18">
        <v>15000.0</v>
      </c>
      <c r="H23" s="19">
        <f t="shared" si="1"/>
        <v>544200</v>
      </c>
      <c r="I23" s="20">
        <f t="shared" si="8"/>
        <v>492000</v>
      </c>
      <c r="J23" s="21">
        <v>36.28</v>
      </c>
      <c r="K23" s="22">
        <f>IFERROR(__xludf.DUMMYFUNCTION("GOOGLEFINANCE(E23,""changepct"")"),-1.12)</f>
        <v>-1.12</v>
      </c>
      <c r="L23" s="23">
        <f>IFERROR(__xludf.DUMMYFUNCTION("googlefinance(E23,""price"")"),32.8)</f>
        <v>32.8</v>
      </c>
      <c r="M23" s="24"/>
      <c r="N23" s="24">
        <f t="shared" si="2"/>
        <v>-3.48</v>
      </c>
      <c r="O23" s="25">
        <f t="shared" si="9"/>
        <v>-0.09592061742</v>
      </c>
      <c r="P23" s="19">
        <f t="shared" si="3"/>
        <v>-52200</v>
      </c>
      <c r="Q23" s="14"/>
      <c r="R23" s="19"/>
      <c r="S23" s="37"/>
      <c r="T23" s="27"/>
      <c r="U23" s="29"/>
      <c r="V23" s="16"/>
      <c r="W23" s="30"/>
      <c r="X23" s="31"/>
      <c r="Y23" s="29"/>
      <c r="Z23" s="15"/>
      <c r="AA23" s="36"/>
      <c r="AB23" s="37"/>
      <c r="AC23" s="27"/>
    </row>
    <row r="24">
      <c r="A24" s="38"/>
      <c r="B24" s="32"/>
      <c r="C24" s="14">
        <f>I24/E135</f>
        <v>0.000560331856</v>
      </c>
      <c r="D24" s="42" t="s">
        <v>290</v>
      </c>
      <c r="E24" s="42" t="s">
        <v>291</v>
      </c>
      <c r="F24" s="44">
        <v>7.8</v>
      </c>
      <c r="G24" s="18">
        <v>400.0</v>
      </c>
      <c r="H24" s="19">
        <f t="shared" si="1"/>
        <v>404012</v>
      </c>
      <c r="I24" s="20">
        <f t="shared" si="8"/>
        <v>12272</v>
      </c>
      <c r="J24" s="21">
        <v>1010.03</v>
      </c>
      <c r="K24" s="22">
        <f>IFERROR(__xludf.DUMMYFUNCTION("GOOGLEFINANCE(E24,""changepct"")"),-4.07)</f>
        <v>-4.07</v>
      </c>
      <c r="L24" s="23">
        <f>IFERROR(__xludf.DUMMYFUNCTION("googlefinance(E24,""price"")"),30.68)</f>
        <v>30.68</v>
      </c>
      <c r="M24" s="21"/>
      <c r="N24" s="24">
        <f t="shared" si="2"/>
        <v>-979.35</v>
      </c>
      <c r="O24" s="25">
        <f t="shared" si="9"/>
        <v>-0.9696246646</v>
      </c>
      <c r="P24" s="19">
        <f t="shared" si="3"/>
        <v>-391740</v>
      </c>
      <c r="Q24" s="261" t="s">
        <v>292</v>
      </c>
      <c r="R24" s="20"/>
      <c r="S24" s="46"/>
      <c r="T24" s="27">
        <v>12800.0</v>
      </c>
      <c r="U24" s="40"/>
      <c r="V24" s="15"/>
      <c r="W24" s="36"/>
      <c r="X24" s="37"/>
      <c r="Y24" s="29"/>
      <c r="Z24" s="15"/>
      <c r="AA24" s="36"/>
      <c r="AB24" s="37"/>
      <c r="AC24" s="27"/>
    </row>
    <row r="25">
      <c r="A25" s="38"/>
      <c r="B25" s="32"/>
      <c r="C25" s="14">
        <f>I25/E135</f>
        <v>0</v>
      </c>
      <c r="D25" s="42" t="s">
        <v>290</v>
      </c>
      <c r="E25" s="42" t="s">
        <v>291</v>
      </c>
      <c r="F25" s="44">
        <v>7.8</v>
      </c>
      <c r="G25" s="18">
        <v>200.0</v>
      </c>
      <c r="H25" s="19">
        <f t="shared" si="1"/>
        <v>143394</v>
      </c>
      <c r="I25" s="20">
        <v>0.0</v>
      </c>
      <c r="J25" s="21">
        <v>716.97</v>
      </c>
      <c r="K25" s="22">
        <f>IFERROR(__xludf.DUMMYFUNCTION("GOOGLEFINANCE(E25,""changepct"")"),-4.07)</f>
        <v>-4.07</v>
      </c>
      <c r="L25" s="23">
        <f>IFERROR(__xludf.DUMMYFUNCTION("googlefinance(E25,""price"")"),30.68)</f>
        <v>30.68</v>
      </c>
      <c r="M25" s="21">
        <v>773.19</v>
      </c>
      <c r="N25" s="24">
        <f t="shared" si="2"/>
        <v>-686.29</v>
      </c>
      <c r="O25" s="25">
        <f t="shared" ref="O25:O28" si="10">M25/J25-1</f>
        <v>0.07841332273</v>
      </c>
      <c r="P25" s="19">
        <f t="shared" si="3"/>
        <v>11244</v>
      </c>
      <c r="Q25" s="47"/>
      <c r="R25" s="20"/>
      <c r="S25" s="37"/>
      <c r="T25" s="27">
        <v>7720.0</v>
      </c>
      <c r="U25" s="40"/>
      <c r="V25" s="15" t="s">
        <v>291</v>
      </c>
      <c r="W25" s="36">
        <v>45449.0</v>
      </c>
      <c r="X25" s="37">
        <v>773.19</v>
      </c>
      <c r="Y25" s="27">
        <v>154638.0</v>
      </c>
      <c r="Z25" s="15" t="s">
        <v>291</v>
      </c>
      <c r="AA25" s="36">
        <v>45405.0</v>
      </c>
      <c r="AB25" s="37">
        <v>716.97</v>
      </c>
      <c r="AC25" s="27">
        <v>143394.0</v>
      </c>
    </row>
    <row r="26">
      <c r="A26" s="38"/>
      <c r="B26" s="32"/>
      <c r="C26" s="14">
        <f>I26/E135</f>
        <v>0</v>
      </c>
      <c r="D26" s="42" t="s">
        <v>335</v>
      </c>
      <c r="E26" s="42" t="s">
        <v>336</v>
      </c>
      <c r="F26" s="44">
        <v>7.5</v>
      </c>
      <c r="G26" s="18">
        <v>3000.0</v>
      </c>
      <c r="H26" s="19">
        <f t="shared" si="1"/>
        <v>170820</v>
      </c>
      <c r="I26" s="20">
        <v>0.0</v>
      </c>
      <c r="J26" s="21">
        <v>56.94</v>
      </c>
      <c r="K26" s="22">
        <f>IFERROR(__xludf.DUMMYFUNCTION("GOOGLEFINANCE(E26,""changepct"")"),-1.14)</f>
        <v>-1.14</v>
      </c>
      <c r="L26" s="23">
        <f>IFERROR(__xludf.DUMMYFUNCTION("googlefinance(E26,""price"")"),107.48)</f>
        <v>107.48</v>
      </c>
      <c r="M26" s="21">
        <v>67.56</v>
      </c>
      <c r="N26" s="24">
        <f t="shared" si="2"/>
        <v>50.54</v>
      </c>
      <c r="O26" s="25">
        <f t="shared" si="10"/>
        <v>0.186512118</v>
      </c>
      <c r="P26" s="19">
        <f t="shared" si="3"/>
        <v>31860</v>
      </c>
      <c r="Q26" s="47"/>
      <c r="R26" s="20"/>
      <c r="S26" s="37"/>
      <c r="T26" s="27">
        <v>8400.0</v>
      </c>
      <c r="U26" s="40"/>
      <c r="V26" s="15" t="s">
        <v>336</v>
      </c>
      <c r="W26" s="36">
        <v>45440.0</v>
      </c>
      <c r="X26" s="37">
        <v>67.56</v>
      </c>
      <c r="Y26" s="27">
        <v>202680.0</v>
      </c>
      <c r="Z26" s="15" t="s">
        <v>336</v>
      </c>
      <c r="AA26" s="36">
        <v>45392.0</v>
      </c>
      <c r="AB26" s="37">
        <v>56.94</v>
      </c>
      <c r="AC26" s="27">
        <v>170820.0</v>
      </c>
    </row>
    <row r="27">
      <c r="A27" s="38"/>
      <c r="B27" s="32"/>
      <c r="C27" s="14">
        <f>I27/E135</f>
        <v>0</v>
      </c>
      <c r="D27" s="42" t="s">
        <v>335</v>
      </c>
      <c r="E27" s="42" t="s">
        <v>336</v>
      </c>
      <c r="F27" s="44">
        <v>7.5</v>
      </c>
      <c r="G27" s="18">
        <v>5000.0</v>
      </c>
      <c r="H27" s="19">
        <f t="shared" si="1"/>
        <v>268550</v>
      </c>
      <c r="I27" s="20">
        <v>0.0</v>
      </c>
      <c r="J27" s="21">
        <v>53.71</v>
      </c>
      <c r="K27" s="22">
        <f>IFERROR(__xludf.DUMMYFUNCTION("GOOGLEFINANCE(E27,""changepct"")"),-1.14)</f>
        <v>-1.14</v>
      </c>
      <c r="L27" s="23">
        <f>IFERROR(__xludf.DUMMYFUNCTION("googlefinance(E27,""price"")"),107.48)</f>
        <v>107.48</v>
      </c>
      <c r="M27" s="21">
        <v>72.44</v>
      </c>
      <c r="N27" s="24">
        <f t="shared" si="2"/>
        <v>53.77</v>
      </c>
      <c r="O27" s="25">
        <f t="shared" si="10"/>
        <v>0.3487246323</v>
      </c>
      <c r="P27" s="19">
        <f t="shared" si="3"/>
        <v>93650</v>
      </c>
      <c r="Q27" s="47"/>
      <c r="R27" s="20"/>
      <c r="S27" s="37"/>
      <c r="T27" s="27"/>
      <c r="U27" s="40"/>
      <c r="V27" s="15" t="s">
        <v>336</v>
      </c>
      <c r="W27" s="36">
        <v>45468.0</v>
      </c>
      <c r="X27" s="37">
        <v>72.44</v>
      </c>
      <c r="Y27" s="27">
        <v>362200.0</v>
      </c>
      <c r="Z27" s="15"/>
      <c r="AA27" s="36"/>
      <c r="AB27" s="37"/>
      <c r="AC27" s="27"/>
    </row>
    <row r="28">
      <c r="A28" s="38"/>
      <c r="B28" s="32"/>
      <c r="C28" s="14">
        <f>I28/E135</f>
        <v>0</v>
      </c>
      <c r="D28" s="42" t="s">
        <v>52</v>
      </c>
      <c r="E28" s="42" t="s">
        <v>51</v>
      </c>
      <c r="F28" s="44">
        <v>8.0</v>
      </c>
      <c r="G28" s="18">
        <v>200.0</v>
      </c>
      <c r="H28" s="19">
        <f t="shared" si="1"/>
        <v>173422</v>
      </c>
      <c r="I28" s="20">
        <v>0.0</v>
      </c>
      <c r="J28" s="21">
        <v>867.11</v>
      </c>
      <c r="K28" s="22">
        <f>IFERROR(__xludf.DUMMYFUNCTION("GOOGLEFINANCE(E28,""changepct"")"),0.35)</f>
        <v>0.35</v>
      </c>
      <c r="L28" s="23">
        <f>IFERROR(__xludf.DUMMYFUNCTION("googlefinance(E28,""price"")"),137.49)</f>
        <v>137.49</v>
      </c>
      <c r="M28" s="37">
        <v>1218.47</v>
      </c>
      <c r="N28" s="24">
        <f t="shared" si="2"/>
        <v>-729.62</v>
      </c>
      <c r="O28" s="25">
        <f t="shared" si="10"/>
        <v>0.4052081051</v>
      </c>
      <c r="P28" s="19">
        <f t="shared" si="3"/>
        <v>70272</v>
      </c>
      <c r="Q28" s="47"/>
      <c r="R28" s="20"/>
      <c r="S28" s="37"/>
      <c r="T28" s="27"/>
      <c r="U28" s="29"/>
      <c r="V28" s="15" t="s">
        <v>53</v>
      </c>
      <c r="W28" s="36">
        <v>45449.0</v>
      </c>
      <c r="X28" s="37">
        <v>1218.47</v>
      </c>
      <c r="Y28" s="27">
        <v>243694.0</v>
      </c>
      <c r="Z28" s="15" t="s">
        <v>53</v>
      </c>
      <c r="AA28" s="36">
        <v>45392.0</v>
      </c>
      <c r="AB28" s="37">
        <v>867.11</v>
      </c>
      <c r="AC28" s="27">
        <v>173422.0</v>
      </c>
    </row>
    <row r="29">
      <c r="A29" s="38"/>
      <c r="B29" s="32"/>
      <c r="C29" s="14">
        <f>I29/E135</f>
        <v>0.03138853768</v>
      </c>
      <c r="D29" s="42" t="s">
        <v>50</v>
      </c>
      <c r="E29" s="42" t="s">
        <v>51</v>
      </c>
      <c r="F29" s="44">
        <v>8.0</v>
      </c>
      <c r="G29" s="18">
        <v>5000.0</v>
      </c>
      <c r="H29" s="19">
        <f t="shared" si="1"/>
        <v>451780</v>
      </c>
      <c r="I29" s="20">
        <f t="shared" ref="I29:I30" si="11">H29+P29</f>
        <v>687450</v>
      </c>
      <c r="J29" s="21">
        <v>90.356</v>
      </c>
      <c r="K29" s="22">
        <f>IFERROR(__xludf.DUMMYFUNCTION("GOOGLEFINANCE(E29,""changepct"")"),0.35)</f>
        <v>0.35</v>
      </c>
      <c r="L29" s="23">
        <f>IFERROR(__xludf.DUMMYFUNCTION("googlefinance(E29,""price"")"),137.49)</f>
        <v>137.49</v>
      </c>
      <c r="M29" s="21"/>
      <c r="N29" s="24">
        <f t="shared" si="2"/>
        <v>47.134</v>
      </c>
      <c r="O29" s="25">
        <f t="shared" ref="O29:O30" si="12">L29/J29-1</f>
        <v>0.5216477046</v>
      </c>
      <c r="P29" s="19">
        <f t="shared" si="3"/>
        <v>235670</v>
      </c>
      <c r="Q29" s="47"/>
      <c r="R29" s="20"/>
      <c r="S29" s="37"/>
      <c r="T29" s="27"/>
      <c r="U29" s="29"/>
      <c r="V29" s="15"/>
      <c r="W29" s="36"/>
      <c r="X29" s="37"/>
      <c r="Y29" s="27"/>
      <c r="Z29" s="15"/>
      <c r="AA29" s="36"/>
      <c r="AB29" s="37"/>
      <c r="AC29" s="27"/>
    </row>
    <row r="30">
      <c r="A30" s="38"/>
      <c r="B30" s="32"/>
      <c r="C30" s="14">
        <f>I30/E135</f>
        <v>0.01883312261</v>
      </c>
      <c r="D30" s="42" t="s">
        <v>52</v>
      </c>
      <c r="E30" s="42" t="s">
        <v>51</v>
      </c>
      <c r="F30" s="44">
        <v>8.0</v>
      </c>
      <c r="G30" s="18">
        <v>3000.0</v>
      </c>
      <c r="H30" s="19">
        <f t="shared" si="1"/>
        <v>361200</v>
      </c>
      <c r="I30" s="20">
        <f t="shared" si="11"/>
        <v>412470</v>
      </c>
      <c r="J30" s="21">
        <v>120.4</v>
      </c>
      <c r="K30" s="22">
        <f>IFERROR(__xludf.DUMMYFUNCTION("GOOGLEFINANCE(E30,""changepct"")"),0.35)</f>
        <v>0.35</v>
      </c>
      <c r="L30" s="23">
        <f>IFERROR(__xludf.DUMMYFUNCTION("googlefinance(E30,""price"")"),137.49)</f>
        <v>137.49</v>
      </c>
      <c r="M30" s="21"/>
      <c r="N30" s="24">
        <f t="shared" si="2"/>
        <v>17.09</v>
      </c>
      <c r="O30" s="25">
        <f t="shared" si="12"/>
        <v>0.1419435216</v>
      </c>
      <c r="P30" s="19">
        <f t="shared" si="3"/>
        <v>51270</v>
      </c>
      <c r="Q30" s="47"/>
      <c r="R30" s="20"/>
      <c r="S30" s="37"/>
      <c r="T30" s="27"/>
      <c r="U30" s="29"/>
      <c r="V30" s="15"/>
      <c r="W30" s="36"/>
      <c r="X30" s="37"/>
      <c r="Y30" s="27"/>
      <c r="Z30" s="15" t="s">
        <v>53</v>
      </c>
      <c r="AA30" s="36">
        <v>45467.0</v>
      </c>
      <c r="AB30" s="37">
        <v>120.4</v>
      </c>
      <c r="AC30" s="27">
        <v>361200.0</v>
      </c>
    </row>
    <row r="31">
      <c r="A31" s="38"/>
      <c r="B31" s="32"/>
      <c r="C31" s="14">
        <f>I31/E135</f>
        <v>0</v>
      </c>
      <c r="D31" s="42" t="s">
        <v>52</v>
      </c>
      <c r="E31" s="42" t="s">
        <v>51</v>
      </c>
      <c r="F31" s="44">
        <v>8.0</v>
      </c>
      <c r="G31" s="18">
        <v>5000.0</v>
      </c>
      <c r="H31" s="19">
        <f t="shared" si="1"/>
        <v>451800</v>
      </c>
      <c r="I31" s="20">
        <v>0.0</v>
      </c>
      <c r="J31" s="21">
        <v>90.36</v>
      </c>
      <c r="K31" s="22">
        <f>IFERROR(__xludf.DUMMYFUNCTION("GOOGLEFINANCE(E31,""changepct"")"),0.35)</f>
        <v>0.35</v>
      </c>
      <c r="L31" s="23">
        <f>IFERROR(__xludf.DUMMYFUNCTION("googlefinance(E31,""price"")"),137.49)</f>
        <v>137.49</v>
      </c>
      <c r="M31" s="21">
        <v>132.0</v>
      </c>
      <c r="N31" s="24">
        <f t="shared" si="2"/>
        <v>47.13</v>
      </c>
      <c r="O31" s="25">
        <f>M31/J31-1</f>
        <v>0.4608233732</v>
      </c>
      <c r="P31" s="19">
        <f t="shared" si="3"/>
        <v>208200</v>
      </c>
      <c r="Q31" s="47"/>
      <c r="R31" s="20"/>
      <c r="S31" s="37"/>
      <c r="T31" s="27"/>
      <c r="U31" s="29"/>
      <c r="V31" s="15" t="s">
        <v>53</v>
      </c>
      <c r="W31" s="36">
        <v>45461.0</v>
      </c>
      <c r="X31" s="37">
        <v>132.0</v>
      </c>
      <c r="Y31" s="27">
        <v>660000.0</v>
      </c>
      <c r="Z31" s="15"/>
      <c r="AA31" s="36"/>
      <c r="AB31" s="37"/>
      <c r="AC31" s="27"/>
    </row>
    <row r="32">
      <c r="A32" s="38"/>
      <c r="B32" s="32"/>
      <c r="C32" s="14">
        <f>I32/E135</f>
        <v>0.0517777318</v>
      </c>
      <c r="D32" s="42" t="s">
        <v>56</v>
      </c>
      <c r="E32" s="42" t="s">
        <v>57</v>
      </c>
      <c r="F32" s="44">
        <v>7.4</v>
      </c>
      <c r="G32" s="18">
        <v>50000.0</v>
      </c>
      <c r="H32" s="19">
        <f t="shared" si="1"/>
        <v>250000</v>
      </c>
      <c r="I32" s="20">
        <f t="shared" ref="I32:I37" si="13">H32+P32</f>
        <v>1134000</v>
      </c>
      <c r="J32" s="21">
        <v>5.0</v>
      </c>
      <c r="K32" s="22">
        <f>IFERROR(__xludf.DUMMYFUNCTION("GOOGLEFINANCE(E32,""changepct"")"),-5.3)</f>
        <v>-5.3</v>
      </c>
      <c r="L32" s="23">
        <f>IFERROR(__xludf.DUMMYFUNCTION("googlefinance(E32,""price"")"),22.68)</f>
        <v>22.68</v>
      </c>
      <c r="M32" s="21"/>
      <c r="N32" s="24">
        <f t="shared" si="2"/>
        <v>17.68</v>
      </c>
      <c r="O32" s="25">
        <f t="shared" ref="O32:O37" si="14">L32/J32-1</f>
        <v>3.536</v>
      </c>
      <c r="P32" s="19">
        <f t="shared" si="3"/>
        <v>884000</v>
      </c>
      <c r="Q32" s="47"/>
      <c r="R32" s="20"/>
      <c r="S32" s="37"/>
      <c r="T32" s="27">
        <v>-20500.0</v>
      </c>
      <c r="U32" s="29"/>
      <c r="V32" s="15"/>
      <c r="W32" s="36"/>
      <c r="X32" s="37"/>
      <c r="Y32" s="27"/>
      <c r="Z32" s="15"/>
      <c r="AA32" s="36"/>
      <c r="AB32" s="37"/>
      <c r="AC32" s="27"/>
    </row>
    <row r="33">
      <c r="A33" s="38"/>
      <c r="B33" s="32"/>
      <c r="C33" s="14">
        <f>I33/E135</f>
        <v>0.0517777318</v>
      </c>
      <c r="D33" s="42" t="s">
        <v>56</v>
      </c>
      <c r="E33" s="42" t="s">
        <v>57</v>
      </c>
      <c r="F33" s="44">
        <v>7.4</v>
      </c>
      <c r="G33" s="18">
        <v>50000.0</v>
      </c>
      <c r="H33" s="19">
        <f t="shared" si="1"/>
        <v>294500</v>
      </c>
      <c r="I33" s="20">
        <f t="shared" si="13"/>
        <v>1134000</v>
      </c>
      <c r="J33" s="21">
        <v>5.89</v>
      </c>
      <c r="K33" s="22">
        <f>IFERROR(__xludf.DUMMYFUNCTION("GOOGLEFINANCE(E33,""changepct"")"),-5.3)</f>
        <v>-5.3</v>
      </c>
      <c r="L33" s="23">
        <f>IFERROR(__xludf.DUMMYFUNCTION("googlefinance(E33,""price"")"),22.68)</f>
        <v>22.68</v>
      </c>
      <c r="M33" s="21"/>
      <c r="N33" s="24">
        <f t="shared" si="2"/>
        <v>16.79</v>
      </c>
      <c r="O33" s="25">
        <f t="shared" si="14"/>
        <v>2.850594228</v>
      </c>
      <c r="P33" s="19">
        <f t="shared" si="3"/>
        <v>839500</v>
      </c>
      <c r="Q33" s="47"/>
      <c r="R33" s="20"/>
      <c r="S33" s="37"/>
      <c r="T33" s="27">
        <v>53500.0</v>
      </c>
      <c r="U33" s="29"/>
      <c r="V33" s="15"/>
      <c r="W33" s="36"/>
      <c r="X33" s="37"/>
      <c r="Y33" s="27"/>
      <c r="Z33" s="15"/>
      <c r="AA33" s="36"/>
      <c r="AB33" s="37"/>
      <c r="AC33" s="27"/>
    </row>
    <row r="34">
      <c r="A34" s="38"/>
      <c r="B34" s="32"/>
      <c r="C34" s="14">
        <f>I34/E135</f>
        <v>0.005399129833</v>
      </c>
      <c r="D34" s="42" t="s">
        <v>58</v>
      </c>
      <c r="E34" s="42" t="s">
        <v>59</v>
      </c>
      <c r="F34" s="44">
        <v>8.1</v>
      </c>
      <c r="G34" s="18">
        <v>200.0</v>
      </c>
      <c r="H34" s="19">
        <f t="shared" si="1"/>
        <v>97854</v>
      </c>
      <c r="I34" s="20">
        <f t="shared" si="13"/>
        <v>118248</v>
      </c>
      <c r="J34" s="21">
        <v>489.27</v>
      </c>
      <c r="K34" s="22">
        <f>IFERROR(__xludf.DUMMYFUNCTION("GOOGLEFINANCE(E34,""changepct"")"),-1.43)</f>
        <v>-1.43</v>
      </c>
      <c r="L34" s="23">
        <f>IFERROR(__xludf.DUMMYFUNCTION("googlefinance(E34,""price"")"),591.24)</f>
        <v>591.24</v>
      </c>
      <c r="M34" s="21"/>
      <c r="N34" s="24">
        <f t="shared" si="2"/>
        <v>101.97</v>
      </c>
      <c r="O34" s="25">
        <f t="shared" si="14"/>
        <v>0.208412533</v>
      </c>
      <c r="P34" s="19">
        <f t="shared" si="3"/>
        <v>20394</v>
      </c>
      <c r="Q34" s="47">
        <v>0.002</v>
      </c>
      <c r="R34" s="20">
        <v>100.0</v>
      </c>
      <c r="S34" s="37"/>
      <c r="T34" s="27"/>
      <c r="U34" s="29"/>
      <c r="V34" s="15"/>
      <c r="W34" s="36"/>
      <c r="X34" s="37"/>
      <c r="Y34" s="27"/>
      <c r="Z34" s="15" t="s">
        <v>59</v>
      </c>
      <c r="AA34" s="36">
        <v>45405.0</v>
      </c>
      <c r="AB34" s="37">
        <v>489.27</v>
      </c>
      <c r="AC34" s="27">
        <v>97854.0</v>
      </c>
    </row>
    <row r="35">
      <c r="A35" s="38"/>
      <c r="B35" s="32"/>
      <c r="C35" s="14">
        <f>I35/E135</f>
        <v>0.005399129833</v>
      </c>
      <c r="D35" s="42" t="s">
        <v>58</v>
      </c>
      <c r="E35" s="42" t="s">
        <v>59</v>
      </c>
      <c r="F35" s="44">
        <v>8.1</v>
      </c>
      <c r="G35" s="18">
        <v>200.0</v>
      </c>
      <c r="H35" s="19">
        <f t="shared" si="1"/>
        <v>104320</v>
      </c>
      <c r="I35" s="20">
        <f t="shared" si="13"/>
        <v>118248</v>
      </c>
      <c r="J35" s="21">
        <v>521.6</v>
      </c>
      <c r="K35" s="22">
        <f>IFERROR(__xludf.DUMMYFUNCTION("GOOGLEFINANCE(E35,""changepct"")"),-1.43)</f>
        <v>-1.43</v>
      </c>
      <c r="L35" s="23">
        <f>IFERROR(__xludf.DUMMYFUNCTION("googlefinance(E35,""price"")"),591.24)</f>
        <v>591.24</v>
      </c>
      <c r="M35" s="21"/>
      <c r="N35" s="24">
        <f t="shared" si="2"/>
        <v>69.64</v>
      </c>
      <c r="O35" s="25">
        <f t="shared" si="14"/>
        <v>0.1335122699</v>
      </c>
      <c r="P35" s="19">
        <f t="shared" si="3"/>
        <v>13928</v>
      </c>
      <c r="Q35" s="47">
        <v>0.002</v>
      </c>
      <c r="R35" s="20">
        <v>100.0</v>
      </c>
      <c r="S35" s="37"/>
      <c r="T35" s="27"/>
      <c r="U35" s="29"/>
      <c r="V35" s="15"/>
      <c r="W35" s="36"/>
      <c r="X35" s="37"/>
      <c r="Y35" s="27"/>
      <c r="Z35" s="15" t="s">
        <v>59</v>
      </c>
      <c r="AA35" s="36">
        <v>45393.0</v>
      </c>
      <c r="AB35" s="37">
        <v>521.6</v>
      </c>
      <c r="AC35" s="27">
        <v>104320.0</v>
      </c>
    </row>
    <row r="36">
      <c r="A36" s="38"/>
      <c r="B36" s="32"/>
      <c r="C36" s="14">
        <f>I36/E135</f>
        <v>0.008098694749</v>
      </c>
      <c r="D36" s="42" t="s">
        <v>58</v>
      </c>
      <c r="E36" s="42" t="s">
        <v>59</v>
      </c>
      <c r="F36" s="44">
        <v>8.1</v>
      </c>
      <c r="G36" s="18">
        <v>300.0</v>
      </c>
      <c r="H36" s="19">
        <f t="shared" si="1"/>
        <v>155064</v>
      </c>
      <c r="I36" s="20">
        <f t="shared" si="13"/>
        <v>177372</v>
      </c>
      <c r="J36" s="21">
        <v>516.88</v>
      </c>
      <c r="K36" s="22">
        <f>IFERROR(__xludf.DUMMYFUNCTION("GOOGLEFINANCE(E36,""changepct"")"),-1.43)</f>
        <v>-1.43</v>
      </c>
      <c r="L36" s="23">
        <f>IFERROR(__xludf.DUMMYFUNCTION("googlefinance(E36,""price"")"),591.24)</f>
        <v>591.24</v>
      </c>
      <c r="M36" s="21"/>
      <c r="N36" s="24">
        <f t="shared" si="2"/>
        <v>74.36</v>
      </c>
      <c r="O36" s="25">
        <f t="shared" si="14"/>
        <v>0.1438631791</v>
      </c>
      <c r="P36" s="19">
        <f t="shared" si="3"/>
        <v>22308</v>
      </c>
      <c r="Q36" s="47">
        <v>0.002</v>
      </c>
      <c r="R36" s="20">
        <v>150.0</v>
      </c>
      <c r="S36" s="37"/>
      <c r="T36" s="27"/>
      <c r="U36" s="29"/>
      <c r="V36" s="15"/>
      <c r="W36" s="36"/>
      <c r="X36" s="37"/>
      <c r="Y36" s="27"/>
      <c r="Z36" s="15" t="s">
        <v>59</v>
      </c>
      <c r="AA36" s="36">
        <v>45392.0</v>
      </c>
      <c r="AB36" s="37">
        <v>516.88</v>
      </c>
      <c r="AC36" s="27">
        <v>155064.0</v>
      </c>
    </row>
    <row r="37">
      <c r="A37" s="38"/>
      <c r="B37" s="32"/>
      <c r="C37" s="14">
        <f>I37/E135</f>
        <v>0.008098694749</v>
      </c>
      <c r="D37" s="42" t="s">
        <v>294</v>
      </c>
      <c r="E37" s="42" t="s">
        <v>59</v>
      </c>
      <c r="F37" s="44">
        <v>8.1</v>
      </c>
      <c r="G37" s="18">
        <v>300.0</v>
      </c>
      <c r="H37" s="19">
        <f t="shared" si="1"/>
        <v>125145</v>
      </c>
      <c r="I37" s="20">
        <f t="shared" si="13"/>
        <v>177372</v>
      </c>
      <c r="J37" s="21">
        <v>417.15</v>
      </c>
      <c r="K37" s="22">
        <f>IFERROR(__xludf.DUMMYFUNCTION("GOOGLEFINANCE(E37,""changepct"")"),-1.43)</f>
        <v>-1.43</v>
      </c>
      <c r="L37" s="23">
        <f>IFERROR(__xludf.DUMMYFUNCTION("googlefinance(E37,""price"")"),591.24)</f>
        <v>591.24</v>
      </c>
      <c r="M37" s="21"/>
      <c r="N37" s="24">
        <f t="shared" si="2"/>
        <v>174.09</v>
      </c>
      <c r="O37" s="25">
        <f t="shared" si="14"/>
        <v>0.417331895</v>
      </c>
      <c r="P37" s="19">
        <f t="shared" si="3"/>
        <v>52227</v>
      </c>
      <c r="Q37" s="47">
        <v>0.002</v>
      </c>
      <c r="R37" s="20">
        <v>150.0</v>
      </c>
      <c r="S37" s="37"/>
      <c r="T37" s="27"/>
      <c r="U37" s="29"/>
      <c r="V37" s="15"/>
      <c r="W37" s="36"/>
      <c r="X37" s="37"/>
      <c r="Y37" s="27"/>
      <c r="Z37" s="15" t="s">
        <v>59</v>
      </c>
      <c r="AA37" s="36">
        <v>45407.0</v>
      </c>
      <c r="AB37" s="37">
        <v>417.15</v>
      </c>
      <c r="AC37" s="27">
        <v>125145.0</v>
      </c>
    </row>
    <row r="38">
      <c r="A38" s="38"/>
      <c r="B38" s="32"/>
      <c r="C38" s="14">
        <f>I38/E135</f>
        <v>0</v>
      </c>
      <c r="D38" s="42" t="s">
        <v>337</v>
      </c>
      <c r="E38" s="42" t="s">
        <v>338</v>
      </c>
      <c r="F38" s="44">
        <v>7.5</v>
      </c>
      <c r="G38" s="18">
        <v>8000.0</v>
      </c>
      <c r="H38" s="19">
        <f t="shared" si="1"/>
        <v>277200</v>
      </c>
      <c r="I38" s="20">
        <v>0.0</v>
      </c>
      <c r="J38" s="21">
        <v>34.65</v>
      </c>
      <c r="K38" s="22">
        <f>IFERROR(__xludf.DUMMYFUNCTION("GOOGLEFINANCE(E38,""changepct"")"),-2.36)</f>
        <v>-2.36</v>
      </c>
      <c r="L38" s="23">
        <f>IFERROR(__xludf.DUMMYFUNCTION("googlefinance(E38,""price"")"),19.82)</f>
        <v>19.82</v>
      </c>
      <c r="M38" s="21">
        <v>30.55</v>
      </c>
      <c r="N38" s="24">
        <f t="shared" si="2"/>
        <v>-14.83</v>
      </c>
      <c r="O38" s="25">
        <f>M38/J38-1</f>
        <v>-0.1183261183</v>
      </c>
      <c r="P38" s="19">
        <f t="shared" si="3"/>
        <v>-32800</v>
      </c>
      <c r="Q38" s="47">
        <v>0.016</v>
      </c>
      <c r="R38" s="20"/>
      <c r="S38" s="37"/>
      <c r="T38" s="27"/>
      <c r="U38" s="29"/>
      <c r="V38" s="15" t="s">
        <v>338</v>
      </c>
      <c r="W38" s="36">
        <v>45414.0</v>
      </c>
      <c r="X38" s="37">
        <v>30.55</v>
      </c>
      <c r="Y38" s="27">
        <v>244400.0</v>
      </c>
      <c r="Z38" s="15" t="s">
        <v>338</v>
      </c>
      <c r="AA38" s="36">
        <v>45401.0</v>
      </c>
      <c r="AB38" s="37">
        <v>34.65</v>
      </c>
      <c r="AC38" s="27">
        <v>277200.0</v>
      </c>
    </row>
    <row r="39">
      <c r="A39" s="38"/>
      <c r="B39" s="32"/>
      <c r="C39" s="14">
        <f>I39/E135</f>
        <v>0.005242609494</v>
      </c>
      <c r="D39" s="42" t="s">
        <v>62</v>
      </c>
      <c r="E39" s="42" t="s">
        <v>61</v>
      </c>
      <c r="F39" s="44">
        <v>7.9</v>
      </c>
      <c r="G39" s="18">
        <v>1000.0</v>
      </c>
      <c r="H39" s="19">
        <f t="shared" si="1"/>
        <v>131960</v>
      </c>
      <c r="I39" s="20">
        <f t="shared" ref="I39:I41" si="15">H39+P39</f>
        <v>114820</v>
      </c>
      <c r="J39" s="21">
        <v>131.96</v>
      </c>
      <c r="K39" s="22">
        <f>IFERROR(__xludf.DUMMYFUNCTION("GOOGLEFINANCE(E39,""changepct"")"),-2.14)</f>
        <v>-2.14</v>
      </c>
      <c r="L39" s="23">
        <f>IFERROR(__xludf.DUMMYFUNCTION("googlefinance(E39,""price"")"),114.82)</f>
        <v>114.82</v>
      </c>
      <c r="M39" s="21"/>
      <c r="N39" s="24">
        <f t="shared" si="2"/>
        <v>-17.14</v>
      </c>
      <c r="O39" s="25">
        <f t="shared" ref="O39:O41" si="16">L39/J39-1</f>
        <v>-0.1298878448</v>
      </c>
      <c r="P39" s="19">
        <f t="shared" si="3"/>
        <v>-17140</v>
      </c>
      <c r="Q39" s="47">
        <v>0.013</v>
      </c>
      <c r="R39" s="20"/>
      <c r="S39" s="37"/>
      <c r="T39" s="27"/>
      <c r="U39" s="29"/>
      <c r="V39" s="15"/>
      <c r="W39" s="36"/>
      <c r="X39" s="37"/>
      <c r="Y39" s="27"/>
      <c r="Z39" s="15" t="s">
        <v>61</v>
      </c>
      <c r="AA39" s="36">
        <v>45443.0</v>
      </c>
      <c r="AB39" s="37">
        <v>131.96</v>
      </c>
      <c r="AC39" s="27">
        <v>131960.0</v>
      </c>
    </row>
    <row r="40">
      <c r="A40" s="38"/>
      <c r="B40" s="32"/>
      <c r="C40" s="14">
        <f>I40/E135</f>
        <v>0.005242609494</v>
      </c>
      <c r="D40" s="42" t="s">
        <v>62</v>
      </c>
      <c r="E40" s="42" t="s">
        <v>61</v>
      </c>
      <c r="F40" s="44">
        <v>7.9</v>
      </c>
      <c r="G40" s="18">
        <v>1000.0</v>
      </c>
      <c r="H40" s="19">
        <f t="shared" si="1"/>
        <v>138100</v>
      </c>
      <c r="I40" s="20">
        <f t="shared" si="15"/>
        <v>114820</v>
      </c>
      <c r="J40" s="21">
        <v>138.1</v>
      </c>
      <c r="K40" s="22">
        <f>IFERROR(__xludf.DUMMYFUNCTION("GOOGLEFINANCE(E40,""changepct"")"),-2.14)</f>
        <v>-2.14</v>
      </c>
      <c r="L40" s="23">
        <f>IFERROR(__xludf.DUMMYFUNCTION("googlefinance(E40,""price"")"),114.82)</f>
        <v>114.82</v>
      </c>
      <c r="M40" s="21"/>
      <c r="N40" s="24">
        <f t="shared" si="2"/>
        <v>-23.28</v>
      </c>
      <c r="O40" s="25">
        <f t="shared" si="16"/>
        <v>-0.1685734975</v>
      </c>
      <c r="P40" s="19">
        <f t="shared" si="3"/>
        <v>-23280</v>
      </c>
      <c r="Q40" s="47">
        <v>0.013</v>
      </c>
      <c r="R40" s="20"/>
      <c r="S40" s="37"/>
      <c r="T40" s="27"/>
      <c r="U40" s="29"/>
      <c r="V40" s="15"/>
      <c r="W40" s="36"/>
      <c r="X40" s="37"/>
      <c r="Y40" s="27"/>
      <c r="Z40" s="15" t="s">
        <v>61</v>
      </c>
      <c r="AA40" s="36">
        <v>45443.0</v>
      </c>
      <c r="AB40" s="37">
        <v>138.1</v>
      </c>
      <c r="AC40" s="27">
        <v>138100.0</v>
      </c>
    </row>
    <row r="41">
      <c r="A41" s="38"/>
      <c r="B41" s="32"/>
      <c r="C41" s="14">
        <f>I41/E135</f>
        <v>0.005242609494</v>
      </c>
      <c r="D41" s="42" t="s">
        <v>62</v>
      </c>
      <c r="E41" s="42" t="s">
        <v>61</v>
      </c>
      <c r="F41" s="44">
        <v>7.9</v>
      </c>
      <c r="G41" s="18">
        <v>1000.0</v>
      </c>
      <c r="H41" s="19">
        <f t="shared" si="1"/>
        <v>139600</v>
      </c>
      <c r="I41" s="20">
        <f t="shared" si="15"/>
        <v>114820</v>
      </c>
      <c r="J41" s="21">
        <v>139.6</v>
      </c>
      <c r="K41" s="22">
        <f>IFERROR(__xludf.DUMMYFUNCTION("GOOGLEFINANCE(E41,""changepct"")"),-2.14)</f>
        <v>-2.14</v>
      </c>
      <c r="L41" s="23">
        <f>IFERROR(__xludf.DUMMYFUNCTION("googlefinance(E41,""price"")"),114.82)</f>
        <v>114.82</v>
      </c>
      <c r="M41" s="21"/>
      <c r="N41" s="24">
        <f t="shared" si="2"/>
        <v>-24.78</v>
      </c>
      <c r="O41" s="25">
        <f t="shared" si="16"/>
        <v>-0.1775071633</v>
      </c>
      <c r="P41" s="19">
        <f t="shared" si="3"/>
        <v>-24780</v>
      </c>
      <c r="Q41" s="47">
        <v>0.013</v>
      </c>
      <c r="R41" s="20"/>
      <c r="S41" s="37"/>
      <c r="T41" s="27"/>
      <c r="U41" s="29"/>
      <c r="V41" s="15"/>
      <c r="W41" s="36"/>
      <c r="X41" s="37"/>
      <c r="Y41" s="27"/>
      <c r="Z41" s="15" t="s">
        <v>61</v>
      </c>
      <c r="AA41" s="36">
        <v>45460.0</v>
      </c>
      <c r="AB41" s="37">
        <v>139.6</v>
      </c>
      <c r="AC41" s="27">
        <v>139600.0</v>
      </c>
    </row>
    <row r="42">
      <c r="A42" s="38"/>
      <c r="B42" s="32"/>
      <c r="C42" s="14">
        <f>I42/E135</f>
        <v>0</v>
      </c>
      <c r="D42" s="42" t="s">
        <v>339</v>
      </c>
      <c r="E42" s="42" t="s">
        <v>340</v>
      </c>
      <c r="F42" s="44">
        <v>7.7</v>
      </c>
      <c r="G42" s="18">
        <v>3500.0</v>
      </c>
      <c r="H42" s="19">
        <f t="shared" si="1"/>
        <v>222600</v>
      </c>
      <c r="I42" s="20">
        <v>0.0</v>
      </c>
      <c r="J42" s="21">
        <v>63.6</v>
      </c>
      <c r="K42" s="22">
        <f>IFERROR(__xludf.DUMMYFUNCTION("GOOGLEFINANCE(E42,""changepct"")"),-1.3)</f>
        <v>-1.3</v>
      </c>
      <c r="L42" s="23">
        <f>IFERROR(__xludf.DUMMYFUNCTION("googlefinance(E42,""price"")"),82.73)</f>
        <v>82.73</v>
      </c>
      <c r="M42" s="21">
        <v>57.47</v>
      </c>
      <c r="N42" s="24">
        <f t="shared" si="2"/>
        <v>19.13</v>
      </c>
      <c r="O42" s="25">
        <f>M42/J42-1</f>
        <v>-0.0963836478</v>
      </c>
      <c r="P42" s="19">
        <f t="shared" si="3"/>
        <v>-21455</v>
      </c>
      <c r="Q42" s="47"/>
      <c r="R42" s="20"/>
      <c r="S42" s="37"/>
      <c r="T42" s="27"/>
      <c r="U42" s="29"/>
      <c r="V42" s="15" t="s">
        <v>340</v>
      </c>
      <c r="W42" s="36">
        <v>45469.0</v>
      </c>
      <c r="X42" s="37">
        <v>57.47</v>
      </c>
      <c r="Y42" s="27">
        <v>201145.0</v>
      </c>
      <c r="Z42" s="15" t="s">
        <v>340</v>
      </c>
      <c r="AA42" s="36">
        <v>45384.0</v>
      </c>
      <c r="AB42" s="37">
        <v>63.6</v>
      </c>
      <c r="AC42" s="27">
        <v>222600.0</v>
      </c>
    </row>
    <row r="43">
      <c r="A43" s="38"/>
      <c r="B43" s="32"/>
      <c r="C43" s="14">
        <f>I43/E135</f>
        <v>0.004180800717</v>
      </c>
      <c r="D43" s="42" t="s">
        <v>295</v>
      </c>
      <c r="E43" s="42" t="s">
        <v>72</v>
      </c>
      <c r="F43" s="44">
        <v>7.8</v>
      </c>
      <c r="G43" s="18">
        <v>500.0</v>
      </c>
      <c r="H43" s="19">
        <f t="shared" si="1"/>
        <v>82275</v>
      </c>
      <c r="I43" s="20">
        <f t="shared" ref="I43:I48" si="17">H43+P43</f>
        <v>91565</v>
      </c>
      <c r="J43" s="21">
        <v>164.55</v>
      </c>
      <c r="K43" s="22">
        <f>IFERROR(__xludf.DUMMYFUNCTION("GOOGLEFINANCE(E43,""changepct"")"),-0.77)</f>
        <v>-0.77</v>
      </c>
      <c r="L43" s="23">
        <f>IFERROR(__xludf.DUMMYFUNCTION("googlefinance(E43,""price"")"),183.13)</f>
        <v>183.13</v>
      </c>
      <c r="M43" s="21"/>
      <c r="N43" s="24">
        <f t="shared" si="2"/>
        <v>18.58</v>
      </c>
      <c r="O43" s="25">
        <f t="shared" ref="O43:O46" si="18">L43/J43-1</f>
        <v>0.1129140079</v>
      </c>
      <c r="P43" s="19">
        <f t="shared" si="3"/>
        <v>9290</v>
      </c>
      <c r="Q43" s="47"/>
      <c r="R43" s="20"/>
      <c r="S43" s="37"/>
      <c r="T43" s="27"/>
      <c r="U43" s="29"/>
      <c r="V43" s="15"/>
      <c r="W43" s="36"/>
      <c r="X43" s="37"/>
      <c r="Y43" s="27"/>
      <c r="Z43" s="15" t="s">
        <v>72</v>
      </c>
      <c r="AA43" s="36">
        <v>45443.0</v>
      </c>
      <c r="AB43" s="37">
        <v>164.55</v>
      </c>
      <c r="AC43" s="27">
        <v>82275.0</v>
      </c>
    </row>
    <row r="44">
      <c r="A44" s="38"/>
      <c r="B44" s="32"/>
      <c r="C44" s="14">
        <f>I44/E135</f>
        <v>0.01254240215</v>
      </c>
      <c r="D44" s="42" t="s">
        <v>295</v>
      </c>
      <c r="E44" s="42" t="s">
        <v>72</v>
      </c>
      <c r="F44" s="44">
        <v>7.8</v>
      </c>
      <c r="G44" s="18">
        <v>1500.0</v>
      </c>
      <c r="H44" s="19">
        <f t="shared" si="1"/>
        <v>237000</v>
      </c>
      <c r="I44" s="20">
        <f t="shared" si="17"/>
        <v>274695</v>
      </c>
      <c r="J44" s="21">
        <v>158.0</v>
      </c>
      <c r="K44" s="22">
        <f>IFERROR(__xludf.DUMMYFUNCTION("GOOGLEFINANCE(E44,""changepct"")"),-0.77)</f>
        <v>-0.77</v>
      </c>
      <c r="L44" s="23">
        <f>IFERROR(__xludf.DUMMYFUNCTION("googlefinance(E44,""price"")"),183.13)</f>
        <v>183.13</v>
      </c>
      <c r="M44" s="21"/>
      <c r="N44" s="24">
        <f t="shared" si="2"/>
        <v>25.13</v>
      </c>
      <c r="O44" s="25">
        <f t="shared" si="18"/>
        <v>0.1590506329</v>
      </c>
      <c r="P44" s="19">
        <f t="shared" si="3"/>
        <v>37695</v>
      </c>
      <c r="Q44" s="47"/>
      <c r="R44" s="20"/>
      <c r="S44" s="37"/>
      <c r="T44" s="27"/>
      <c r="U44" s="29"/>
      <c r="V44" s="15"/>
      <c r="W44" s="36"/>
      <c r="X44" s="37"/>
      <c r="Y44" s="27"/>
      <c r="Z44" s="15" t="s">
        <v>72</v>
      </c>
      <c r="AA44" s="36">
        <v>45442.0</v>
      </c>
      <c r="AB44" s="37">
        <v>158.0</v>
      </c>
      <c r="AC44" s="27">
        <v>237000.0</v>
      </c>
    </row>
    <row r="45">
      <c r="A45" s="38"/>
      <c r="B45" s="32"/>
      <c r="C45" s="14">
        <f>I45/E135</f>
        <v>0.01532967873</v>
      </c>
      <c r="D45" s="42" t="s">
        <v>296</v>
      </c>
      <c r="E45" s="42" t="s">
        <v>297</v>
      </c>
      <c r="F45" s="44">
        <v>7.8</v>
      </c>
      <c r="G45" s="18">
        <v>1000.0</v>
      </c>
      <c r="H45" s="19">
        <f t="shared" si="1"/>
        <v>214230</v>
      </c>
      <c r="I45" s="20">
        <f t="shared" si="17"/>
        <v>335740</v>
      </c>
      <c r="J45" s="21">
        <v>214.23</v>
      </c>
      <c r="K45" s="22">
        <f>IFERROR(__xludf.DUMMYFUNCTION("GOOGLEFINANCE(E45,""changepct"")"),-0.8)</f>
        <v>-0.8</v>
      </c>
      <c r="L45" s="23">
        <f>IFERROR(__xludf.DUMMYFUNCTION("googlefinance(E45,""price"")"),335.74)</f>
        <v>335.74</v>
      </c>
      <c r="M45" s="21"/>
      <c r="N45" s="24">
        <f t="shared" si="2"/>
        <v>121.51</v>
      </c>
      <c r="O45" s="25">
        <f t="shared" si="18"/>
        <v>0.5671941371</v>
      </c>
      <c r="P45" s="19">
        <f t="shared" si="3"/>
        <v>121510</v>
      </c>
      <c r="Q45" s="47"/>
      <c r="R45" s="20"/>
      <c r="S45" s="37"/>
      <c r="T45" s="27"/>
      <c r="U45" s="29"/>
      <c r="V45" s="15"/>
      <c r="W45" s="36"/>
      <c r="X45" s="37"/>
      <c r="Y45" s="27"/>
      <c r="Z45" s="15" t="s">
        <v>297</v>
      </c>
      <c r="AA45" s="36">
        <v>45442.0</v>
      </c>
      <c r="AB45" s="37">
        <v>214.23</v>
      </c>
      <c r="AC45" s="27">
        <v>214230.0</v>
      </c>
    </row>
    <row r="46">
      <c r="A46" s="38"/>
      <c r="B46" s="32"/>
      <c r="C46" s="14">
        <f>I46/E135</f>
        <v>0.01061375013</v>
      </c>
      <c r="D46" s="42" t="s">
        <v>63</v>
      </c>
      <c r="E46" s="42" t="s">
        <v>64</v>
      </c>
      <c r="F46" s="44">
        <v>7.8</v>
      </c>
      <c r="G46" s="18">
        <v>1500.0</v>
      </c>
      <c r="H46" s="19">
        <f t="shared" si="1"/>
        <v>186990</v>
      </c>
      <c r="I46" s="20">
        <f t="shared" si="17"/>
        <v>232455</v>
      </c>
      <c r="J46" s="21">
        <v>124.66</v>
      </c>
      <c r="K46" s="22">
        <f>IFERROR(__xludf.DUMMYFUNCTION("GOOGLEFINANCE(E46,""changepct"")"),-2.32)</f>
        <v>-2.32</v>
      </c>
      <c r="L46" s="23">
        <f>IFERROR(__xludf.DUMMYFUNCTION("googlefinance(E46,""price"")"),154.97)</f>
        <v>154.97</v>
      </c>
      <c r="M46" s="21"/>
      <c r="N46" s="24">
        <f t="shared" si="2"/>
        <v>30.31</v>
      </c>
      <c r="O46" s="25">
        <f t="shared" si="18"/>
        <v>0.2431413445</v>
      </c>
      <c r="P46" s="19">
        <f t="shared" si="3"/>
        <v>45465</v>
      </c>
      <c r="Q46" s="47"/>
      <c r="R46" s="20"/>
      <c r="S46" s="37"/>
      <c r="T46" s="27"/>
      <c r="U46" s="29"/>
      <c r="V46" s="15"/>
      <c r="W46" s="36"/>
      <c r="X46" s="37"/>
      <c r="Y46" s="27"/>
      <c r="Z46" s="15" t="s">
        <v>64</v>
      </c>
      <c r="AA46" s="36">
        <v>45467.0</v>
      </c>
      <c r="AB46" s="37">
        <v>124.66</v>
      </c>
      <c r="AC46" s="27">
        <v>186990.0</v>
      </c>
    </row>
    <row r="47">
      <c r="A47" s="38"/>
      <c r="B47" s="32"/>
      <c r="C47" s="14">
        <f>I47/E135</f>
        <v>0.01095825012</v>
      </c>
      <c r="D47" s="42" t="s">
        <v>86</v>
      </c>
      <c r="E47" s="42" t="s">
        <v>87</v>
      </c>
      <c r="F47" s="44">
        <v>7.8</v>
      </c>
      <c r="G47" s="18">
        <v>15000.0</v>
      </c>
      <c r="H47" s="19">
        <f t="shared" si="1"/>
        <v>173250</v>
      </c>
      <c r="I47" s="20">
        <f t="shared" si="17"/>
        <v>240000</v>
      </c>
      <c r="J47" s="21">
        <v>11.55</v>
      </c>
      <c r="K47" s="22">
        <f>IFERROR(__xludf.DUMMYFUNCTION("GOOGLEFINANCE(E47,""changepct"")"),-1.18)</f>
        <v>-1.18</v>
      </c>
      <c r="L47" s="23">
        <f>IFERROR(__xludf.DUMMYFUNCTION("googlefinance(E47,""price"")"),10.86)</f>
        <v>10.86</v>
      </c>
      <c r="M47" s="21">
        <v>16.0</v>
      </c>
      <c r="N47" s="24">
        <f t="shared" si="2"/>
        <v>-0.69</v>
      </c>
      <c r="O47" s="25">
        <f>M47/J47-1</f>
        <v>0.3852813853</v>
      </c>
      <c r="P47" s="19">
        <f t="shared" si="3"/>
        <v>66750</v>
      </c>
      <c r="Q47" s="47"/>
      <c r="R47" s="20"/>
      <c r="S47" s="37" t="s">
        <v>341</v>
      </c>
      <c r="T47" s="27">
        <v>11700.0</v>
      </c>
      <c r="U47" s="29"/>
      <c r="V47" s="15"/>
      <c r="W47" s="36"/>
      <c r="X47" s="37"/>
      <c r="Y47" s="27"/>
      <c r="Z47" s="15" t="s">
        <v>87</v>
      </c>
      <c r="AA47" s="36">
        <v>45400.0</v>
      </c>
      <c r="AB47" s="37">
        <v>11.55</v>
      </c>
      <c r="AC47" s="27">
        <v>173250.0</v>
      </c>
    </row>
    <row r="48">
      <c r="A48" s="38"/>
      <c r="B48" s="32"/>
      <c r="C48" s="14">
        <f>I48/E135</f>
        <v>0.01735512862</v>
      </c>
      <c r="D48" s="42" t="s">
        <v>86</v>
      </c>
      <c r="E48" s="42" t="s">
        <v>87</v>
      </c>
      <c r="F48" s="44">
        <v>7.8</v>
      </c>
      <c r="G48" s="18">
        <v>35000.0</v>
      </c>
      <c r="H48" s="19">
        <f t="shared" si="1"/>
        <v>401800</v>
      </c>
      <c r="I48" s="20">
        <f t="shared" si="17"/>
        <v>380100</v>
      </c>
      <c r="J48" s="21">
        <v>11.48</v>
      </c>
      <c r="K48" s="22">
        <f>IFERROR(__xludf.DUMMYFUNCTION("GOOGLEFINANCE(E48,""changepct"")"),-1.18)</f>
        <v>-1.18</v>
      </c>
      <c r="L48" s="23">
        <f>IFERROR(__xludf.DUMMYFUNCTION("googlefinance(E48,""price"")"),10.86)</f>
        <v>10.86</v>
      </c>
      <c r="M48" s="21"/>
      <c r="N48" s="24">
        <f t="shared" si="2"/>
        <v>-0.62</v>
      </c>
      <c r="O48" s="25">
        <f>L48/J48-1</f>
        <v>-0.05400696864</v>
      </c>
      <c r="P48" s="19">
        <f t="shared" si="3"/>
        <v>-21700</v>
      </c>
      <c r="Q48" s="47"/>
      <c r="R48" s="20"/>
      <c r="S48" s="37"/>
      <c r="T48" s="27">
        <v>750.0</v>
      </c>
      <c r="U48" s="29"/>
      <c r="V48" s="15"/>
      <c r="W48" s="36"/>
      <c r="X48" s="37"/>
      <c r="Y48" s="27"/>
      <c r="Z48" s="15"/>
      <c r="AA48" s="36"/>
      <c r="AB48" s="37"/>
      <c r="AC48" s="27"/>
    </row>
    <row r="49">
      <c r="A49" s="48"/>
      <c r="B49" s="6"/>
      <c r="C49" s="6" t="s">
        <v>89</v>
      </c>
      <c r="D49" s="6"/>
      <c r="E49" s="6"/>
      <c r="F49" s="6"/>
      <c r="G49" s="11"/>
      <c r="H49" s="49">
        <f t="shared" ref="H49:I49" si="19">SUM(H3:H48)</f>
        <v>14889566</v>
      </c>
      <c r="I49" s="50">
        <f t="shared" si="19"/>
        <v>24427667</v>
      </c>
      <c r="J49" s="8"/>
      <c r="K49" s="8"/>
      <c r="L49" s="8"/>
      <c r="M49" s="10"/>
      <c r="N49" s="10"/>
      <c r="O49" s="51">
        <f>(P49+T49+U49+R49)/I49</f>
        <v>0.05193684685</v>
      </c>
      <c r="P49" s="263">
        <v>1188476.0</v>
      </c>
      <c r="Q49" s="52"/>
      <c r="R49" s="49">
        <f>SUM(R3:R48)</f>
        <v>1300</v>
      </c>
      <c r="S49" s="10"/>
      <c r="T49" s="11">
        <f t="shared" ref="T49:U49" si="20">SUM(T3:T48)</f>
        <v>78920</v>
      </c>
      <c r="U49" s="11">
        <f t="shared" si="20"/>
        <v>0</v>
      </c>
      <c r="V49" s="6" t="s">
        <v>89</v>
      </c>
      <c r="W49" s="53"/>
      <c r="X49" s="54"/>
      <c r="Y49" s="49">
        <f>SUM(Y3:Y48)</f>
        <v>2532497</v>
      </c>
      <c r="Z49" s="6" t="s">
        <v>89</v>
      </c>
      <c r="AA49" s="53"/>
      <c r="AB49" s="54"/>
      <c r="AC49" s="49">
        <f>SUM(AC3:AC48)</f>
        <v>5725724</v>
      </c>
    </row>
    <row r="50">
      <c r="A50" s="55"/>
      <c r="B50" s="6" t="s">
        <v>342</v>
      </c>
      <c r="C50" s="6" t="s">
        <v>2</v>
      </c>
      <c r="D50" s="5" t="s">
        <v>3</v>
      </c>
      <c r="E50" s="6" t="s">
        <v>4</v>
      </c>
      <c r="F50" s="6" t="s">
        <v>5</v>
      </c>
      <c r="G50" s="280" t="s">
        <v>6</v>
      </c>
      <c r="H50" s="6" t="s">
        <v>7</v>
      </c>
      <c r="I50" s="7" t="s">
        <v>8</v>
      </c>
      <c r="J50" s="7" t="s">
        <v>9</v>
      </c>
      <c r="K50" s="8" t="s">
        <v>10</v>
      </c>
      <c r="L50" s="8" t="s">
        <v>11</v>
      </c>
      <c r="M50" s="9" t="s">
        <v>12</v>
      </c>
      <c r="N50" s="10" t="s">
        <v>13</v>
      </c>
      <c r="O50" s="6" t="s">
        <v>14</v>
      </c>
      <c r="P50" s="10" t="s">
        <v>15</v>
      </c>
      <c r="Q50" s="71" t="s">
        <v>16</v>
      </c>
      <c r="R50" s="11" t="s">
        <v>17</v>
      </c>
      <c r="S50" s="9" t="s">
        <v>18</v>
      </c>
      <c r="T50" s="5" t="s">
        <v>19</v>
      </c>
      <c r="U50" s="5" t="s">
        <v>91</v>
      </c>
      <c r="V50" s="6" t="s">
        <v>21</v>
      </c>
      <c r="W50" s="281" t="s">
        <v>22</v>
      </c>
      <c r="X50" s="12" t="s">
        <v>23</v>
      </c>
      <c r="Y50" s="12" t="s">
        <v>24</v>
      </c>
      <c r="Z50" s="6" t="s">
        <v>25</v>
      </c>
      <c r="AA50" s="6" t="s">
        <v>26</v>
      </c>
      <c r="AB50" s="12" t="s">
        <v>27</v>
      </c>
      <c r="AC50" s="11" t="s">
        <v>28</v>
      </c>
    </row>
    <row r="51">
      <c r="A51" s="56" t="s">
        <v>29</v>
      </c>
      <c r="B51" s="57">
        <f>I58/E135</f>
        <v>0.03453903459</v>
      </c>
      <c r="C51" s="14">
        <f>I51/E135</f>
        <v>0.02686369357</v>
      </c>
      <c r="D51" s="15" t="s">
        <v>287</v>
      </c>
      <c r="E51" s="15" t="s">
        <v>33</v>
      </c>
      <c r="F51" s="17">
        <v>8.0</v>
      </c>
      <c r="G51" s="18">
        <v>7000.0</v>
      </c>
      <c r="H51" s="19">
        <f t="shared" ref="H51:H57" si="21">G51*J51</f>
        <v>736960</v>
      </c>
      <c r="I51" s="19">
        <f t="shared" ref="I51:I52" si="22">H51+P51</f>
        <v>588350</v>
      </c>
      <c r="J51" s="21">
        <v>105.28</v>
      </c>
      <c r="K51" s="22">
        <f>IFERROR(__xludf.DUMMYFUNCTION("GOOGLEFINANCE(E51,""changepct"")"),-2.94)</f>
        <v>-2.94</v>
      </c>
      <c r="L51" s="23">
        <f>IFERROR(__xludf.DUMMYFUNCTION("googlefinance(E51,""price"")"),84.05)</f>
        <v>84.05</v>
      </c>
      <c r="M51" s="24"/>
      <c r="N51" s="24">
        <f t="shared" ref="N51:N57" si="23">L51-J51</f>
        <v>-21.23</v>
      </c>
      <c r="O51" s="25">
        <f t="shared" ref="O51:O52" si="24">L51/J51-1</f>
        <v>-0.2016527356</v>
      </c>
      <c r="P51" s="19">
        <f t="shared" ref="P51:P57" si="25">H51*O51</f>
        <v>-148610</v>
      </c>
      <c r="Q51" s="34"/>
      <c r="R51" s="29"/>
      <c r="S51" s="35"/>
      <c r="T51" s="27"/>
      <c r="U51" s="15"/>
      <c r="V51" s="15"/>
      <c r="W51" s="36"/>
      <c r="X51" s="37"/>
      <c r="Y51" s="27"/>
      <c r="Z51" s="16"/>
      <c r="AA51" s="32"/>
      <c r="AB51" s="31"/>
      <c r="AC51" s="29"/>
    </row>
    <row r="52">
      <c r="A52" s="38"/>
      <c r="B52" s="32"/>
      <c r="C52" s="14">
        <f>I52/E135</f>
        <v>0.00767534102</v>
      </c>
      <c r="D52" s="15" t="s">
        <v>32</v>
      </c>
      <c r="E52" s="15" t="s">
        <v>33</v>
      </c>
      <c r="F52" s="44">
        <v>8.0</v>
      </c>
      <c r="G52" s="18">
        <v>2000.0</v>
      </c>
      <c r="H52" s="19">
        <f t="shared" si="21"/>
        <v>191100</v>
      </c>
      <c r="I52" s="19">
        <f t="shared" si="22"/>
        <v>168100</v>
      </c>
      <c r="J52" s="21">
        <v>95.55</v>
      </c>
      <c r="K52" s="22">
        <f>IFERROR(__xludf.DUMMYFUNCTION("GOOGLEFINANCE(E52,""changepct"")"),-2.94)</f>
        <v>-2.94</v>
      </c>
      <c r="L52" s="23">
        <f>IFERROR(__xludf.DUMMYFUNCTION("googlefinance(E52,""price"")"),84.05)</f>
        <v>84.05</v>
      </c>
      <c r="M52" s="21"/>
      <c r="N52" s="24">
        <f t="shared" si="23"/>
        <v>-11.5</v>
      </c>
      <c r="O52" s="25">
        <f t="shared" si="24"/>
        <v>-0.1203558346</v>
      </c>
      <c r="P52" s="19">
        <f t="shared" si="25"/>
        <v>-23000</v>
      </c>
      <c r="Q52" s="34"/>
      <c r="R52" s="29"/>
      <c r="S52" s="282"/>
      <c r="T52" s="27"/>
      <c r="U52" s="15"/>
      <c r="V52" s="15"/>
      <c r="W52" s="36"/>
      <c r="X52" s="37"/>
      <c r="Y52" s="27"/>
      <c r="Z52" s="15" t="s">
        <v>34</v>
      </c>
      <c r="AA52" s="41">
        <v>45400.0</v>
      </c>
      <c r="AB52" s="21">
        <v>95.55</v>
      </c>
      <c r="AC52" s="20">
        <v>191100.0</v>
      </c>
    </row>
    <row r="53">
      <c r="A53" s="38"/>
      <c r="B53" s="32"/>
      <c r="C53" s="14">
        <f>I53/E135</f>
        <v>0</v>
      </c>
      <c r="D53" s="45" t="s">
        <v>343</v>
      </c>
      <c r="E53" s="45" t="s">
        <v>301</v>
      </c>
      <c r="F53" s="44">
        <v>7.6</v>
      </c>
      <c r="G53" s="18">
        <v>1500.0</v>
      </c>
      <c r="H53" s="19">
        <f t="shared" si="21"/>
        <v>174375</v>
      </c>
      <c r="I53" s="20">
        <v>0.0</v>
      </c>
      <c r="J53" s="21">
        <v>116.25</v>
      </c>
      <c r="K53" s="22">
        <f>IFERROR(__xludf.DUMMYFUNCTION("GOOGLEFINANCE(E53,""changepct"")"),-3.14)</f>
        <v>-3.14</v>
      </c>
      <c r="L53" s="23">
        <f>IFERROR(__xludf.DUMMYFUNCTION("googlefinance(E53,""price"")"),94.39)</f>
        <v>94.39</v>
      </c>
      <c r="M53" s="21">
        <v>153.96</v>
      </c>
      <c r="N53" s="24">
        <f t="shared" si="23"/>
        <v>-21.86</v>
      </c>
      <c r="O53" s="25">
        <f t="shared" ref="O53:O57" si="26">M53/J53-1</f>
        <v>0.3243870968</v>
      </c>
      <c r="P53" s="19">
        <f t="shared" si="25"/>
        <v>56565</v>
      </c>
      <c r="Q53" s="34"/>
      <c r="R53" s="29"/>
      <c r="S53" s="282"/>
      <c r="T53" s="27"/>
      <c r="U53" s="15"/>
      <c r="V53" s="15" t="s">
        <v>301</v>
      </c>
      <c r="W53" s="36">
        <v>45440.0</v>
      </c>
      <c r="X53" s="37">
        <v>153.96</v>
      </c>
      <c r="Y53" s="27">
        <v>230940.0</v>
      </c>
      <c r="Z53" s="15"/>
      <c r="AA53" s="41"/>
      <c r="AB53" s="21"/>
      <c r="AC53" s="20"/>
    </row>
    <row r="54">
      <c r="A54" s="38"/>
      <c r="B54" s="32"/>
      <c r="C54" s="14">
        <f>I54/E135</f>
        <v>0</v>
      </c>
      <c r="D54" s="45" t="s">
        <v>343</v>
      </c>
      <c r="E54" s="45" t="s">
        <v>301</v>
      </c>
      <c r="F54" s="44">
        <v>7.6</v>
      </c>
      <c r="G54" s="18">
        <v>1500.0</v>
      </c>
      <c r="H54" s="19">
        <f t="shared" si="21"/>
        <v>174375</v>
      </c>
      <c r="I54" s="20">
        <v>0.0</v>
      </c>
      <c r="J54" s="21">
        <v>116.25</v>
      </c>
      <c r="K54" s="22">
        <f>IFERROR(__xludf.DUMMYFUNCTION("GOOGLEFINANCE(E54,""changepct"")"),-3.14)</f>
        <v>-3.14</v>
      </c>
      <c r="L54" s="23">
        <f>IFERROR(__xludf.DUMMYFUNCTION("googlefinance(E54,""price"")"),94.39)</f>
        <v>94.39</v>
      </c>
      <c r="M54" s="21">
        <v>145.75</v>
      </c>
      <c r="N54" s="24">
        <f t="shared" si="23"/>
        <v>-21.86</v>
      </c>
      <c r="O54" s="25">
        <f t="shared" si="26"/>
        <v>0.2537634409</v>
      </c>
      <c r="P54" s="19">
        <f t="shared" si="25"/>
        <v>44250</v>
      </c>
      <c r="Q54" s="34"/>
      <c r="R54" s="29"/>
      <c r="S54" s="282"/>
      <c r="T54" s="27"/>
      <c r="U54" s="15"/>
      <c r="V54" s="15" t="s">
        <v>301</v>
      </c>
      <c r="W54" s="36">
        <v>45461.0</v>
      </c>
      <c r="X54" s="37">
        <v>145.75</v>
      </c>
      <c r="Y54" s="27">
        <v>218625.0</v>
      </c>
      <c r="Z54" s="15"/>
      <c r="AA54" s="41"/>
      <c r="AB54" s="21"/>
      <c r="AC54" s="20"/>
    </row>
    <row r="55">
      <c r="A55" s="38"/>
      <c r="B55" s="32"/>
      <c r="C55" s="14">
        <f>I55/E135</f>
        <v>0</v>
      </c>
      <c r="D55" s="42" t="s">
        <v>344</v>
      </c>
      <c r="E55" s="42" t="s">
        <v>345</v>
      </c>
      <c r="F55" s="44">
        <v>7.9</v>
      </c>
      <c r="G55" s="18">
        <v>10000.0</v>
      </c>
      <c r="H55" s="19">
        <f t="shared" si="21"/>
        <v>390300</v>
      </c>
      <c r="I55" s="20">
        <v>0.0</v>
      </c>
      <c r="J55" s="21">
        <v>39.03</v>
      </c>
      <c r="K55" s="22">
        <f>IFERROR(__xludf.DUMMYFUNCTION("GOOGLEFINANCE(E55,""changepct"")"),-0.69)</f>
        <v>-0.69</v>
      </c>
      <c r="L55" s="23">
        <f>IFERROR(__xludf.DUMMYFUNCTION("googlefinance(E55,""price"")"),53.23)</f>
        <v>53.23</v>
      </c>
      <c r="M55" s="21">
        <v>49.0</v>
      </c>
      <c r="N55" s="24">
        <f t="shared" si="23"/>
        <v>14.2</v>
      </c>
      <c r="O55" s="25">
        <f t="shared" si="26"/>
        <v>0.2554445298</v>
      </c>
      <c r="P55" s="19">
        <f t="shared" si="25"/>
        <v>99700</v>
      </c>
      <c r="Q55" s="34"/>
      <c r="R55" s="29"/>
      <c r="S55" s="282"/>
      <c r="T55" s="27"/>
      <c r="U55" s="15"/>
      <c r="V55" s="15" t="s">
        <v>345</v>
      </c>
      <c r="W55" s="36">
        <v>45467.0</v>
      </c>
      <c r="X55" s="37">
        <v>49.0</v>
      </c>
      <c r="Y55" s="27">
        <v>490000.0</v>
      </c>
      <c r="Z55" s="15"/>
      <c r="AA55" s="41"/>
      <c r="AB55" s="21"/>
      <c r="AC55" s="20"/>
    </row>
    <row r="56">
      <c r="A56" s="38"/>
      <c r="B56" s="32"/>
      <c r="C56" s="14">
        <f>I56/E135</f>
        <v>0</v>
      </c>
      <c r="D56" s="42" t="s">
        <v>346</v>
      </c>
      <c r="E56" s="42" t="s">
        <v>347</v>
      </c>
      <c r="F56" s="44">
        <v>7.7</v>
      </c>
      <c r="G56" s="18">
        <v>2500.0</v>
      </c>
      <c r="H56" s="19">
        <f t="shared" si="21"/>
        <v>180900</v>
      </c>
      <c r="I56" s="20">
        <v>0.0</v>
      </c>
      <c r="J56" s="21">
        <v>72.36</v>
      </c>
      <c r="K56" s="22">
        <f>IFERROR(__xludf.DUMMYFUNCTION("GOOGLEFINANCE(E56,""changepct"")"),-1.09)</f>
        <v>-1.09</v>
      </c>
      <c r="L56" s="23">
        <f>IFERROR(__xludf.DUMMYFUNCTION("googlefinance(E56,""price"")"),84.13)</f>
        <v>84.13</v>
      </c>
      <c r="M56" s="21">
        <v>80.85</v>
      </c>
      <c r="N56" s="24">
        <f t="shared" si="23"/>
        <v>11.77</v>
      </c>
      <c r="O56" s="25">
        <f t="shared" si="26"/>
        <v>0.1173300166</v>
      </c>
      <c r="P56" s="19">
        <f t="shared" si="25"/>
        <v>21225</v>
      </c>
      <c r="Q56" s="34"/>
      <c r="R56" s="29"/>
      <c r="S56" s="282"/>
      <c r="T56" s="27">
        <v>6075.0</v>
      </c>
      <c r="U56" s="15"/>
      <c r="V56" s="15" t="s">
        <v>347</v>
      </c>
      <c r="W56" s="36">
        <v>45440.0</v>
      </c>
      <c r="X56" s="37">
        <v>80.85</v>
      </c>
      <c r="Y56" s="27">
        <v>202125.0</v>
      </c>
      <c r="Z56" s="15"/>
      <c r="AA56" s="41"/>
      <c r="AB56" s="21"/>
      <c r="AC56" s="20"/>
    </row>
    <row r="57">
      <c r="A57" s="38"/>
      <c r="B57" s="32"/>
      <c r="C57" s="14">
        <f>I57/E135</f>
        <v>0</v>
      </c>
      <c r="D57" s="42" t="s">
        <v>348</v>
      </c>
      <c r="E57" s="42" t="s">
        <v>349</v>
      </c>
      <c r="F57" s="44">
        <v>6.2</v>
      </c>
      <c r="G57" s="18">
        <v>15000.0</v>
      </c>
      <c r="H57" s="19">
        <f t="shared" si="21"/>
        <v>67500</v>
      </c>
      <c r="I57" s="20">
        <v>0.0</v>
      </c>
      <c r="J57" s="21">
        <v>4.5</v>
      </c>
      <c r="K57" s="22">
        <f>IFERROR(__xludf.DUMMYFUNCTION("GOOGLEFINANCE(E57,""changepct"")"),-2.23)</f>
        <v>-2.23</v>
      </c>
      <c r="L57" s="23">
        <f>IFERROR(__xludf.DUMMYFUNCTION("googlefinance(E57,""price"")"),4.38)</f>
        <v>4.38</v>
      </c>
      <c r="M57" s="21">
        <v>4.94</v>
      </c>
      <c r="N57" s="24">
        <f t="shared" si="23"/>
        <v>-0.12</v>
      </c>
      <c r="O57" s="25">
        <f t="shared" si="26"/>
        <v>0.09777777778</v>
      </c>
      <c r="P57" s="19">
        <f t="shared" si="25"/>
        <v>6600</v>
      </c>
      <c r="Q57" s="34"/>
      <c r="R57" s="29"/>
      <c r="S57" s="35"/>
      <c r="T57" s="27"/>
      <c r="U57" s="15"/>
      <c r="V57" s="15" t="s">
        <v>349</v>
      </c>
      <c r="W57" s="36">
        <v>45449.0</v>
      </c>
      <c r="X57" s="37">
        <v>4.94</v>
      </c>
      <c r="Y57" s="27">
        <v>74100.0</v>
      </c>
      <c r="Z57" s="15"/>
      <c r="AA57" s="41"/>
      <c r="AB57" s="21"/>
      <c r="AC57" s="20"/>
    </row>
    <row r="58">
      <c r="A58" s="48"/>
      <c r="B58" s="6"/>
      <c r="C58" s="6" t="s">
        <v>89</v>
      </c>
      <c r="D58" s="6"/>
      <c r="E58" s="6"/>
      <c r="F58" s="6"/>
      <c r="G58" s="69"/>
      <c r="H58" s="49">
        <f t="shared" ref="H58:I58" si="27">SUM(H51:H57)</f>
        <v>1915510</v>
      </c>
      <c r="I58" s="50">
        <f t="shared" si="27"/>
        <v>756450</v>
      </c>
      <c r="J58" s="8"/>
      <c r="K58" s="8"/>
      <c r="L58" s="8"/>
      <c r="M58" s="10"/>
      <c r="N58" s="10"/>
      <c r="O58" s="51">
        <f>(P58+T58)/H58</f>
        <v>0.04420493759</v>
      </c>
      <c r="P58" s="263">
        <v>78600.0</v>
      </c>
      <c r="Q58" s="6"/>
      <c r="R58" s="49">
        <v>0.0</v>
      </c>
      <c r="S58" s="10"/>
      <c r="T58" s="11">
        <f>SUM(T51:T57)</f>
        <v>6075</v>
      </c>
      <c r="U58" s="6"/>
      <c r="V58" s="6" t="s">
        <v>89</v>
      </c>
      <c r="W58" s="53"/>
      <c r="X58" s="53"/>
      <c r="Y58" s="49">
        <f>SUM(Y51:Y57)</f>
        <v>1215790</v>
      </c>
      <c r="Z58" s="6" t="s">
        <v>89</v>
      </c>
      <c r="AA58" s="53"/>
      <c r="AB58" s="54"/>
      <c r="AC58" s="49">
        <f>SUM(AC51:AC57)</f>
        <v>191100</v>
      </c>
    </row>
    <row r="59">
      <c r="A59" s="55"/>
      <c r="B59" s="5" t="s">
        <v>303</v>
      </c>
      <c r="C59" s="6" t="s">
        <v>2</v>
      </c>
      <c r="D59" s="6" t="s">
        <v>3</v>
      </c>
      <c r="E59" s="6" t="s">
        <v>4</v>
      </c>
      <c r="F59" s="6" t="s">
        <v>5</v>
      </c>
      <c r="G59" s="6" t="s">
        <v>6</v>
      </c>
      <c r="H59" s="6" t="s">
        <v>7</v>
      </c>
      <c r="I59" s="7" t="s">
        <v>8</v>
      </c>
      <c r="J59" s="7" t="s">
        <v>9</v>
      </c>
      <c r="K59" s="8" t="s">
        <v>10</v>
      </c>
      <c r="L59" s="8" t="s">
        <v>11</v>
      </c>
      <c r="M59" s="9" t="s">
        <v>12</v>
      </c>
      <c r="N59" s="10" t="s">
        <v>13</v>
      </c>
      <c r="O59" s="6" t="s">
        <v>14</v>
      </c>
      <c r="P59" s="10" t="s">
        <v>15</v>
      </c>
      <c r="Q59" s="6" t="s">
        <v>16</v>
      </c>
      <c r="R59" s="6" t="s">
        <v>17</v>
      </c>
      <c r="S59" s="9" t="s">
        <v>18</v>
      </c>
      <c r="T59" s="5" t="s">
        <v>19</v>
      </c>
      <c r="U59" s="5" t="s">
        <v>91</v>
      </c>
      <c r="V59" s="6" t="s">
        <v>21</v>
      </c>
      <c r="W59" s="6" t="s">
        <v>22</v>
      </c>
      <c r="X59" s="12" t="s">
        <v>23</v>
      </c>
      <c r="Y59" s="12" t="s">
        <v>24</v>
      </c>
      <c r="Z59" s="6" t="s">
        <v>25</v>
      </c>
      <c r="AA59" s="6" t="s">
        <v>26</v>
      </c>
      <c r="AB59" s="6" t="s">
        <v>27</v>
      </c>
      <c r="AC59" s="6" t="s">
        <v>28</v>
      </c>
    </row>
    <row r="60">
      <c r="A60" s="56" t="s">
        <v>29</v>
      </c>
      <c r="B60" s="57">
        <f>I66/E135</f>
        <v>0.0133939495</v>
      </c>
      <c r="C60" s="14">
        <f>I60/E135</f>
        <v>0.003070136408</v>
      </c>
      <c r="D60" s="16" t="s">
        <v>304</v>
      </c>
      <c r="E60" s="16" t="s">
        <v>305</v>
      </c>
      <c r="F60" s="17">
        <v>7.7</v>
      </c>
      <c r="G60" s="85">
        <v>2000.0</v>
      </c>
      <c r="H60" s="19">
        <f t="shared" ref="H60:H65" si="28">J60*G60</f>
        <v>90740</v>
      </c>
      <c r="I60" s="19">
        <f t="shared" ref="I60:I62" si="29">H60+P60</f>
        <v>67240</v>
      </c>
      <c r="J60" s="21">
        <v>45.37</v>
      </c>
      <c r="K60" s="22">
        <f>IFERROR(__xludf.DUMMYFUNCTION("GOOGLEFINANCE(E60,""changepct"")"),-0.97)</f>
        <v>-0.97</v>
      </c>
      <c r="L60" s="24">
        <f>IFERROR(__xludf.DUMMYFUNCTION("googlefinance(E60,""price"")"),33.62)</f>
        <v>33.62</v>
      </c>
      <c r="M60" s="24"/>
      <c r="N60" s="24">
        <f t="shared" ref="N60:N65" si="30">L60-J60</f>
        <v>-11.75</v>
      </c>
      <c r="O60" s="25">
        <f t="shared" ref="O60:O62" si="31">L60/J60-1</f>
        <v>-0.258981706</v>
      </c>
      <c r="P60" s="19">
        <f t="shared" ref="P60:P65" si="32">H60*O60</f>
        <v>-23500</v>
      </c>
      <c r="Q60" s="34"/>
      <c r="R60" s="29"/>
      <c r="S60" s="24"/>
      <c r="T60" s="29"/>
      <c r="U60" s="16"/>
      <c r="V60" s="16"/>
      <c r="W60" s="94"/>
      <c r="X60" s="24"/>
      <c r="Y60" s="19"/>
      <c r="Z60" s="16"/>
      <c r="AA60" s="32"/>
      <c r="AB60" s="31"/>
      <c r="AC60" s="29"/>
    </row>
    <row r="61">
      <c r="A61" s="38"/>
      <c r="B61" s="32"/>
      <c r="C61" s="14">
        <f>I61/E135</f>
        <v>0.003914149964</v>
      </c>
      <c r="D61" s="264" t="s">
        <v>306</v>
      </c>
      <c r="E61" s="264" t="s">
        <v>307</v>
      </c>
      <c r="F61" s="17">
        <v>7.7</v>
      </c>
      <c r="G61" s="85">
        <v>7500.0</v>
      </c>
      <c r="H61" s="19">
        <f t="shared" si="28"/>
        <v>104850</v>
      </c>
      <c r="I61" s="19">
        <f t="shared" si="29"/>
        <v>85725</v>
      </c>
      <c r="J61" s="21">
        <v>13.98</v>
      </c>
      <c r="K61" s="22">
        <f>IFERROR(__xludf.DUMMYFUNCTION("GOOGLEFINANCE(E61,""changepct"")"),-0.87)</f>
        <v>-0.87</v>
      </c>
      <c r="L61" s="24">
        <f>IFERROR(__xludf.DUMMYFUNCTION("googlefinance(E61,""price"")"),11.43)</f>
        <v>11.43</v>
      </c>
      <c r="M61" s="24"/>
      <c r="N61" s="24">
        <f t="shared" si="30"/>
        <v>-2.55</v>
      </c>
      <c r="O61" s="25">
        <f t="shared" si="31"/>
        <v>-0.1824034335</v>
      </c>
      <c r="P61" s="19">
        <f t="shared" si="32"/>
        <v>-19125</v>
      </c>
      <c r="Q61" s="14"/>
      <c r="R61" s="19"/>
      <c r="S61" s="31"/>
      <c r="T61" s="29"/>
      <c r="U61" s="16"/>
      <c r="V61" s="16"/>
      <c r="W61" s="30"/>
      <c r="X61" s="31"/>
      <c r="Y61" s="29"/>
      <c r="Z61" s="16"/>
      <c r="AA61" s="30"/>
      <c r="AB61" s="31"/>
      <c r="AC61" s="29"/>
    </row>
    <row r="62">
      <c r="A62" s="63"/>
      <c r="B62" s="45"/>
      <c r="C62" s="58">
        <f>I62/E135</f>
        <v>0.006409663131</v>
      </c>
      <c r="D62" s="59" t="s">
        <v>310</v>
      </c>
      <c r="E62" s="59" t="s">
        <v>311</v>
      </c>
      <c r="F62" s="17">
        <v>7.6</v>
      </c>
      <c r="G62" s="60">
        <v>2000.0</v>
      </c>
      <c r="H62" s="19">
        <f t="shared" si="28"/>
        <v>241960</v>
      </c>
      <c r="I62" s="19">
        <f t="shared" si="29"/>
        <v>140380</v>
      </c>
      <c r="J62" s="61">
        <v>120.98</v>
      </c>
      <c r="K62" s="22">
        <f>IFERROR(__xludf.DUMMYFUNCTION("GOOGLEFINANCE(E62,""changepct"")"),-2.69)</f>
        <v>-2.69</v>
      </c>
      <c r="L62" s="24">
        <f>IFERROR(__xludf.DUMMYFUNCTION("googlefinance(E62,""price"")"),70.19)</f>
        <v>70.19</v>
      </c>
      <c r="M62" s="61"/>
      <c r="N62" s="24">
        <f t="shared" si="30"/>
        <v>-50.79</v>
      </c>
      <c r="O62" s="25">
        <f t="shared" si="31"/>
        <v>-0.4198214581</v>
      </c>
      <c r="P62" s="19">
        <f t="shared" si="32"/>
        <v>-101580</v>
      </c>
      <c r="Q62" s="58"/>
      <c r="R62" s="274"/>
      <c r="S62" s="65"/>
      <c r="T62" s="66">
        <v>9100.0</v>
      </c>
      <c r="U62" s="45"/>
      <c r="V62" s="45"/>
      <c r="W62" s="270"/>
      <c r="X62" s="28"/>
      <c r="Y62" s="64"/>
      <c r="Z62" s="42"/>
      <c r="AA62" s="67"/>
      <c r="AB62" s="39"/>
      <c r="AC62" s="68"/>
    </row>
    <row r="63">
      <c r="A63" s="63"/>
      <c r="B63" s="45"/>
      <c r="C63" s="58">
        <f>I63/E135</f>
        <v>0</v>
      </c>
      <c r="D63" s="59" t="s">
        <v>350</v>
      </c>
      <c r="E63" s="59" t="s">
        <v>351</v>
      </c>
      <c r="F63" s="17">
        <v>7.8</v>
      </c>
      <c r="G63" s="60">
        <v>500.0</v>
      </c>
      <c r="H63" s="19">
        <f t="shared" si="28"/>
        <v>84400</v>
      </c>
      <c r="I63" s="20">
        <v>0.0</v>
      </c>
      <c r="J63" s="61">
        <v>168.8</v>
      </c>
      <c r="K63" s="22">
        <f>IFERROR(__xludf.DUMMYFUNCTION("GOOGLEFINANCE(E63,""changepct"")"),-2.5)</f>
        <v>-2.5</v>
      </c>
      <c r="L63" s="24">
        <f>IFERROR(__xludf.DUMMYFUNCTION("googlefinance(E63,""price"")"),178.07)</f>
        <v>178.07</v>
      </c>
      <c r="M63" s="61">
        <v>167.35</v>
      </c>
      <c r="N63" s="24">
        <f t="shared" si="30"/>
        <v>9.27</v>
      </c>
      <c r="O63" s="25">
        <f t="shared" ref="O63:O65" si="33">M63/J63-1</f>
        <v>-0.008590047393</v>
      </c>
      <c r="P63" s="19">
        <f t="shared" si="32"/>
        <v>-725</v>
      </c>
      <c r="Q63" s="58"/>
      <c r="R63" s="274"/>
      <c r="S63" s="65"/>
      <c r="T63" s="66"/>
      <c r="U63" s="45"/>
      <c r="V63" s="42" t="s">
        <v>351</v>
      </c>
      <c r="W63" s="67">
        <v>45384.0</v>
      </c>
      <c r="X63" s="39">
        <v>167.35</v>
      </c>
      <c r="Y63" s="68">
        <v>83675.0</v>
      </c>
      <c r="Z63" s="42"/>
      <c r="AA63" s="67"/>
      <c r="AB63" s="39"/>
      <c r="AC63" s="68"/>
    </row>
    <row r="64">
      <c r="A64" s="63"/>
      <c r="B64" s="45"/>
      <c r="C64" s="58">
        <f>I64/E135</f>
        <v>0</v>
      </c>
      <c r="D64" s="59" t="s">
        <v>350</v>
      </c>
      <c r="E64" s="59" t="s">
        <v>351</v>
      </c>
      <c r="F64" s="17">
        <v>7.8</v>
      </c>
      <c r="G64" s="60">
        <v>1500.0</v>
      </c>
      <c r="H64" s="19">
        <f t="shared" si="28"/>
        <v>253200</v>
      </c>
      <c r="I64" s="20">
        <v>0.0</v>
      </c>
      <c r="J64" s="61">
        <v>168.8</v>
      </c>
      <c r="K64" s="22">
        <f>IFERROR(__xludf.DUMMYFUNCTION("GOOGLEFINANCE(E64,""changepct"")"),-2.5)</f>
        <v>-2.5</v>
      </c>
      <c r="L64" s="24">
        <f>IFERROR(__xludf.DUMMYFUNCTION("googlefinance(E64,""price"")"),178.07)</f>
        <v>178.07</v>
      </c>
      <c r="M64" s="61">
        <v>174.87</v>
      </c>
      <c r="N64" s="24">
        <f t="shared" si="30"/>
        <v>9.27</v>
      </c>
      <c r="O64" s="25">
        <f t="shared" si="33"/>
        <v>0.03595971564</v>
      </c>
      <c r="P64" s="19">
        <f t="shared" si="32"/>
        <v>9105</v>
      </c>
      <c r="Q64" s="58"/>
      <c r="R64" s="274"/>
      <c r="S64" s="65"/>
      <c r="T64" s="66"/>
      <c r="U64" s="45"/>
      <c r="V64" s="42" t="s">
        <v>351</v>
      </c>
      <c r="W64" s="67">
        <v>45400.0</v>
      </c>
      <c r="X64" s="39">
        <v>174.87</v>
      </c>
      <c r="Y64" s="68">
        <v>262305.0</v>
      </c>
      <c r="Z64" s="42"/>
      <c r="AA64" s="67"/>
      <c r="AB64" s="39"/>
      <c r="AC64" s="68"/>
    </row>
    <row r="65">
      <c r="A65" s="63"/>
      <c r="B65" s="45"/>
      <c r="C65" s="58">
        <f>I65/E135</f>
        <v>0</v>
      </c>
      <c r="D65" s="16" t="s">
        <v>352</v>
      </c>
      <c r="E65" s="16" t="s">
        <v>97</v>
      </c>
      <c r="F65" s="17">
        <v>7.7</v>
      </c>
      <c r="G65" s="60">
        <v>10000.0</v>
      </c>
      <c r="H65" s="19">
        <f t="shared" si="28"/>
        <v>343800</v>
      </c>
      <c r="I65" s="20">
        <v>0.0</v>
      </c>
      <c r="J65" s="61">
        <v>34.38</v>
      </c>
      <c r="K65" s="22">
        <f>IFERROR(__xludf.DUMMYFUNCTION("GOOGLEFINANCE(E65,""changepct"")"),1.49)</f>
        <v>1.49</v>
      </c>
      <c r="L65" s="24">
        <f>IFERROR(__xludf.DUMMYFUNCTION("googlefinance(E65,""price"")"),22.42)</f>
        <v>22.42</v>
      </c>
      <c r="M65" s="61">
        <v>34.38</v>
      </c>
      <c r="N65" s="24">
        <f t="shared" si="30"/>
        <v>-11.96</v>
      </c>
      <c r="O65" s="25">
        <f t="shared" si="33"/>
        <v>0</v>
      </c>
      <c r="P65" s="19">
        <f t="shared" si="32"/>
        <v>0</v>
      </c>
      <c r="Q65" s="62">
        <v>0.03</v>
      </c>
      <c r="R65" s="274"/>
      <c r="S65" s="65"/>
      <c r="T65" s="66"/>
      <c r="U65" s="45"/>
      <c r="V65" s="42" t="s">
        <v>97</v>
      </c>
      <c r="W65" s="67">
        <v>45393.0</v>
      </c>
      <c r="X65" s="39">
        <v>34.38</v>
      </c>
      <c r="Y65" s="68">
        <v>343800.0</v>
      </c>
      <c r="Z65" s="42"/>
      <c r="AA65" s="67"/>
      <c r="AB65" s="39"/>
      <c r="AC65" s="68"/>
    </row>
    <row r="66">
      <c r="A66" s="48"/>
      <c r="B66" s="6"/>
      <c r="C66" s="6" t="s">
        <v>89</v>
      </c>
      <c r="D66" s="6"/>
      <c r="E66" s="6"/>
      <c r="F66" s="6"/>
      <c r="G66" s="69"/>
      <c r="H66" s="49">
        <f t="shared" ref="H66:I66" si="34">SUM(H60:H65)</f>
        <v>1118950</v>
      </c>
      <c r="I66" s="50">
        <f t="shared" si="34"/>
        <v>293345</v>
      </c>
      <c r="J66" s="8"/>
      <c r="K66" s="8"/>
      <c r="L66" s="8"/>
      <c r="M66" s="10"/>
      <c r="N66" s="10"/>
      <c r="O66" s="51">
        <f>P66/H66</f>
        <v>-0.04417534296</v>
      </c>
      <c r="P66" s="263">
        <v>-49430.0</v>
      </c>
      <c r="Q66" s="6"/>
      <c r="R66" s="49">
        <f>SUM(R60:R61)</f>
        <v>0</v>
      </c>
      <c r="S66" s="10"/>
      <c r="T66" s="11">
        <f>SUM(T60:T65)</f>
        <v>9100</v>
      </c>
      <c r="U66" s="6"/>
      <c r="V66" s="6" t="s">
        <v>89</v>
      </c>
      <c r="W66" s="53"/>
      <c r="X66" s="54"/>
      <c r="Y66" s="49">
        <f>SUM(Y60:Y65)</f>
        <v>689780</v>
      </c>
      <c r="Z66" s="6" t="s">
        <v>89</v>
      </c>
      <c r="AA66" s="53"/>
      <c r="AB66" s="54"/>
      <c r="AC66" s="49">
        <f>SUM(AC60:AC65)</f>
        <v>0</v>
      </c>
    </row>
    <row r="67">
      <c r="A67" s="55"/>
      <c r="B67" s="5" t="s">
        <v>320</v>
      </c>
      <c r="C67" s="6" t="s">
        <v>2</v>
      </c>
      <c r="D67" s="6" t="s">
        <v>3</v>
      </c>
      <c r="E67" s="6" t="s">
        <v>4</v>
      </c>
      <c r="F67" s="6" t="s">
        <v>5</v>
      </c>
      <c r="G67" s="6" t="s">
        <v>6</v>
      </c>
      <c r="H67" s="6" t="s">
        <v>7</v>
      </c>
      <c r="I67" s="7" t="s">
        <v>8</v>
      </c>
      <c r="J67" s="7" t="s">
        <v>9</v>
      </c>
      <c r="K67" s="8" t="s">
        <v>10</v>
      </c>
      <c r="L67" s="8" t="s">
        <v>11</v>
      </c>
      <c r="M67" s="9" t="s">
        <v>12</v>
      </c>
      <c r="N67" s="10" t="s">
        <v>13</v>
      </c>
      <c r="O67" s="6" t="s">
        <v>14</v>
      </c>
      <c r="P67" s="10" t="s">
        <v>15</v>
      </c>
      <c r="Q67" s="6" t="s">
        <v>16</v>
      </c>
      <c r="R67" s="6" t="s">
        <v>17</v>
      </c>
      <c r="S67" s="9" t="s">
        <v>18</v>
      </c>
      <c r="T67" s="5" t="s">
        <v>19</v>
      </c>
      <c r="U67" s="5" t="s">
        <v>91</v>
      </c>
      <c r="V67" s="6" t="s">
        <v>21</v>
      </c>
      <c r="W67" s="6" t="s">
        <v>22</v>
      </c>
      <c r="X67" s="12" t="s">
        <v>23</v>
      </c>
      <c r="Y67" s="12" t="s">
        <v>24</v>
      </c>
      <c r="Z67" s="6" t="s">
        <v>25</v>
      </c>
      <c r="AA67" s="6" t="s">
        <v>26</v>
      </c>
      <c r="AB67" s="6" t="s">
        <v>27</v>
      </c>
      <c r="AC67" s="6" t="s">
        <v>28</v>
      </c>
    </row>
    <row r="68">
      <c r="A68" s="82" t="s">
        <v>29</v>
      </c>
      <c r="B68" s="83">
        <f>I77/E135</f>
        <v>0.1062448008</v>
      </c>
      <c r="C68" s="14">
        <f>I68/E135</f>
        <v>0.0352033785</v>
      </c>
      <c r="D68" s="76" t="s">
        <v>126</v>
      </c>
      <c r="E68" s="15" t="s">
        <v>127</v>
      </c>
      <c r="F68" s="17">
        <v>7.8</v>
      </c>
      <c r="G68" s="18">
        <v>150000.0</v>
      </c>
      <c r="H68" s="19">
        <f t="shared" ref="H68:H76" si="35">G68*J68</f>
        <v>646500</v>
      </c>
      <c r="I68" s="19">
        <f t="shared" ref="I68:I76" si="36">H68+P68</f>
        <v>771000</v>
      </c>
      <c r="J68" s="21">
        <v>4.31</v>
      </c>
      <c r="K68" s="22">
        <f>IFERROR(__xludf.DUMMYFUNCTION("GOOGLEFINANCE(E68,""changepct"")"),0.19)</f>
        <v>0.19</v>
      </c>
      <c r="L68" s="24">
        <f>IFERROR(__xludf.DUMMYFUNCTION("googlefinance(E68,""price"")"),5.14)</f>
        <v>5.14</v>
      </c>
      <c r="M68" s="21"/>
      <c r="N68" s="24">
        <f t="shared" ref="N68:N76" si="37">L68-J68</f>
        <v>0.83</v>
      </c>
      <c r="O68" s="25">
        <f t="shared" ref="O68:O76" si="38">L68/J68-1</f>
        <v>0.192575406</v>
      </c>
      <c r="P68" s="84">
        <f t="shared" ref="P68:P76" si="39">H68*O68</f>
        <v>124500</v>
      </c>
      <c r="Q68" s="32"/>
      <c r="R68" s="29"/>
      <c r="S68" s="21"/>
      <c r="T68" s="27"/>
      <c r="U68" s="27"/>
      <c r="V68" s="15"/>
      <c r="W68" s="41"/>
      <c r="X68" s="21"/>
      <c r="Y68" s="20"/>
      <c r="Z68" s="15"/>
      <c r="AA68" s="36"/>
      <c r="AB68" s="37"/>
      <c r="AC68" s="27"/>
    </row>
    <row r="69">
      <c r="A69" s="38"/>
      <c r="B69" s="32"/>
      <c r="C69" s="14">
        <f>I69/E135</f>
        <v>0.0117344595</v>
      </c>
      <c r="D69" s="76" t="s">
        <v>126</v>
      </c>
      <c r="E69" s="15" t="s">
        <v>127</v>
      </c>
      <c r="F69" s="17">
        <v>7.8</v>
      </c>
      <c r="G69" s="18">
        <v>50000.0</v>
      </c>
      <c r="H69" s="19">
        <f t="shared" si="35"/>
        <v>193500</v>
      </c>
      <c r="I69" s="19">
        <f t="shared" si="36"/>
        <v>257000</v>
      </c>
      <c r="J69" s="21">
        <v>3.87</v>
      </c>
      <c r="K69" s="22">
        <f>IFERROR(__xludf.DUMMYFUNCTION("GOOGLEFINANCE(E69,""changepct"")"),0.19)</f>
        <v>0.19</v>
      </c>
      <c r="L69" s="24">
        <f>IFERROR(__xludf.DUMMYFUNCTION("googlefinance(E69,""price"")"),5.14)</f>
        <v>5.14</v>
      </c>
      <c r="M69" s="21"/>
      <c r="N69" s="24">
        <f t="shared" si="37"/>
        <v>1.27</v>
      </c>
      <c r="O69" s="25">
        <f t="shared" si="38"/>
        <v>0.3281653747</v>
      </c>
      <c r="P69" s="84">
        <f t="shared" si="39"/>
        <v>63500</v>
      </c>
      <c r="Q69" s="47"/>
      <c r="R69" s="20"/>
      <c r="S69" s="37"/>
      <c r="T69" s="27"/>
      <c r="U69" s="29"/>
      <c r="V69" s="15"/>
      <c r="W69" s="36"/>
      <c r="X69" s="37"/>
      <c r="Y69" s="27"/>
      <c r="Z69" s="15" t="s">
        <v>127</v>
      </c>
      <c r="AA69" s="41">
        <v>45399.0</v>
      </c>
      <c r="AB69" s="21">
        <v>3.87</v>
      </c>
      <c r="AC69" s="20">
        <v>193500.0</v>
      </c>
    </row>
    <row r="70">
      <c r="A70" s="38"/>
      <c r="B70" s="32"/>
      <c r="C70" s="14">
        <f>I70/E135</f>
        <v>0.00586722975</v>
      </c>
      <c r="D70" s="76" t="s">
        <v>126</v>
      </c>
      <c r="E70" s="15" t="s">
        <v>127</v>
      </c>
      <c r="F70" s="17">
        <v>7.8</v>
      </c>
      <c r="G70" s="18">
        <v>25000.0</v>
      </c>
      <c r="H70" s="19">
        <f t="shared" si="35"/>
        <v>84250</v>
      </c>
      <c r="I70" s="19">
        <f t="shared" si="36"/>
        <v>128500</v>
      </c>
      <c r="J70" s="21">
        <v>3.37</v>
      </c>
      <c r="K70" s="22">
        <f>IFERROR(__xludf.DUMMYFUNCTION("GOOGLEFINANCE(E70,""changepct"")"),0.19)</f>
        <v>0.19</v>
      </c>
      <c r="L70" s="24">
        <f>IFERROR(__xludf.DUMMYFUNCTION("googlefinance(E70,""price"")"),5.14)</f>
        <v>5.14</v>
      </c>
      <c r="M70" s="21"/>
      <c r="N70" s="24">
        <f t="shared" si="37"/>
        <v>1.77</v>
      </c>
      <c r="O70" s="25">
        <f t="shared" si="38"/>
        <v>0.5252225519</v>
      </c>
      <c r="P70" s="84">
        <f t="shared" si="39"/>
        <v>44250</v>
      </c>
      <c r="Q70" s="47"/>
      <c r="R70" s="20"/>
      <c r="S70" s="37"/>
      <c r="T70" s="27"/>
      <c r="U70" s="29"/>
      <c r="V70" s="15"/>
      <c r="W70" s="36"/>
      <c r="X70" s="37"/>
      <c r="Y70" s="27"/>
      <c r="Z70" s="15" t="s">
        <v>127</v>
      </c>
      <c r="AA70" s="41">
        <v>45460.0</v>
      </c>
      <c r="AB70" s="21">
        <v>3.37</v>
      </c>
      <c r="AC70" s="20">
        <v>84250.0</v>
      </c>
    </row>
    <row r="71">
      <c r="A71" s="38"/>
      <c r="B71" s="32"/>
      <c r="C71" s="14">
        <f>I71/E135</f>
        <v>0.01027335948</v>
      </c>
      <c r="D71" s="76" t="s">
        <v>143</v>
      </c>
      <c r="E71" s="15" t="s">
        <v>144</v>
      </c>
      <c r="F71" s="17">
        <v>7.6</v>
      </c>
      <c r="G71" s="18">
        <v>75000.0</v>
      </c>
      <c r="H71" s="19">
        <f t="shared" si="35"/>
        <v>504000</v>
      </c>
      <c r="I71" s="19">
        <f t="shared" si="36"/>
        <v>225000</v>
      </c>
      <c r="J71" s="21">
        <v>6.72</v>
      </c>
      <c r="K71" s="22">
        <f>IFERROR(__xludf.DUMMYFUNCTION("GOOGLEFINANCE(E71,""changepct"")"),-2.91)</f>
        <v>-2.91</v>
      </c>
      <c r="L71" s="24">
        <f>IFERROR(__xludf.DUMMYFUNCTION("googlefinance(E71,""price"")"),3.0)</f>
        <v>3</v>
      </c>
      <c r="M71" s="21"/>
      <c r="N71" s="24">
        <f t="shared" si="37"/>
        <v>-3.72</v>
      </c>
      <c r="O71" s="25">
        <f t="shared" si="38"/>
        <v>-0.5535714286</v>
      </c>
      <c r="P71" s="84">
        <f t="shared" si="39"/>
        <v>-279000</v>
      </c>
      <c r="Q71" s="47"/>
      <c r="R71" s="20"/>
      <c r="S71" s="37"/>
      <c r="T71" s="27">
        <v>2050.0</v>
      </c>
      <c r="U71" s="29"/>
      <c r="V71" s="15"/>
      <c r="W71" s="36"/>
      <c r="X71" s="37"/>
      <c r="Y71" s="27"/>
      <c r="Z71" s="15"/>
      <c r="AA71" s="41"/>
      <c r="AB71" s="21"/>
      <c r="AC71" s="20"/>
    </row>
    <row r="72">
      <c r="A72" s="38"/>
      <c r="B72" s="32"/>
      <c r="C72" s="14">
        <f>I72/E135</f>
        <v>0.003424453162</v>
      </c>
      <c r="D72" s="76" t="s">
        <v>143</v>
      </c>
      <c r="E72" s="15" t="s">
        <v>144</v>
      </c>
      <c r="F72" s="17">
        <v>7.6</v>
      </c>
      <c r="G72" s="18">
        <v>25000.0</v>
      </c>
      <c r="H72" s="19">
        <f t="shared" si="35"/>
        <v>85500</v>
      </c>
      <c r="I72" s="19">
        <f t="shared" si="36"/>
        <v>75000</v>
      </c>
      <c r="J72" s="21">
        <v>3.42</v>
      </c>
      <c r="K72" s="22">
        <f>IFERROR(__xludf.DUMMYFUNCTION("GOOGLEFINANCE(E72,""changepct"")"),-2.91)</f>
        <v>-2.91</v>
      </c>
      <c r="L72" s="24">
        <f>IFERROR(__xludf.DUMMYFUNCTION("googlefinance(E72,""price"")"),3.0)</f>
        <v>3</v>
      </c>
      <c r="M72" s="21"/>
      <c r="N72" s="24">
        <f t="shared" si="37"/>
        <v>-0.42</v>
      </c>
      <c r="O72" s="25">
        <f t="shared" si="38"/>
        <v>-0.1228070175</v>
      </c>
      <c r="P72" s="84">
        <f t="shared" si="39"/>
        <v>-10500</v>
      </c>
      <c r="Q72" s="47"/>
      <c r="R72" s="20"/>
      <c r="S72" s="37"/>
      <c r="T72" s="27"/>
      <c r="U72" s="29"/>
      <c r="V72" s="15"/>
      <c r="W72" s="36"/>
      <c r="X72" s="37"/>
      <c r="Y72" s="27"/>
      <c r="Z72" s="15" t="s">
        <v>144</v>
      </c>
      <c r="AA72" s="41">
        <v>45442.0</v>
      </c>
      <c r="AB72" s="21">
        <v>3.42</v>
      </c>
      <c r="AC72" s="20">
        <v>85500.0</v>
      </c>
    </row>
    <row r="73">
      <c r="A73" s="38"/>
      <c r="B73" s="32"/>
      <c r="C73" s="14">
        <f>I73/E135</f>
        <v>0.003424453162</v>
      </c>
      <c r="D73" s="76" t="s">
        <v>143</v>
      </c>
      <c r="E73" s="15" t="s">
        <v>144</v>
      </c>
      <c r="F73" s="17">
        <v>7.6</v>
      </c>
      <c r="G73" s="18">
        <v>25000.0</v>
      </c>
      <c r="H73" s="19">
        <f t="shared" si="35"/>
        <v>70000</v>
      </c>
      <c r="I73" s="19">
        <f t="shared" si="36"/>
        <v>75000</v>
      </c>
      <c r="J73" s="21">
        <v>2.8</v>
      </c>
      <c r="K73" s="22">
        <f>IFERROR(__xludf.DUMMYFUNCTION("GOOGLEFINANCE(E73,""changepct"")"),-2.91)</f>
        <v>-2.91</v>
      </c>
      <c r="L73" s="24">
        <f>IFERROR(__xludf.DUMMYFUNCTION("googlefinance(E73,""price"")"),3.0)</f>
        <v>3</v>
      </c>
      <c r="M73" s="21"/>
      <c r="N73" s="24">
        <f t="shared" si="37"/>
        <v>0.2</v>
      </c>
      <c r="O73" s="25">
        <f t="shared" si="38"/>
        <v>0.07142857143</v>
      </c>
      <c r="P73" s="84">
        <f t="shared" si="39"/>
        <v>5000</v>
      </c>
      <c r="Q73" s="47"/>
      <c r="R73" s="20"/>
      <c r="S73" s="37"/>
      <c r="T73" s="27"/>
      <c r="U73" s="29"/>
      <c r="V73" s="15"/>
      <c r="W73" s="36"/>
      <c r="X73" s="37"/>
      <c r="Y73" s="27"/>
      <c r="Z73" s="15" t="s">
        <v>144</v>
      </c>
      <c r="AA73" s="41">
        <v>45460.0</v>
      </c>
      <c r="AB73" s="21">
        <v>2.8</v>
      </c>
      <c r="AC73" s="20">
        <v>70000.0</v>
      </c>
    </row>
    <row r="74">
      <c r="A74" s="38"/>
      <c r="B74" s="32"/>
      <c r="C74" s="14">
        <f>I74/E135</f>
        <v>0.01665197424</v>
      </c>
      <c r="D74" s="76" t="s">
        <v>145</v>
      </c>
      <c r="E74" s="15" t="s">
        <v>146</v>
      </c>
      <c r="F74" s="17">
        <v>7.7</v>
      </c>
      <c r="G74" s="18">
        <v>10000.0</v>
      </c>
      <c r="H74" s="19">
        <f t="shared" si="35"/>
        <v>491600</v>
      </c>
      <c r="I74" s="19">
        <f t="shared" si="36"/>
        <v>364700</v>
      </c>
      <c r="J74" s="21">
        <v>49.16</v>
      </c>
      <c r="K74" s="22">
        <f>IFERROR(__xludf.DUMMYFUNCTION("GOOGLEFINANCE(E74,""changepct"")"),-2.33)</f>
        <v>-2.33</v>
      </c>
      <c r="L74" s="24">
        <f>IFERROR(__xludf.DUMMYFUNCTION("googlefinance(E74,""price"")"),36.47)</f>
        <v>36.47</v>
      </c>
      <c r="M74" s="21"/>
      <c r="N74" s="24">
        <f t="shared" si="37"/>
        <v>-12.69</v>
      </c>
      <c r="O74" s="25">
        <f t="shared" si="38"/>
        <v>-0.2581366965</v>
      </c>
      <c r="P74" s="84">
        <f t="shared" si="39"/>
        <v>-126900</v>
      </c>
      <c r="Q74" s="47">
        <v>0.0555</v>
      </c>
      <c r="R74" s="20">
        <v>2200.0</v>
      </c>
      <c r="S74" s="37"/>
      <c r="T74" s="27"/>
      <c r="U74" s="29"/>
      <c r="V74" s="15"/>
      <c r="W74" s="36"/>
      <c r="X74" s="37"/>
      <c r="Y74" s="27"/>
      <c r="Z74" s="15"/>
      <c r="AA74" s="41"/>
      <c r="AB74" s="21"/>
      <c r="AC74" s="20"/>
    </row>
    <row r="75">
      <c r="A75" s="38"/>
      <c r="B75" s="32"/>
      <c r="C75" s="14">
        <f>I75/E135</f>
        <v>0.003933098605</v>
      </c>
      <c r="D75" s="76" t="s">
        <v>147</v>
      </c>
      <c r="E75" s="15" t="s">
        <v>148</v>
      </c>
      <c r="F75" s="17">
        <v>7.8</v>
      </c>
      <c r="G75" s="18">
        <v>1000.0</v>
      </c>
      <c r="H75" s="19">
        <f t="shared" si="35"/>
        <v>100390</v>
      </c>
      <c r="I75" s="19">
        <f t="shared" si="36"/>
        <v>86140</v>
      </c>
      <c r="J75" s="21">
        <v>100.39</v>
      </c>
      <c r="K75" s="22">
        <f>IFERROR(__xludf.DUMMYFUNCTION("GOOGLEFINANCE(E75,""changepct"")"),-2.44)</f>
        <v>-2.44</v>
      </c>
      <c r="L75" s="24">
        <f>IFERROR(__xludf.DUMMYFUNCTION("googlefinance(E75,""price"")"),86.14)</f>
        <v>86.14</v>
      </c>
      <c r="M75" s="21"/>
      <c r="N75" s="24">
        <f t="shared" si="37"/>
        <v>-14.25</v>
      </c>
      <c r="O75" s="25">
        <f t="shared" si="38"/>
        <v>-0.141946409</v>
      </c>
      <c r="P75" s="84">
        <f t="shared" si="39"/>
        <v>-14250</v>
      </c>
      <c r="Q75" s="47">
        <v>0.015</v>
      </c>
      <c r="R75" s="20">
        <v>400.0</v>
      </c>
      <c r="S75" s="37"/>
      <c r="T75" s="27"/>
      <c r="U75" s="29"/>
      <c r="V75" s="15"/>
      <c r="W75" s="36"/>
      <c r="X75" s="37"/>
      <c r="Y75" s="27"/>
      <c r="Z75" s="15" t="s">
        <v>148</v>
      </c>
      <c r="AA75" s="41">
        <v>45460.0</v>
      </c>
      <c r="AB75" s="21">
        <v>100.39</v>
      </c>
      <c r="AC75" s="20">
        <v>100390.0</v>
      </c>
    </row>
    <row r="76">
      <c r="A76" s="38"/>
      <c r="B76" s="32"/>
      <c r="C76" s="14">
        <f>I76/E135</f>
        <v>0.01573239442</v>
      </c>
      <c r="D76" s="76" t="s">
        <v>147</v>
      </c>
      <c r="E76" s="15" t="s">
        <v>148</v>
      </c>
      <c r="F76" s="17">
        <v>7.8</v>
      </c>
      <c r="G76" s="18">
        <v>4000.0</v>
      </c>
      <c r="H76" s="19">
        <f t="shared" si="35"/>
        <v>526960</v>
      </c>
      <c r="I76" s="19">
        <f t="shared" si="36"/>
        <v>344560</v>
      </c>
      <c r="J76" s="21">
        <v>131.74</v>
      </c>
      <c r="K76" s="22">
        <f>IFERROR(__xludf.DUMMYFUNCTION("GOOGLEFINANCE(E76,""changepct"")"),-2.44)</f>
        <v>-2.44</v>
      </c>
      <c r="L76" s="24">
        <f>IFERROR(__xludf.DUMMYFUNCTION("googlefinance(E76,""price"")"),86.14)</f>
        <v>86.14</v>
      </c>
      <c r="M76" s="21"/>
      <c r="N76" s="24">
        <f t="shared" si="37"/>
        <v>-45.6</v>
      </c>
      <c r="O76" s="25">
        <f t="shared" si="38"/>
        <v>-0.3461363291</v>
      </c>
      <c r="P76" s="84">
        <f t="shared" si="39"/>
        <v>-182400</v>
      </c>
      <c r="Q76" s="47">
        <v>0.015</v>
      </c>
      <c r="R76" s="20">
        <v>1600.0</v>
      </c>
      <c r="S76" s="37"/>
      <c r="T76" s="27">
        <v>780.0</v>
      </c>
      <c r="U76" s="29"/>
      <c r="V76" s="15"/>
      <c r="W76" s="36"/>
      <c r="X76" s="37"/>
      <c r="Y76" s="27"/>
      <c r="Z76" s="15"/>
      <c r="AA76" s="41"/>
      <c r="AB76" s="21"/>
      <c r="AC76" s="20"/>
    </row>
    <row r="77">
      <c r="A77" s="48"/>
      <c r="B77" s="6"/>
      <c r="C77" s="6" t="s">
        <v>89</v>
      </c>
      <c r="D77" s="6"/>
      <c r="E77" s="6"/>
      <c r="F77" s="6"/>
      <c r="G77" s="69"/>
      <c r="H77" s="49">
        <f t="shared" ref="H77:I77" si="40">SUM(H68:H76)</f>
        <v>2702700</v>
      </c>
      <c r="I77" s="50">
        <f t="shared" si="40"/>
        <v>2326900</v>
      </c>
      <c r="J77" s="8"/>
      <c r="K77" s="8"/>
      <c r="L77" s="8"/>
      <c r="M77" s="10"/>
      <c r="N77" s="10"/>
      <c r="O77" s="51">
        <f>(P77+T77+U77+R77)/H77</f>
        <v>-0.2662411662</v>
      </c>
      <c r="P77" s="263">
        <v>-726600.0</v>
      </c>
      <c r="Q77" s="6"/>
      <c r="R77" s="49">
        <f>SUM(R68:R76)</f>
        <v>4200</v>
      </c>
      <c r="S77" s="10"/>
      <c r="T77" s="11">
        <f t="shared" ref="T77:U77" si="41">SUM(T68:T76)</f>
        <v>2830</v>
      </c>
      <c r="U77" s="11">
        <f t="shared" si="41"/>
        <v>0</v>
      </c>
      <c r="V77" s="6" t="s">
        <v>89</v>
      </c>
      <c r="W77" s="53"/>
      <c r="X77" s="54"/>
      <c r="Y77" s="49">
        <f>SUM(Y68:Y76)</f>
        <v>0</v>
      </c>
      <c r="Z77" s="6" t="s">
        <v>89</v>
      </c>
      <c r="AA77" s="53"/>
      <c r="AB77" s="54"/>
      <c r="AC77" s="49">
        <f>SUM(AC68:AC76)</f>
        <v>533640</v>
      </c>
    </row>
    <row r="78">
      <c r="A78" s="48"/>
      <c r="B78" s="5" t="s">
        <v>353</v>
      </c>
      <c r="C78" s="6" t="s">
        <v>2</v>
      </c>
      <c r="D78" s="5" t="s">
        <v>3</v>
      </c>
      <c r="E78" s="6" t="s">
        <v>4</v>
      </c>
      <c r="F78" s="6" t="s">
        <v>5</v>
      </c>
      <c r="G78" s="6" t="s">
        <v>6</v>
      </c>
      <c r="H78" s="6" t="s">
        <v>7</v>
      </c>
      <c r="I78" s="7" t="s">
        <v>8</v>
      </c>
      <c r="J78" s="7" t="s">
        <v>9</v>
      </c>
      <c r="K78" s="8" t="s">
        <v>10</v>
      </c>
      <c r="L78" s="8" t="s">
        <v>11</v>
      </c>
      <c r="M78" s="9" t="s">
        <v>12</v>
      </c>
      <c r="N78" s="10" t="s">
        <v>13</v>
      </c>
      <c r="O78" s="6" t="s">
        <v>14</v>
      </c>
      <c r="P78" s="10" t="s">
        <v>15</v>
      </c>
      <c r="Q78" s="6" t="s">
        <v>16</v>
      </c>
      <c r="R78" s="6" t="s">
        <v>17</v>
      </c>
      <c r="S78" s="9" t="s">
        <v>18</v>
      </c>
      <c r="T78" s="5" t="s">
        <v>19</v>
      </c>
      <c r="U78" s="5" t="s">
        <v>91</v>
      </c>
      <c r="V78" s="6" t="s">
        <v>21</v>
      </c>
      <c r="W78" s="6" t="s">
        <v>22</v>
      </c>
      <c r="X78" s="12" t="s">
        <v>23</v>
      </c>
      <c r="Y78" s="12" t="s">
        <v>24</v>
      </c>
      <c r="Z78" s="6" t="s">
        <v>25</v>
      </c>
      <c r="AA78" s="6" t="s">
        <v>26</v>
      </c>
      <c r="AB78" s="6" t="s">
        <v>27</v>
      </c>
      <c r="AC78" s="6" t="s">
        <v>28</v>
      </c>
    </row>
    <row r="79">
      <c r="A79" s="56" t="s">
        <v>29</v>
      </c>
      <c r="B79" s="265">
        <f>I82/E135</f>
        <v>0</v>
      </c>
      <c r="C79" s="58">
        <f>I79/E135</f>
        <v>0</v>
      </c>
      <c r="D79" s="15" t="s">
        <v>354</v>
      </c>
      <c r="E79" s="15" t="s">
        <v>355</v>
      </c>
      <c r="F79" s="17">
        <v>7.8</v>
      </c>
      <c r="G79" s="18">
        <v>1000.0</v>
      </c>
      <c r="H79" s="72">
        <f t="shared" ref="H79:H81" si="42">G79*J79</f>
        <v>192990</v>
      </c>
      <c r="I79" s="79">
        <v>0.0</v>
      </c>
      <c r="J79" s="74">
        <v>192.99</v>
      </c>
      <c r="K79" s="266">
        <f>IFERROR(__xludf.DUMMYFUNCTION("GOOGLEFINANCE(E79,""changepct"")"),-2.31)</f>
        <v>-2.31</v>
      </c>
      <c r="L79" s="75">
        <f>IFERROR(__xludf.DUMMYFUNCTION("googlefinance(E79,""price"")"),176.55)</f>
        <v>176.55</v>
      </c>
      <c r="M79" s="61">
        <v>173.0</v>
      </c>
      <c r="N79" s="75">
        <f t="shared" ref="N79:N81" si="43">L79-J79</f>
        <v>-16.44</v>
      </c>
      <c r="O79" s="267">
        <f t="shared" ref="O79:O81" si="44">M79/J79-1</f>
        <v>-0.1035804964</v>
      </c>
      <c r="P79" s="73">
        <f t="shared" ref="P79:P81" si="45">H79*O79</f>
        <v>-19990</v>
      </c>
      <c r="Q79" s="58"/>
      <c r="R79" s="72"/>
      <c r="S79" s="268"/>
      <c r="T79" s="269"/>
      <c r="U79" s="270"/>
      <c r="V79" s="42" t="s">
        <v>355</v>
      </c>
      <c r="W79" s="67">
        <v>45414.0</v>
      </c>
      <c r="X79" s="39">
        <v>173.0</v>
      </c>
      <c r="Y79" s="66">
        <v>173000.0</v>
      </c>
      <c r="Z79" s="42"/>
      <c r="AA79" s="67"/>
      <c r="AB79" s="39"/>
      <c r="AC79" s="66"/>
    </row>
    <row r="80">
      <c r="A80" s="63"/>
      <c r="B80" s="45"/>
      <c r="C80" s="58">
        <f>I80/E135</f>
        <v>0</v>
      </c>
      <c r="D80" s="15" t="s">
        <v>354</v>
      </c>
      <c r="E80" s="15" t="s">
        <v>355</v>
      </c>
      <c r="F80" s="17">
        <v>7.8</v>
      </c>
      <c r="G80" s="18">
        <v>1000.0</v>
      </c>
      <c r="H80" s="72">
        <f t="shared" si="42"/>
        <v>192990</v>
      </c>
      <c r="I80" s="79">
        <v>0.0</v>
      </c>
      <c r="J80" s="74">
        <v>192.99</v>
      </c>
      <c r="K80" s="266">
        <f>IFERROR(__xludf.DUMMYFUNCTION("GOOGLEFINANCE(E80,""changepct"")"),-2.31)</f>
        <v>-2.31</v>
      </c>
      <c r="L80" s="75">
        <f>IFERROR(__xludf.DUMMYFUNCTION("googlefinance(E80,""price"")"),176.55)</f>
        <v>176.55</v>
      </c>
      <c r="M80" s="61">
        <v>170.92</v>
      </c>
      <c r="N80" s="75">
        <f t="shared" si="43"/>
        <v>-16.44</v>
      </c>
      <c r="O80" s="267">
        <f t="shared" si="44"/>
        <v>-0.1143582569</v>
      </c>
      <c r="P80" s="73">
        <f t="shared" si="45"/>
        <v>-22070</v>
      </c>
      <c r="Q80" s="62"/>
      <c r="R80" s="66"/>
      <c r="S80" s="271"/>
      <c r="T80" s="269"/>
      <c r="U80" s="270"/>
      <c r="V80" s="42" t="s">
        <v>355</v>
      </c>
      <c r="W80" s="272">
        <v>45405.0</v>
      </c>
      <c r="X80" s="39">
        <v>170.92</v>
      </c>
      <c r="Y80" s="66">
        <v>170920.0</v>
      </c>
      <c r="Z80" s="42"/>
      <c r="AA80" s="67"/>
      <c r="AB80" s="39"/>
      <c r="AC80" s="66"/>
    </row>
    <row r="81">
      <c r="A81" s="63"/>
      <c r="B81" s="45"/>
      <c r="C81" s="58">
        <f>I81/E135</f>
        <v>0</v>
      </c>
      <c r="D81" s="15" t="s">
        <v>356</v>
      </c>
      <c r="E81" s="15" t="s">
        <v>122</v>
      </c>
      <c r="F81" s="17">
        <v>7.8</v>
      </c>
      <c r="G81" s="18">
        <v>1000.0</v>
      </c>
      <c r="H81" s="72">
        <f t="shared" si="42"/>
        <v>213100</v>
      </c>
      <c r="I81" s="79">
        <v>0.0</v>
      </c>
      <c r="J81" s="74">
        <v>213.1</v>
      </c>
      <c r="K81" s="266">
        <f>IFERROR(__xludf.DUMMYFUNCTION("GOOGLEFINANCE(E81,""changepct"")"),-1.62)</f>
        <v>-1.62</v>
      </c>
      <c r="L81" s="75">
        <f>IFERROR(__xludf.DUMMYFUNCTION("googlefinance(E81,""price"")"),208.94)</f>
        <v>208.94</v>
      </c>
      <c r="M81" s="61">
        <v>209.87</v>
      </c>
      <c r="N81" s="75">
        <f t="shared" si="43"/>
        <v>-4.16</v>
      </c>
      <c r="O81" s="267">
        <f t="shared" si="44"/>
        <v>-0.01515720319</v>
      </c>
      <c r="P81" s="73">
        <f t="shared" si="45"/>
        <v>-3230</v>
      </c>
      <c r="Q81" s="62"/>
      <c r="R81" s="66"/>
      <c r="S81" s="271"/>
      <c r="T81" s="269"/>
      <c r="U81" s="270"/>
      <c r="V81" s="42" t="s">
        <v>122</v>
      </c>
      <c r="W81" s="272">
        <v>45405.0</v>
      </c>
      <c r="X81" s="39">
        <v>209.87</v>
      </c>
      <c r="Y81" s="66">
        <v>209870.0</v>
      </c>
      <c r="Z81" s="42"/>
      <c r="AA81" s="67"/>
      <c r="AB81" s="39"/>
      <c r="AC81" s="66"/>
    </row>
    <row r="82">
      <c r="A82" s="48"/>
      <c r="B82" s="6"/>
      <c r="C82" s="5" t="s">
        <v>89</v>
      </c>
      <c r="D82" s="6"/>
      <c r="E82" s="6"/>
      <c r="F82" s="6"/>
      <c r="G82" s="6"/>
      <c r="H82" s="11">
        <f t="shared" ref="H82:I82" si="46">SUM(H79:H81)</f>
        <v>599080</v>
      </c>
      <c r="I82" s="70">
        <f t="shared" si="46"/>
        <v>0</v>
      </c>
      <c r="J82" s="7"/>
      <c r="K82" s="8"/>
      <c r="L82" s="8"/>
      <c r="M82" s="10"/>
      <c r="N82" s="10"/>
      <c r="O82" s="71">
        <f>(P82+T82+R82)/H82</f>
        <v>-0.07559925219</v>
      </c>
      <c r="P82" s="273">
        <v>-45290.0</v>
      </c>
      <c r="Q82" s="6"/>
      <c r="R82" s="11">
        <f>SUM(R79:R81)</f>
        <v>0</v>
      </c>
      <c r="S82" s="10"/>
      <c r="T82" s="11">
        <f>SUM(T79:T81)</f>
        <v>0</v>
      </c>
      <c r="U82" s="6"/>
      <c r="V82" s="5" t="s">
        <v>89</v>
      </c>
      <c r="W82" s="6"/>
      <c r="X82" s="12"/>
      <c r="Y82" s="192">
        <f>SUM(Y79:Y81)</f>
        <v>553790</v>
      </c>
      <c r="Z82" s="6"/>
      <c r="AA82" s="6"/>
      <c r="AB82" s="6"/>
      <c r="AC82" s="11">
        <f>SUM(AC79:AC81)</f>
        <v>0</v>
      </c>
    </row>
    <row r="83">
      <c r="A83" s="55"/>
      <c r="B83" s="5" t="s">
        <v>312</v>
      </c>
      <c r="C83" s="6" t="s">
        <v>2</v>
      </c>
      <c r="D83" s="5" t="s">
        <v>3</v>
      </c>
      <c r="E83" s="6" t="s">
        <v>4</v>
      </c>
      <c r="F83" s="6" t="s">
        <v>5</v>
      </c>
      <c r="G83" s="6" t="s">
        <v>6</v>
      </c>
      <c r="H83" s="6" t="s">
        <v>7</v>
      </c>
      <c r="I83" s="7" t="s">
        <v>8</v>
      </c>
      <c r="J83" s="7" t="s">
        <v>9</v>
      </c>
      <c r="K83" s="8" t="s">
        <v>10</v>
      </c>
      <c r="L83" s="8" t="s">
        <v>11</v>
      </c>
      <c r="M83" s="9" t="s">
        <v>12</v>
      </c>
      <c r="N83" s="10" t="s">
        <v>13</v>
      </c>
      <c r="O83" s="6" t="s">
        <v>14</v>
      </c>
      <c r="P83" s="10" t="s">
        <v>15</v>
      </c>
      <c r="Q83" s="6" t="s">
        <v>16</v>
      </c>
      <c r="R83" s="6" t="s">
        <v>17</v>
      </c>
      <c r="S83" s="9" t="s">
        <v>18</v>
      </c>
      <c r="T83" s="5" t="s">
        <v>19</v>
      </c>
      <c r="U83" s="5" t="s">
        <v>91</v>
      </c>
      <c r="V83" s="6" t="s">
        <v>21</v>
      </c>
      <c r="W83" s="6" t="s">
        <v>22</v>
      </c>
      <c r="X83" s="12" t="s">
        <v>23</v>
      </c>
      <c r="Y83" s="12" t="s">
        <v>24</v>
      </c>
      <c r="Z83" s="6" t="s">
        <v>25</v>
      </c>
      <c r="AA83" s="6" t="s">
        <v>26</v>
      </c>
      <c r="AB83" s="6" t="s">
        <v>27</v>
      </c>
      <c r="AC83" s="6" t="s">
        <v>28</v>
      </c>
    </row>
    <row r="84">
      <c r="A84" s="56" t="s">
        <v>29</v>
      </c>
      <c r="B84" s="265">
        <f>I87/E135</f>
        <v>0</v>
      </c>
      <c r="C84" s="58">
        <f>I84/E135</f>
        <v>0</v>
      </c>
      <c r="D84" s="42" t="s">
        <v>111</v>
      </c>
      <c r="E84" s="42" t="s">
        <v>112</v>
      </c>
      <c r="F84" s="42">
        <v>7.6</v>
      </c>
      <c r="G84" s="60">
        <v>1000.0</v>
      </c>
      <c r="H84" s="72">
        <f t="shared" ref="H84:H86" si="47">G84*J84</f>
        <v>182100</v>
      </c>
      <c r="I84" s="79">
        <v>0.0</v>
      </c>
      <c r="J84" s="74">
        <v>182.1</v>
      </c>
      <c r="K84" s="266">
        <f>IFERROR(__xludf.DUMMYFUNCTION("GOOGLEFINANCE(E84,""changepct"")"),-1.02)</f>
        <v>-1.02</v>
      </c>
      <c r="L84" s="75">
        <f>IFERROR(__xludf.DUMMYFUNCTION("googlefinance(E84,""price"")"),176.2)</f>
        <v>176.2</v>
      </c>
      <c r="M84" s="61">
        <v>180.55</v>
      </c>
      <c r="N84" s="75">
        <f t="shared" ref="N84:N86" si="48">L84-J84</f>
        <v>-5.9</v>
      </c>
      <c r="O84" s="267">
        <f t="shared" ref="O84:O86" si="49">M84/J84-1</f>
        <v>-0.0085118067</v>
      </c>
      <c r="P84" s="73">
        <f t="shared" ref="P84:P86" si="50">H84*O84</f>
        <v>-1550</v>
      </c>
      <c r="Q84" s="62">
        <v>0.04</v>
      </c>
      <c r="R84" s="72"/>
      <c r="S84" s="268"/>
      <c r="T84" s="269"/>
      <c r="U84" s="270"/>
      <c r="V84" s="42" t="s">
        <v>112</v>
      </c>
      <c r="W84" s="67">
        <v>45384.0</v>
      </c>
      <c r="X84" s="39">
        <v>180.55</v>
      </c>
      <c r="Y84" s="66">
        <v>180550.0</v>
      </c>
      <c r="Z84" s="42"/>
      <c r="AA84" s="67"/>
      <c r="AB84" s="39"/>
      <c r="AC84" s="66"/>
    </row>
    <row r="85">
      <c r="A85" s="78"/>
      <c r="B85" s="45"/>
      <c r="C85" s="58">
        <f>I85/E135</f>
        <v>0</v>
      </c>
      <c r="D85" s="42" t="s">
        <v>103</v>
      </c>
      <c r="E85" s="42" t="s">
        <v>104</v>
      </c>
      <c r="F85" s="42">
        <v>7.7</v>
      </c>
      <c r="G85" s="60">
        <v>1000.0</v>
      </c>
      <c r="H85" s="72">
        <f t="shared" si="47"/>
        <v>284320</v>
      </c>
      <c r="I85" s="79">
        <v>0.0</v>
      </c>
      <c r="J85" s="74">
        <v>284.32</v>
      </c>
      <c r="K85" s="266">
        <f>IFERROR(__xludf.DUMMYFUNCTION("GOOGLEFINANCE(E85,""changepct"")"),-1.28)</f>
        <v>-1.28</v>
      </c>
      <c r="L85" s="75">
        <f>IFERROR(__xludf.DUMMYFUNCTION("googlefinance(E85,""price"")"),259.3)</f>
        <v>259.3</v>
      </c>
      <c r="M85" s="61">
        <v>266.4</v>
      </c>
      <c r="N85" s="75">
        <f t="shared" si="48"/>
        <v>-25.02</v>
      </c>
      <c r="O85" s="267">
        <f t="shared" si="49"/>
        <v>-0.06302757456</v>
      </c>
      <c r="P85" s="73">
        <f t="shared" si="50"/>
        <v>-17920</v>
      </c>
      <c r="Q85" s="62">
        <v>0.03</v>
      </c>
      <c r="R85" s="66"/>
      <c r="S85" s="271"/>
      <c r="T85" s="269"/>
      <c r="U85" s="270"/>
      <c r="V85" s="42" t="s">
        <v>104</v>
      </c>
      <c r="W85" s="272">
        <v>45392.0</v>
      </c>
      <c r="X85" s="39">
        <v>266.4</v>
      </c>
      <c r="Y85" s="66">
        <v>266400.0</v>
      </c>
      <c r="Z85" s="42"/>
      <c r="AA85" s="67"/>
      <c r="AB85" s="39"/>
      <c r="AC85" s="66"/>
    </row>
    <row r="86">
      <c r="A86" s="78"/>
      <c r="B86" s="45"/>
      <c r="C86" s="58">
        <f>I86/E135</f>
        <v>0</v>
      </c>
      <c r="D86" s="42" t="s">
        <v>103</v>
      </c>
      <c r="E86" s="42" t="s">
        <v>104</v>
      </c>
      <c r="F86" s="42">
        <v>7.7</v>
      </c>
      <c r="G86" s="60">
        <v>1000.0</v>
      </c>
      <c r="H86" s="72">
        <f t="shared" si="47"/>
        <v>284320</v>
      </c>
      <c r="I86" s="79">
        <v>0.0</v>
      </c>
      <c r="J86" s="74">
        <v>284.32</v>
      </c>
      <c r="K86" s="266">
        <f>IFERROR(__xludf.DUMMYFUNCTION("GOOGLEFINANCE(E86,""changepct"")"),-1.28)</f>
        <v>-1.28</v>
      </c>
      <c r="L86" s="75">
        <f>IFERROR(__xludf.DUMMYFUNCTION("googlefinance(E86,""price"")"),259.3)</f>
        <v>259.3</v>
      </c>
      <c r="M86" s="61">
        <v>267.98</v>
      </c>
      <c r="N86" s="75">
        <f t="shared" si="48"/>
        <v>-25.02</v>
      </c>
      <c r="O86" s="267">
        <f t="shared" si="49"/>
        <v>-0.05747045582</v>
      </c>
      <c r="P86" s="73">
        <f t="shared" si="50"/>
        <v>-16340</v>
      </c>
      <c r="Q86" s="62">
        <v>0.03</v>
      </c>
      <c r="R86" s="66"/>
      <c r="S86" s="271"/>
      <c r="T86" s="269"/>
      <c r="U86" s="270"/>
      <c r="V86" s="42" t="s">
        <v>104</v>
      </c>
      <c r="W86" s="272">
        <v>45399.0</v>
      </c>
      <c r="X86" s="39">
        <v>267.98</v>
      </c>
      <c r="Y86" s="66">
        <v>267980.0</v>
      </c>
      <c r="Z86" s="42"/>
      <c r="AA86" s="67"/>
      <c r="AB86" s="39"/>
      <c r="AC86" s="66"/>
    </row>
    <row r="87">
      <c r="A87" s="55"/>
      <c r="B87" s="6"/>
      <c r="C87" s="6"/>
      <c r="D87" s="6"/>
      <c r="E87" s="6"/>
      <c r="F87" s="6"/>
      <c r="G87" s="6"/>
      <c r="H87" s="11">
        <f t="shared" ref="H87:I87" si="51">SUM(H84:H86)</f>
        <v>750740</v>
      </c>
      <c r="I87" s="70">
        <f t="shared" si="51"/>
        <v>0</v>
      </c>
      <c r="J87" s="7"/>
      <c r="K87" s="8"/>
      <c r="L87" s="8"/>
      <c r="M87" s="9"/>
      <c r="N87" s="10"/>
      <c r="O87" s="71">
        <f>P87/H87</f>
        <v>-0.04769960306</v>
      </c>
      <c r="P87" s="273">
        <v>-35810.0</v>
      </c>
      <c r="Q87" s="6"/>
      <c r="R87" s="6"/>
      <c r="S87" s="9"/>
      <c r="T87" s="5"/>
      <c r="U87" s="5"/>
      <c r="V87" s="5" t="s">
        <v>89</v>
      </c>
      <c r="W87" s="6"/>
      <c r="X87" s="12"/>
      <c r="Y87" s="11">
        <f>SUM(Y84:Y86)</f>
        <v>714930</v>
      </c>
      <c r="Z87" s="6"/>
      <c r="AA87" s="6"/>
      <c r="AB87" s="6"/>
      <c r="AC87" s="11">
        <f>SUM(AC84:AC86)</f>
        <v>0</v>
      </c>
    </row>
    <row r="88">
      <c r="A88" s="55"/>
      <c r="B88" s="5" t="s">
        <v>149</v>
      </c>
      <c r="C88" s="6" t="s">
        <v>2</v>
      </c>
      <c r="D88" s="6" t="s">
        <v>150</v>
      </c>
      <c r="E88" s="6" t="s">
        <v>4</v>
      </c>
      <c r="F88" s="6" t="s">
        <v>5</v>
      </c>
      <c r="G88" s="6" t="s">
        <v>6</v>
      </c>
      <c r="H88" s="6" t="s">
        <v>7</v>
      </c>
      <c r="I88" s="7" t="s">
        <v>8</v>
      </c>
      <c r="J88" s="7" t="s">
        <v>9</v>
      </c>
      <c r="K88" s="8" t="s">
        <v>10</v>
      </c>
      <c r="L88" s="8" t="s">
        <v>11</v>
      </c>
      <c r="M88" s="9" t="s">
        <v>12</v>
      </c>
      <c r="N88" s="10" t="s">
        <v>13</v>
      </c>
      <c r="O88" s="6" t="s">
        <v>14</v>
      </c>
      <c r="P88" s="10" t="s">
        <v>15</v>
      </c>
      <c r="Q88" s="6" t="s">
        <v>16</v>
      </c>
      <c r="R88" s="6" t="s">
        <v>17</v>
      </c>
      <c r="S88" s="9" t="s">
        <v>18</v>
      </c>
      <c r="T88" s="5" t="s">
        <v>19</v>
      </c>
      <c r="U88" s="5" t="s">
        <v>91</v>
      </c>
      <c r="V88" s="6" t="s">
        <v>21</v>
      </c>
      <c r="W88" s="6" t="s">
        <v>22</v>
      </c>
      <c r="X88" s="12" t="s">
        <v>23</v>
      </c>
      <c r="Y88" s="12" t="s">
        <v>24</v>
      </c>
      <c r="Z88" s="6" t="s">
        <v>25</v>
      </c>
      <c r="AA88" s="6" t="s">
        <v>26</v>
      </c>
      <c r="AB88" s="6" t="s">
        <v>27</v>
      </c>
      <c r="AC88" s="6" t="s">
        <v>28</v>
      </c>
    </row>
    <row r="89">
      <c r="A89" s="56" t="s">
        <v>29</v>
      </c>
      <c r="B89" s="57">
        <f>I104/E135</f>
        <v>0.1597781356</v>
      </c>
      <c r="C89" s="14">
        <f>I89/E135</f>
        <v>0.02655092685</v>
      </c>
      <c r="D89" s="16" t="s">
        <v>151</v>
      </c>
      <c r="E89" s="16" t="s">
        <v>152</v>
      </c>
      <c r="F89" s="17">
        <v>8.9</v>
      </c>
      <c r="G89" s="85">
        <v>250.0</v>
      </c>
      <c r="H89" s="19">
        <f t="shared" ref="H89:H103" si="52">G89*J89</f>
        <v>558250</v>
      </c>
      <c r="I89" s="19">
        <f t="shared" ref="I89:I93" si="53">H89+P89</f>
        <v>581500</v>
      </c>
      <c r="J89" s="21">
        <v>2233.0</v>
      </c>
      <c r="K89" s="86"/>
      <c r="L89" s="87">
        <v>2326.0</v>
      </c>
      <c r="M89" s="88"/>
      <c r="N89" s="88">
        <f t="shared" ref="N89:N103" si="54">L89-J89</f>
        <v>93</v>
      </c>
      <c r="O89" s="25">
        <f t="shared" ref="O89:O93" si="55">L89/J89-1</f>
        <v>0.04164800717</v>
      </c>
      <c r="P89" s="84">
        <f t="shared" ref="P89:P103" si="56">H89*O89</f>
        <v>23250</v>
      </c>
      <c r="Q89" s="34"/>
      <c r="R89" s="29"/>
      <c r="S89" s="37"/>
      <c r="T89" s="29"/>
      <c r="U89" s="16"/>
      <c r="V89" s="16"/>
      <c r="W89" s="32"/>
      <c r="X89" s="31"/>
      <c r="Y89" s="29"/>
      <c r="Z89" s="16"/>
      <c r="AA89" s="32"/>
      <c r="AB89" s="31"/>
      <c r="AC89" s="29"/>
    </row>
    <row r="90">
      <c r="A90" s="89" t="s">
        <v>153</v>
      </c>
      <c r="B90" s="90">
        <f>I89+I90</f>
        <v>872800</v>
      </c>
      <c r="C90" s="14">
        <f>I90/E135</f>
        <v>0.01330057608</v>
      </c>
      <c r="D90" s="16" t="s">
        <v>154</v>
      </c>
      <c r="E90" s="16" t="s">
        <v>155</v>
      </c>
      <c r="F90" s="17">
        <v>8.8</v>
      </c>
      <c r="G90" s="85">
        <v>10000.0</v>
      </c>
      <c r="H90" s="19">
        <f t="shared" si="52"/>
        <v>249500</v>
      </c>
      <c r="I90" s="19">
        <f t="shared" si="53"/>
        <v>291300</v>
      </c>
      <c r="J90" s="21">
        <v>24.95</v>
      </c>
      <c r="K90" s="86"/>
      <c r="L90" s="91">
        <v>29.13</v>
      </c>
      <c r="M90" s="24"/>
      <c r="N90" s="24">
        <f t="shared" si="54"/>
        <v>4.18</v>
      </c>
      <c r="O90" s="25">
        <f t="shared" si="55"/>
        <v>0.1675350701</v>
      </c>
      <c r="P90" s="19">
        <f t="shared" si="56"/>
        <v>41800</v>
      </c>
      <c r="Q90" s="34"/>
      <c r="R90" s="29"/>
      <c r="S90" s="37"/>
      <c r="T90" s="29"/>
      <c r="U90" s="16"/>
      <c r="V90" s="16"/>
      <c r="W90" s="32"/>
      <c r="X90" s="31"/>
      <c r="Y90" s="29"/>
      <c r="Z90" s="16"/>
      <c r="AA90" s="32"/>
      <c r="AB90" s="31"/>
      <c r="AC90" s="29"/>
    </row>
    <row r="91">
      <c r="A91" s="89" t="s">
        <v>156</v>
      </c>
      <c r="B91" s="92">
        <f>B90/E135</f>
        <v>0.03985150293</v>
      </c>
      <c r="C91" s="14">
        <f>I91/E135</f>
        <v>0.0154191711</v>
      </c>
      <c r="D91" s="15" t="s">
        <v>157</v>
      </c>
      <c r="E91" s="16" t="s">
        <v>158</v>
      </c>
      <c r="F91" s="17">
        <v>8.0</v>
      </c>
      <c r="G91" s="18">
        <v>10000.0</v>
      </c>
      <c r="H91" s="19">
        <f t="shared" si="52"/>
        <v>316200</v>
      </c>
      <c r="I91" s="19">
        <f t="shared" si="53"/>
        <v>337700</v>
      </c>
      <c r="J91" s="21">
        <v>31.62</v>
      </c>
      <c r="K91" s="93">
        <f>IFERROR(__xludf.DUMMYFUNCTION("GOOGLEFINANCE(E91,""changepct"")"),-1.43)</f>
        <v>-1.43</v>
      </c>
      <c r="L91" s="23">
        <f>IFERROR(__xludf.DUMMYFUNCTION("googlefinance(E91,""price"")"),33.77)</f>
        <v>33.77</v>
      </c>
      <c r="M91" s="24"/>
      <c r="N91" s="24">
        <f t="shared" si="54"/>
        <v>2.15</v>
      </c>
      <c r="O91" s="25">
        <f t="shared" si="55"/>
        <v>0.06799493991</v>
      </c>
      <c r="P91" s="19">
        <f t="shared" si="56"/>
        <v>21500</v>
      </c>
      <c r="Q91" s="47">
        <v>0.016</v>
      </c>
      <c r="R91" s="20"/>
      <c r="S91" s="31"/>
      <c r="T91" s="29"/>
      <c r="U91" s="16"/>
      <c r="V91" s="16"/>
      <c r="W91" s="30"/>
      <c r="X91" s="31"/>
      <c r="Y91" s="29"/>
      <c r="Z91" s="16"/>
      <c r="AA91" s="32"/>
      <c r="AB91" s="31"/>
      <c r="AC91" s="29"/>
    </row>
    <row r="92">
      <c r="A92" s="89" t="s">
        <v>159</v>
      </c>
      <c r="B92" s="90">
        <f>I92+I91+I103+I97+I95+I93+I99+I101+I102</f>
        <v>2626550</v>
      </c>
      <c r="C92" s="14">
        <f>I92/E135</f>
        <v>0.009661523853</v>
      </c>
      <c r="D92" s="16" t="s">
        <v>160</v>
      </c>
      <c r="E92" s="16" t="s">
        <v>161</v>
      </c>
      <c r="F92" s="17">
        <v>8.0</v>
      </c>
      <c r="G92" s="18">
        <v>5000.0</v>
      </c>
      <c r="H92" s="19">
        <f t="shared" si="52"/>
        <v>193700</v>
      </c>
      <c r="I92" s="19">
        <f t="shared" si="53"/>
        <v>211600</v>
      </c>
      <c r="J92" s="21">
        <v>38.74</v>
      </c>
      <c r="K92" s="93">
        <f>IFERROR(__xludf.DUMMYFUNCTION("GOOGLEFINANCE(E92,""changepct"")"),-1.7)</f>
        <v>-1.7</v>
      </c>
      <c r="L92" s="23">
        <f>IFERROR(__xludf.DUMMYFUNCTION("googlefinance(E92,""price"")"),42.32)</f>
        <v>42.32</v>
      </c>
      <c r="M92" s="24"/>
      <c r="N92" s="24">
        <f t="shared" si="54"/>
        <v>3.58</v>
      </c>
      <c r="O92" s="25">
        <f t="shared" si="55"/>
        <v>0.09241094476</v>
      </c>
      <c r="P92" s="19">
        <f t="shared" si="56"/>
        <v>17900</v>
      </c>
      <c r="Q92" s="47"/>
      <c r="R92" s="20"/>
      <c r="S92" s="31"/>
      <c r="T92" s="29"/>
      <c r="U92" s="16"/>
      <c r="V92" s="16"/>
      <c r="W92" s="30"/>
      <c r="X92" s="31"/>
      <c r="Y92" s="29"/>
      <c r="Z92" s="16"/>
      <c r="AA92" s="32"/>
      <c r="AB92" s="31"/>
      <c r="AC92" s="29"/>
    </row>
    <row r="93">
      <c r="A93" s="89" t="s">
        <v>162</v>
      </c>
      <c r="B93" s="92">
        <f>B92/E135</f>
        <v>0.1199266327</v>
      </c>
      <c r="C93" s="14">
        <f>I93/E135</f>
        <v>0.02488207667</v>
      </c>
      <c r="D93" s="15" t="s">
        <v>163</v>
      </c>
      <c r="E93" s="16" t="s">
        <v>164</v>
      </c>
      <c r="F93" s="17">
        <v>8.2</v>
      </c>
      <c r="G93" s="18">
        <v>7000.0</v>
      </c>
      <c r="H93" s="19">
        <f t="shared" si="52"/>
        <v>417550</v>
      </c>
      <c r="I93" s="19">
        <f t="shared" si="53"/>
        <v>544950</v>
      </c>
      <c r="J93" s="21">
        <v>59.65</v>
      </c>
      <c r="K93" s="93">
        <f>IFERROR(__xludf.DUMMYFUNCTION("GOOGLEFINANCE(E93,""changepct"")"),-1.02)</f>
        <v>-1.02</v>
      </c>
      <c r="L93" s="23">
        <f>IFERROR(__xludf.DUMMYFUNCTION("googlefinance(E93,""price"")"),77.85)</f>
        <v>77.85</v>
      </c>
      <c r="M93" s="24"/>
      <c r="N93" s="24">
        <f t="shared" si="54"/>
        <v>18.2</v>
      </c>
      <c r="O93" s="25">
        <f t="shared" si="55"/>
        <v>0.3051131601</v>
      </c>
      <c r="P93" s="19">
        <f t="shared" si="56"/>
        <v>127400</v>
      </c>
      <c r="Q93" s="47">
        <v>0.032</v>
      </c>
      <c r="R93" s="20">
        <v>2800.0</v>
      </c>
      <c r="S93" s="31"/>
      <c r="T93" s="29"/>
      <c r="U93" s="16"/>
      <c r="V93" s="16"/>
      <c r="W93" s="32"/>
      <c r="X93" s="31"/>
      <c r="Y93" s="29"/>
      <c r="Z93" s="15"/>
      <c r="AA93" s="36"/>
      <c r="AB93" s="37"/>
      <c r="AC93" s="27"/>
    </row>
    <row r="94">
      <c r="A94" s="38"/>
      <c r="B94" s="32"/>
      <c r="C94" s="14">
        <f>I94/E135</f>
        <v>0</v>
      </c>
      <c r="D94" s="15" t="s">
        <v>165</v>
      </c>
      <c r="E94" s="16" t="s">
        <v>164</v>
      </c>
      <c r="F94" s="17">
        <v>8.2</v>
      </c>
      <c r="G94" s="18">
        <v>3000.0</v>
      </c>
      <c r="H94" s="19">
        <f t="shared" si="52"/>
        <v>178950</v>
      </c>
      <c r="I94" s="20">
        <v>0.0</v>
      </c>
      <c r="J94" s="21">
        <v>59.65</v>
      </c>
      <c r="K94" s="93">
        <f>IFERROR(__xludf.DUMMYFUNCTION("GOOGLEFINANCE(E94,""changepct"")"),-1.02)</f>
        <v>-1.02</v>
      </c>
      <c r="L94" s="23">
        <f>IFERROR(__xludf.DUMMYFUNCTION("googlefinance(E94,""price"")"),77.85)</f>
        <v>77.85</v>
      </c>
      <c r="M94" s="21">
        <v>60.83</v>
      </c>
      <c r="N94" s="24">
        <f t="shared" si="54"/>
        <v>18.2</v>
      </c>
      <c r="O94" s="25">
        <f>M94/J94-1</f>
        <v>0.01978206203</v>
      </c>
      <c r="P94" s="19">
        <f t="shared" si="56"/>
        <v>3540</v>
      </c>
      <c r="Q94" s="47">
        <v>0.032</v>
      </c>
      <c r="R94" s="20"/>
      <c r="S94" s="31"/>
      <c r="T94" s="29"/>
      <c r="U94" s="16"/>
      <c r="V94" s="15" t="s">
        <v>164</v>
      </c>
      <c r="W94" s="36">
        <v>45384.0</v>
      </c>
      <c r="X94" s="37">
        <v>60.83</v>
      </c>
      <c r="Y94" s="27">
        <v>182490.0</v>
      </c>
      <c r="Z94" s="15"/>
      <c r="AA94" s="36"/>
      <c r="AB94" s="37"/>
      <c r="AC94" s="27"/>
    </row>
    <row r="95">
      <c r="A95" s="38"/>
      <c r="B95" s="32"/>
      <c r="C95" s="14">
        <f>I95/E135</f>
        <v>0.01674785893</v>
      </c>
      <c r="D95" s="16" t="s">
        <v>166</v>
      </c>
      <c r="E95" s="16" t="s">
        <v>167</v>
      </c>
      <c r="F95" s="17">
        <v>7.9</v>
      </c>
      <c r="G95" s="18">
        <v>40000.0</v>
      </c>
      <c r="H95" s="19">
        <f t="shared" si="52"/>
        <v>245200</v>
      </c>
      <c r="I95" s="19">
        <f>H95+P95</f>
        <v>366800</v>
      </c>
      <c r="J95" s="21">
        <v>6.13</v>
      </c>
      <c r="K95" s="93">
        <f>IFERROR(__xludf.DUMMYFUNCTION("GOOGLEFINANCE(E95,""changepct"")"),-1.5)</f>
        <v>-1.5</v>
      </c>
      <c r="L95" s="23">
        <f>IFERROR(__xludf.DUMMYFUNCTION("googlefinance(E95,""price"")"),9.17)</f>
        <v>9.17</v>
      </c>
      <c r="M95" s="24"/>
      <c r="N95" s="24">
        <f t="shared" si="54"/>
        <v>3.04</v>
      </c>
      <c r="O95" s="25">
        <f>L95/J95-1</f>
        <v>0.4959216966</v>
      </c>
      <c r="P95" s="19">
        <f t="shared" si="56"/>
        <v>121600</v>
      </c>
      <c r="Q95" s="47">
        <v>0.028</v>
      </c>
      <c r="R95" s="20">
        <v>1200.0</v>
      </c>
      <c r="S95" s="31"/>
      <c r="T95" s="29"/>
      <c r="U95" s="16"/>
      <c r="V95" s="16"/>
      <c r="W95" s="32"/>
      <c r="X95" s="31"/>
      <c r="Y95" s="29"/>
      <c r="Z95" s="15"/>
      <c r="AA95" s="36"/>
      <c r="AB95" s="37"/>
      <c r="AC95" s="27"/>
    </row>
    <row r="96">
      <c r="A96" s="38"/>
      <c r="B96" s="32"/>
      <c r="C96" s="14">
        <f>I96/E135</f>
        <v>0</v>
      </c>
      <c r="D96" s="16" t="s">
        <v>166</v>
      </c>
      <c r="E96" s="16" t="s">
        <v>167</v>
      </c>
      <c r="F96" s="17">
        <v>7.9</v>
      </c>
      <c r="G96" s="18">
        <v>10000.0</v>
      </c>
      <c r="H96" s="19">
        <f t="shared" si="52"/>
        <v>61300</v>
      </c>
      <c r="I96" s="20">
        <v>0.0</v>
      </c>
      <c r="J96" s="21">
        <v>6.13</v>
      </c>
      <c r="K96" s="93">
        <f>IFERROR(__xludf.DUMMYFUNCTION("GOOGLEFINANCE(E96,""changepct"")"),-1.5)</f>
        <v>-1.5</v>
      </c>
      <c r="L96" s="23">
        <f>IFERROR(__xludf.DUMMYFUNCTION("googlefinance(E96,""price"")"),9.17)</f>
        <v>9.17</v>
      </c>
      <c r="M96" s="21">
        <v>6.49</v>
      </c>
      <c r="N96" s="24">
        <f t="shared" si="54"/>
        <v>3.04</v>
      </c>
      <c r="O96" s="25">
        <f>M96/J96-1</f>
        <v>0.05872756933</v>
      </c>
      <c r="P96" s="19">
        <f t="shared" si="56"/>
        <v>3600</v>
      </c>
      <c r="Q96" s="47">
        <v>0.028</v>
      </c>
      <c r="R96" s="20"/>
      <c r="S96" s="31"/>
      <c r="T96" s="29"/>
      <c r="U96" s="16"/>
      <c r="V96" s="15" t="s">
        <v>167</v>
      </c>
      <c r="W96" s="36">
        <v>45391.0</v>
      </c>
      <c r="X96" s="37">
        <v>6.49</v>
      </c>
      <c r="Y96" s="27">
        <v>64900.0</v>
      </c>
      <c r="Z96" s="15"/>
      <c r="AA96" s="41"/>
      <c r="AB96" s="21"/>
      <c r="AC96" s="20"/>
    </row>
    <row r="97">
      <c r="A97" s="38"/>
      <c r="B97" s="32"/>
      <c r="C97" s="14">
        <f>I97/E135</f>
        <v>0.0232862815</v>
      </c>
      <c r="D97" s="15" t="s">
        <v>171</v>
      </c>
      <c r="E97" s="16" t="s">
        <v>172</v>
      </c>
      <c r="F97" s="17">
        <v>8.1</v>
      </c>
      <c r="G97" s="18">
        <v>30000.0</v>
      </c>
      <c r="H97" s="19">
        <f t="shared" si="52"/>
        <v>499200</v>
      </c>
      <c r="I97" s="19">
        <f>H97+P97</f>
        <v>510000</v>
      </c>
      <c r="J97" s="21">
        <v>16.64</v>
      </c>
      <c r="K97" s="93">
        <f>IFERROR(__xludf.DUMMYFUNCTION("GOOGLEFINANCE(E97,""changepct"")"),-1.4)</f>
        <v>-1.4</v>
      </c>
      <c r="L97" s="91">
        <v>17.0</v>
      </c>
      <c r="M97" s="24"/>
      <c r="N97" s="24">
        <f t="shared" si="54"/>
        <v>0.36</v>
      </c>
      <c r="O97" s="25">
        <f>L97/J97-1</f>
        <v>0.02163461538</v>
      </c>
      <c r="P97" s="19">
        <f t="shared" si="56"/>
        <v>10800</v>
      </c>
      <c r="Q97" s="47">
        <v>0.03</v>
      </c>
      <c r="R97" s="20">
        <v>3000.0</v>
      </c>
      <c r="S97" s="31"/>
      <c r="T97" s="29"/>
      <c r="U97" s="16"/>
      <c r="V97" s="16"/>
      <c r="W97" s="30"/>
      <c r="X97" s="31"/>
      <c r="Y97" s="29"/>
      <c r="Z97" s="15"/>
      <c r="AA97" s="41"/>
      <c r="AB97" s="21"/>
      <c r="AC97" s="20"/>
    </row>
    <row r="98">
      <c r="A98" s="38"/>
      <c r="B98" s="32"/>
      <c r="C98" s="14">
        <f>I98/E135</f>
        <v>0</v>
      </c>
      <c r="D98" s="15" t="s">
        <v>171</v>
      </c>
      <c r="E98" s="16" t="s">
        <v>172</v>
      </c>
      <c r="F98" s="17">
        <v>8.1</v>
      </c>
      <c r="G98" s="18">
        <v>10000.0</v>
      </c>
      <c r="H98" s="19">
        <f t="shared" si="52"/>
        <v>166400</v>
      </c>
      <c r="I98" s="20">
        <v>0.0</v>
      </c>
      <c r="J98" s="21">
        <v>16.64</v>
      </c>
      <c r="K98" s="93">
        <f>IFERROR(__xludf.DUMMYFUNCTION("GOOGLEFINANCE(E98,""changepct"")"),-1.4)</f>
        <v>-1.4</v>
      </c>
      <c r="L98" s="91">
        <v>17.0</v>
      </c>
      <c r="M98" s="21">
        <v>18.25</v>
      </c>
      <c r="N98" s="24">
        <f t="shared" si="54"/>
        <v>0.36</v>
      </c>
      <c r="O98" s="25">
        <f t="shared" ref="O98:O100" si="57">M98/J98-1</f>
        <v>0.09675480769</v>
      </c>
      <c r="P98" s="19">
        <f t="shared" si="56"/>
        <v>16100</v>
      </c>
      <c r="Q98" s="47">
        <v>0.03</v>
      </c>
      <c r="R98" s="20"/>
      <c r="S98" s="37"/>
      <c r="T98" s="27"/>
      <c r="U98" s="16"/>
      <c r="V98" s="15" t="s">
        <v>172</v>
      </c>
      <c r="W98" s="36">
        <v>45391.0</v>
      </c>
      <c r="X98" s="37">
        <v>18.25</v>
      </c>
      <c r="Y98" s="27">
        <v>182500.0</v>
      </c>
      <c r="Z98" s="15"/>
      <c r="AA98" s="41"/>
      <c r="AB98" s="21"/>
      <c r="AC98" s="20"/>
    </row>
    <row r="99">
      <c r="A99" s="38"/>
      <c r="B99" s="32"/>
      <c r="C99" s="14">
        <f>I99/E135</f>
        <v>0</v>
      </c>
      <c r="D99" s="16" t="s">
        <v>357</v>
      </c>
      <c r="E99" s="16" t="s">
        <v>174</v>
      </c>
      <c r="F99" s="17">
        <v>8.0</v>
      </c>
      <c r="G99" s="18">
        <v>20000.0</v>
      </c>
      <c r="H99" s="19">
        <f t="shared" si="52"/>
        <v>301600</v>
      </c>
      <c r="I99" s="20">
        <v>0.0</v>
      </c>
      <c r="J99" s="21">
        <v>15.08</v>
      </c>
      <c r="K99" s="93">
        <f>IFERROR(__xludf.DUMMYFUNCTION("GOOGLEFINANCE(E99,""changepct"")"),-3.11)</f>
        <v>-3.11</v>
      </c>
      <c r="L99" s="23">
        <f>IFERROR(__xludf.DUMMYFUNCTION("googlefinance(E99,""price"")"),19.94)</f>
        <v>19.94</v>
      </c>
      <c r="M99" s="21">
        <v>17.0</v>
      </c>
      <c r="N99" s="24">
        <f t="shared" si="54"/>
        <v>4.86</v>
      </c>
      <c r="O99" s="25">
        <f t="shared" si="57"/>
        <v>0.1273209549</v>
      </c>
      <c r="P99" s="19">
        <f t="shared" si="56"/>
        <v>38400</v>
      </c>
      <c r="Q99" s="47">
        <v>0.03</v>
      </c>
      <c r="R99" s="20"/>
      <c r="S99" s="37" t="s">
        <v>47</v>
      </c>
      <c r="T99" s="27">
        <v>12250.0</v>
      </c>
      <c r="U99" s="16"/>
      <c r="V99" s="15" t="s">
        <v>174</v>
      </c>
      <c r="W99" s="36">
        <v>45429.0</v>
      </c>
      <c r="X99" s="37">
        <v>17.0</v>
      </c>
      <c r="Y99" s="27">
        <v>340000.0</v>
      </c>
      <c r="Z99" s="15"/>
      <c r="AA99" s="41"/>
      <c r="AB99" s="21"/>
      <c r="AC99" s="20"/>
    </row>
    <row r="100">
      <c r="A100" s="38"/>
      <c r="B100" s="32"/>
      <c r="C100" s="14">
        <f>I100/E135</f>
        <v>0</v>
      </c>
      <c r="D100" s="16" t="s">
        <v>357</v>
      </c>
      <c r="E100" s="16" t="s">
        <v>174</v>
      </c>
      <c r="F100" s="17">
        <v>8.0</v>
      </c>
      <c r="G100" s="18">
        <v>10000.0</v>
      </c>
      <c r="H100" s="19">
        <f t="shared" si="52"/>
        <v>150800</v>
      </c>
      <c r="I100" s="20">
        <v>0.0</v>
      </c>
      <c r="J100" s="21">
        <v>15.08</v>
      </c>
      <c r="K100" s="93">
        <f>IFERROR(__xludf.DUMMYFUNCTION("GOOGLEFINANCE(E100,""changepct"")"),-3.11)</f>
        <v>-3.11</v>
      </c>
      <c r="L100" s="23">
        <f>IFERROR(__xludf.DUMMYFUNCTION("googlefinance(E100,""price"")"),19.94)</f>
        <v>19.94</v>
      </c>
      <c r="M100" s="21">
        <v>18.98</v>
      </c>
      <c r="N100" s="24">
        <f t="shared" si="54"/>
        <v>4.86</v>
      </c>
      <c r="O100" s="25">
        <f t="shared" si="57"/>
        <v>0.2586206897</v>
      </c>
      <c r="P100" s="19">
        <f t="shared" si="56"/>
        <v>39000</v>
      </c>
      <c r="Q100" s="47">
        <v>0.03</v>
      </c>
      <c r="R100" s="20"/>
      <c r="S100" s="31"/>
      <c r="T100" s="29"/>
      <c r="U100" s="16"/>
      <c r="V100" s="15" t="s">
        <v>174</v>
      </c>
      <c r="W100" s="36">
        <v>45391.0</v>
      </c>
      <c r="X100" s="37">
        <v>18.98</v>
      </c>
      <c r="Y100" s="27">
        <v>189800.0</v>
      </c>
      <c r="Z100" s="16"/>
      <c r="AA100" s="94"/>
      <c r="AB100" s="24"/>
      <c r="AC100" s="19"/>
    </row>
    <row r="101">
      <c r="A101" s="38"/>
      <c r="B101" s="32"/>
      <c r="C101" s="14">
        <f>I101/E135</f>
        <v>0.009104479472</v>
      </c>
      <c r="D101" s="16" t="s">
        <v>357</v>
      </c>
      <c r="E101" s="16" t="s">
        <v>174</v>
      </c>
      <c r="F101" s="17">
        <v>8.0</v>
      </c>
      <c r="G101" s="18">
        <v>10000.0</v>
      </c>
      <c r="H101" s="19">
        <f t="shared" si="52"/>
        <v>150800</v>
      </c>
      <c r="I101" s="19">
        <f t="shared" ref="I101:I103" si="58">H101+P101</f>
        <v>199400</v>
      </c>
      <c r="J101" s="21">
        <v>15.08</v>
      </c>
      <c r="K101" s="93">
        <f>IFERROR(__xludf.DUMMYFUNCTION("GOOGLEFINANCE(E101,""changepct"")"),-3.11)</f>
        <v>-3.11</v>
      </c>
      <c r="L101" s="23">
        <f>IFERROR(__xludf.DUMMYFUNCTION("googlefinance(E101,""price"")"),19.94)</f>
        <v>19.94</v>
      </c>
      <c r="M101" s="24"/>
      <c r="N101" s="24">
        <f t="shared" si="54"/>
        <v>4.86</v>
      </c>
      <c r="O101" s="25">
        <f t="shared" ref="O101:O103" si="59">L101/J101-1</f>
        <v>0.3222811671</v>
      </c>
      <c r="P101" s="19">
        <f t="shared" si="56"/>
        <v>48600</v>
      </c>
      <c r="Q101" s="47">
        <v>0.03</v>
      </c>
      <c r="R101" s="20">
        <v>1000.0</v>
      </c>
      <c r="S101" s="31"/>
      <c r="T101" s="29"/>
      <c r="U101" s="16"/>
      <c r="V101" s="16"/>
      <c r="W101" s="30"/>
      <c r="X101" s="31"/>
      <c r="Y101" s="29"/>
      <c r="Z101" s="16"/>
      <c r="AA101" s="94"/>
      <c r="AB101" s="24"/>
      <c r="AC101" s="19"/>
    </row>
    <row r="102">
      <c r="A102" s="38"/>
      <c r="B102" s="32"/>
      <c r="C102" s="14">
        <f>I102/E135</f>
        <v>0.007766659771</v>
      </c>
      <c r="D102" s="76" t="s">
        <v>175</v>
      </c>
      <c r="E102" s="15" t="s">
        <v>176</v>
      </c>
      <c r="F102" s="17">
        <v>7.9</v>
      </c>
      <c r="G102" s="18">
        <v>35000.0</v>
      </c>
      <c r="H102" s="19">
        <f t="shared" si="52"/>
        <v>191800</v>
      </c>
      <c r="I102" s="19">
        <f t="shared" si="58"/>
        <v>170100</v>
      </c>
      <c r="J102" s="21">
        <v>5.48</v>
      </c>
      <c r="K102" s="93">
        <f>IFERROR(__xludf.DUMMYFUNCTION("GOOGLEFINANCE(E102,""changepct"")"),-2.99)</f>
        <v>-2.99</v>
      </c>
      <c r="L102" s="23">
        <f>IFERROR(__xludf.DUMMYFUNCTION("googlefinance(E102,""price"")"),4.86)</f>
        <v>4.86</v>
      </c>
      <c r="M102" s="24"/>
      <c r="N102" s="24">
        <f t="shared" si="54"/>
        <v>-0.62</v>
      </c>
      <c r="O102" s="25">
        <f t="shared" si="59"/>
        <v>-0.1131386861</v>
      </c>
      <c r="P102" s="19">
        <f t="shared" si="56"/>
        <v>-21700</v>
      </c>
      <c r="Q102" s="47">
        <v>0.0045</v>
      </c>
      <c r="R102" s="20">
        <v>350.0</v>
      </c>
      <c r="S102" s="31"/>
      <c r="T102" s="29"/>
      <c r="U102" s="16"/>
      <c r="V102" s="16"/>
      <c r="W102" s="30"/>
      <c r="X102" s="31"/>
      <c r="Y102" s="29"/>
      <c r="Z102" s="15" t="s">
        <v>176</v>
      </c>
      <c r="AA102" s="41">
        <v>45393.0</v>
      </c>
      <c r="AB102" s="21">
        <v>5.48</v>
      </c>
      <c r="AC102" s="20">
        <v>191800.0</v>
      </c>
    </row>
    <row r="103">
      <c r="A103" s="38"/>
      <c r="B103" s="32"/>
      <c r="C103" s="14">
        <f>I103/E135</f>
        <v>0.01305858139</v>
      </c>
      <c r="D103" s="95" t="s">
        <v>179</v>
      </c>
      <c r="E103" s="16" t="s">
        <v>180</v>
      </c>
      <c r="F103" s="17">
        <v>8.0</v>
      </c>
      <c r="G103" s="18">
        <v>25000.0</v>
      </c>
      <c r="H103" s="19">
        <f t="shared" si="52"/>
        <v>254000</v>
      </c>
      <c r="I103" s="19">
        <f t="shared" si="58"/>
        <v>286000</v>
      </c>
      <c r="J103" s="21">
        <v>10.16</v>
      </c>
      <c r="K103" s="93">
        <f>IFERROR(__xludf.DUMMYFUNCTION("GOOGLEFINANCE(E103,""changepct"")"),-2.8)</f>
        <v>-2.8</v>
      </c>
      <c r="L103" s="23">
        <f>IFERROR(__xludf.DUMMYFUNCTION("googlefinance(E103,""price"")"),11.44)</f>
        <v>11.44</v>
      </c>
      <c r="M103" s="24"/>
      <c r="N103" s="24">
        <f t="shared" si="54"/>
        <v>1.28</v>
      </c>
      <c r="O103" s="25">
        <f t="shared" si="59"/>
        <v>0.125984252</v>
      </c>
      <c r="P103" s="19">
        <f t="shared" si="56"/>
        <v>32000</v>
      </c>
      <c r="Q103" s="47"/>
      <c r="R103" s="20"/>
      <c r="S103" s="31"/>
      <c r="T103" s="29"/>
      <c r="U103" s="16"/>
      <c r="V103" s="16"/>
      <c r="W103" s="30"/>
      <c r="X103" s="31"/>
      <c r="Y103" s="29"/>
      <c r="Z103" s="16"/>
      <c r="AA103" s="94"/>
      <c r="AB103" s="24"/>
      <c r="AC103" s="19"/>
    </row>
    <row r="104">
      <c r="A104" s="55"/>
      <c r="B104" s="53"/>
      <c r="C104" s="6" t="s">
        <v>89</v>
      </c>
      <c r="D104" s="6"/>
      <c r="E104" s="6"/>
      <c r="F104" s="6"/>
      <c r="G104" s="11"/>
      <c r="H104" s="49">
        <f t="shared" ref="H104:I104" si="60">SUM(H89:H103)</f>
        <v>3935250</v>
      </c>
      <c r="I104" s="50">
        <f t="shared" si="60"/>
        <v>3499350</v>
      </c>
      <c r="J104" s="8"/>
      <c r="K104" s="8"/>
      <c r="L104" s="10"/>
      <c r="M104" s="10"/>
      <c r="N104" s="10"/>
      <c r="O104" s="51">
        <f>P104/(I104+R104+T104)</f>
        <v>0.1146436739</v>
      </c>
      <c r="P104" s="263">
        <v>403540.0</v>
      </c>
      <c r="Q104" s="6"/>
      <c r="R104" s="49">
        <f>SUM(R89:R103)</f>
        <v>8350</v>
      </c>
      <c r="S104" s="10"/>
      <c r="T104" s="11">
        <f>SUM(T89:T103)</f>
        <v>12250</v>
      </c>
      <c r="U104" s="5"/>
      <c r="V104" s="6" t="s">
        <v>89</v>
      </c>
      <c r="W104" s="53"/>
      <c r="X104" s="54"/>
      <c r="Y104" s="49">
        <f>SUM(Y89:Y103)</f>
        <v>959690</v>
      </c>
      <c r="Z104" s="6" t="s">
        <v>89</v>
      </c>
      <c r="AA104" s="53"/>
      <c r="AB104" s="53"/>
      <c r="AC104" s="49">
        <f>SUM(AC89:AC103)</f>
        <v>191800</v>
      </c>
    </row>
    <row r="105">
      <c r="A105" s="55"/>
      <c r="B105" s="6" t="s">
        <v>181</v>
      </c>
      <c r="C105" s="6" t="s">
        <v>2</v>
      </c>
      <c r="D105" s="6" t="s">
        <v>182</v>
      </c>
      <c r="E105" s="6" t="s">
        <v>4</v>
      </c>
      <c r="F105" s="6" t="s">
        <v>5</v>
      </c>
      <c r="G105" s="5" t="s">
        <v>183</v>
      </c>
      <c r="H105" s="6" t="s">
        <v>7</v>
      </c>
      <c r="I105" s="7" t="s">
        <v>8</v>
      </c>
      <c r="J105" s="7" t="s">
        <v>9</v>
      </c>
      <c r="K105" s="8" t="s">
        <v>10</v>
      </c>
      <c r="L105" s="8" t="s">
        <v>11</v>
      </c>
      <c r="M105" s="9" t="s">
        <v>12</v>
      </c>
      <c r="N105" s="10" t="s">
        <v>13</v>
      </c>
      <c r="O105" s="6" t="s">
        <v>14</v>
      </c>
      <c r="P105" s="10" t="s">
        <v>15</v>
      </c>
      <c r="Q105" s="5" t="s">
        <v>128</v>
      </c>
      <c r="R105" s="6" t="s">
        <v>17</v>
      </c>
      <c r="S105" s="9" t="s">
        <v>18</v>
      </c>
      <c r="T105" s="5" t="s">
        <v>19</v>
      </c>
      <c r="U105" s="5" t="s">
        <v>19</v>
      </c>
      <c r="V105" s="6" t="s">
        <v>21</v>
      </c>
      <c r="W105" s="6" t="s">
        <v>22</v>
      </c>
      <c r="X105" s="12" t="s">
        <v>23</v>
      </c>
      <c r="Y105" s="12" t="s">
        <v>24</v>
      </c>
      <c r="Z105" s="6" t="s">
        <v>25</v>
      </c>
      <c r="AA105" s="6" t="s">
        <v>26</v>
      </c>
      <c r="AB105" s="6" t="s">
        <v>27</v>
      </c>
      <c r="AC105" s="6" t="s">
        <v>28</v>
      </c>
    </row>
    <row r="106">
      <c r="A106" s="56" t="s">
        <v>29</v>
      </c>
      <c r="B106" s="57">
        <f>I128/E135</f>
        <v>0.07111160078</v>
      </c>
      <c r="C106" s="14">
        <f>I106/E135</f>
        <v>0.008452235294</v>
      </c>
      <c r="D106" s="96" t="s">
        <v>184</v>
      </c>
      <c r="E106" s="16" t="s">
        <v>185</v>
      </c>
      <c r="F106" s="17">
        <v>7.8</v>
      </c>
      <c r="G106" s="97">
        <v>3.0</v>
      </c>
      <c r="H106" s="19">
        <f t="shared" ref="H106:H127" si="61">G106*J106</f>
        <v>211500</v>
      </c>
      <c r="I106" s="20">
        <f t="shared" ref="I106:I109" si="62">H106+P106</f>
        <v>185115</v>
      </c>
      <c r="J106" s="20">
        <v>70500.0</v>
      </c>
      <c r="K106" s="98"/>
      <c r="L106" s="99">
        <v>61705.0</v>
      </c>
      <c r="M106" s="100"/>
      <c r="N106" s="100">
        <f t="shared" ref="N106:N127" si="63">L106-J106</f>
        <v>-8795</v>
      </c>
      <c r="O106" s="101">
        <f t="shared" ref="O106:O109" si="64">L106/J106-1</f>
        <v>-0.124751773</v>
      </c>
      <c r="P106" s="102">
        <f t="shared" ref="P106:P127" si="65">H106*O106</f>
        <v>-26385</v>
      </c>
      <c r="Q106" s="32"/>
      <c r="R106" s="32"/>
      <c r="S106" s="103"/>
      <c r="T106" s="15"/>
      <c r="U106" s="15"/>
      <c r="V106" s="15"/>
      <c r="W106" s="41"/>
      <c r="X106" s="20"/>
      <c r="Y106" s="20"/>
      <c r="Z106" s="104"/>
      <c r="AA106" s="105"/>
      <c r="AB106" s="106"/>
      <c r="AC106" s="106"/>
    </row>
    <row r="107">
      <c r="A107" s="38"/>
      <c r="B107" s="32"/>
      <c r="C107" s="14">
        <f>I107/E135</f>
        <v>0.005634823529</v>
      </c>
      <c r="D107" s="96" t="s">
        <v>184</v>
      </c>
      <c r="E107" s="16" t="s">
        <v>185</v>
      </c>
      <c r="F107" s="17">
        <v>7.8</v>
      </c>
      <c r="G107" s="97">
        <v>2.0</v>
      </c>
      <c r="H107" s="19">
        <f t="shared" si="61"/>
        <v>131140</v>
      </c>
      <c r="I107" s="20">
        <f t="shared" si="62"/>
        <v>123410</v>
      </c>
      <c r="J107" s="27">
        <v>65570.0</v>
      </c>
      <c r="K107" s="98"/>
      <c r="L107" s="99">
        <v>61705.0</v>
      </c>
      <c r="M107" s="100"/>
      <c r="N107" s="100">
        <f t="shared" si="63"/>
        <v>-3865</v>
      </c>
      <c r="O107" s="101">
        <f t="shared" si="64"/>
        <v>-0.05894463932</v>
      </c>
      <c r="P107" s="102">
        <f t="shared" si="65"/>
        <v>-7730</v>
      </c>
      <c r="Q107" s="32"/>
      <c r="R107" s="32"/>
      <c r="S107" s="27"/>
      <c r="T107" s="15"/>
      <c r="U107" s="15"/>
      <c r="V107" s="15"/>
      <c r="W107" s="36"/>
      <c r="X107" s="27"/>
      <c r="Y107" s="27"/>
      <c r="Z107" s="104" t="s">
        <v>186</v>
      </c>
      <c r="AA107" s="108">
        <v>45463.0</v>
      </c>
      <c r="AB107" s="109">
        <v>65570.0</v>
      </c>
      <c r="AC107" s="20">
        <v>131140.0</v>
      </c>
    </row>
    <row r="108">
      <c r="A108" s="38"/>
      <c r="B108" s="32"/>
      <c r="C108" s="14">
        <f>I108/E135</f>
        <v>0.01557897892</v>
      </c>
      <c r="D108" s="15" t="s">
        <v>187</v>
      </c>
      <c r="E108" s="45" t="s">
        <v>188</v>
      </c>
      <c r="F108" s="17">
        <v>7.8</v>
      </c>
      <c r="G108" s="97">
        <v>100.0</v>
      </c>
      <c r="H108" s="19">
        <f t="shared" si="61"/>
        <v>360000</v>
      </c>
      <c r="I108" s="20">
        <f t="shared" si="62"/>
        <v>341200</v>
      </c>
      <c r="J108" s="27">
        <v>3600.0</v>
      </c>
      <c r="K108" s="98"/>
      <c r="L108" s="99">
        <v>3412.0</v>
      </c>
      <c r="M108" s="100"/>
      <c r="N108" s="100">
        <f t="shared" si="63"/>
        <v>-188</v>
      </c>
      <c r="O108" s="101">
        <f t="shared" si="64"/>
        <v>-0.05222222222</v>
      </c>
      <c r="P108" s="102">
        <f t="shared" si="65"/>
        <v>-18800</v>
      </c>
      <c r="Q108" s="32"/>
      <c r="R108" s="32"/>
      <c r="S108" s="27"/>
      <c r="T108" s="15"/>
      <c r="U108" s="15"/>
      <c r="V108" s="15"/>
      <c r="W108" s="36"/>
      <c r="X108" s="27"/>
      <c r="Y108" s="27"/>
      <c r="Z108" s="104"/>
      <c r="AA108" s="108"/>
      <c r="AB108" s="109"/>
      <c r="AC108" s="20"/>
    </row>
    <row r="109">
      <c r="A109" s="38"/>
      <c r="B109" s="32"/>
      <c r="C109" s="14">
        <f>I109/E135</f>
        <v>0.005616103185</v>
      </c>
      <c r="D109" s="15" t="s">
        <v>190</v>
      </c>
      <c r="E109" s="15" t="s">
        <v>191</v>
      </c>
      <c r="F109" s="17">
        <v>7.4</v>
      </c>
      <c r="G109" s="97">
        <v>1000000.0</v>
      </c>
      <c r="H109" s="19">
        <f t="shared" si="61"/>
        <v>208000</v>
      </c>
      <c r="I109" s="20">
        <f t="shared" si="62"/>
        <v>123000</v>
      </c>
      <c r="J109" s="111">
        <v>0.208</v>
      </c>
      <c r="K109" s="98"/>
      <c r="L109" s="112">
        <v>0.123</v>
      </c>
      <c r="M109" s="283"/>
      <c r="N109" s="100">
        <f t="shared" si="63"/>
        <v>-0.085</v>
      </c>
      <c r="O109" s="101">
        <f t="shared" si="64"/>
        <v>-0.4086538462</v>
      </c>
      <c r="P109" s="102">
        <f t="shared" si="65"/>
        <v>-85000</v>
      </c>
      <c r="Q109" s="32"/>
      <c r="R109" s="32"/>
      <c r="S109" s="21"/>
      <c r="T109" s="15"/>
      <c r="U109" s="15"/>
      <c r="V109" s="15"/>
      <c r="W109" s="41"/>
      <c r="X109" s="21"/>
      <c r="Y109" s="20"/>
      <c r="Z109" s="104"/>
      <c r="AA109" s="105"/>
      <c r="AB109" s="110"/>
      <c r="AC109" s="20"/>
    </row>
    <row r="110">
      <c r="A110" s="114"/>
      <c r="B110" s="115"/>
      <c r="C110" s="116">
        <f>I110/E135</f>
        <v>0</v>
      </c>
      <c r="D110" s="15" t="s">
        <v>190</v>
      </c>
      <c r="E110" s="15" t="s">
        <v>191</v>
      </c>
      <c r="F110" s="17">
        <v>7.4</v>
      </c>
      <c r="G110" s="119">
        <v>500000.0</v>
      </c>
      <c r="H110" s="19">
        <f t="shared" si="61"/>
        <v>65200</v>
      </c>
      <c r="I110" s="20">
        <v>0.0</v>
      </c>
      <c r="J110" s="134">
        <v>0.1304</v>
      </c>
      <c r="K110" s="121"/>
      <c r="L110" s="112">
        <v>0.123</v>
      </c>
      <c r="M110" s="140">
        <v>0.1658</v>
      </c>
      <c r="N110" s="100">
        <f t="shared" si="63"/>
        <v>-0.0074</v>
      </c>
      <c r="O110" s="101">
        <f t="shared" ref="O110:O112" si="66">M110/J110-1</f>
        <v>0.2714723926</v>
      </c>
      <c r="P110" s="102">
        <f t="shared" si="65"/>
        <v>17700</v>
      </c>
      <c r="Q110" s="124"/>
      <c r="R110" s="125"/>
      <c r="S110" s="126"/>
      <c r="T110" s="125"/>
      <c r="U110" s="125"/>
      <c r="V110" s="127" t="s">
        <v>192</v>
      </c>
      <c r="W110" s="128">
        <v>45440.0</v>
      </c>
      <c r="X110" s="140">
        <v>0.1658</v>
      </c>
      <c r="Y110" s="129">
        <v>82900.0</v>
      </c>
      <c r="Z110" s="130" t="s">
        <v>192</v>
      </c>
      <c r="AA110" s="131">
        <v>45414.0</v>
      </c>
      <c r="AB110" s="136">
        <v>0.1304</v>
      </c>
      <c r="AC110" s="133">
        <v>65200.0</v>
      </c>
    </row>
    <row r="111">
      <c r="A111" s="114"/>
      <c r="B111" s="115"/>
      <c r="C111" s="116">
        <f>I111/E135</f>
        <v>0</v>
      </c>
      <c r="D111" s="15" t="s">
        <v>190</v>
      </c>
      <c r="E111" s="15" t="s">
        <v>191</v>
      </c>
      <c r="F111" s="17">
        <v>7.4</v>
      </c>
      <c r="G111" s="119">
        <v>500000.0</v>
      </c>
      <c r="H111" s="19">
        <f t="shared" si="61"/>
        <v>93450</v>
      </c>
      <c r="I111" s="20">
        <v>0.0</v>
      </c>
      <c r="J111" s="134">
        <v>0.1869</v>
      </c>
      <c r="K111" s="121"/>
      <c r="L111" s="112">
        <v>0.123</v>
      </c>
      <c r="M111" s="140">
        <v>0.14944</v>
      </c>
      <c r="N111" s="100">
        <f t="shared" si="63"/>
        <v>-0.0639</v>
      </c>
      <c r="O111" s="101">
        <f t="shared" si="66"/>
        <v>-0.2004280364</v>
      </c>
      <c r="P111" s="102">
        <f t="shared" si="65"/>
        <v>-18730</v>
      </c>
      <c r="Q111" s="124"/>
      <c r="R111" s="125"/>
      <c r="S111" s="126"/>
      <c r="T111" s="125"/>
      <c r="U111" s="125"/>
      <c r="V111" s="127" t="s">
        <v>192</v>
      </c>
      <c r="W111" s="128">
        <v>45407.0</v>
      </c>
      <c r="X111" s="140">
        <v>0.1494</v>
      </c>
      <c r="Y111" s="129">
        <v>74720.0</v>
      </c>
      <c r="Z111" s="130" t="s">
        <v>192</v>
      </c>
      <c r="AA111" s="131">
        <v>45384.0</v>
      </c>
      <c r="AB111" s="136">
        <v>0.1869</v>
      </c>
      <c r="AC111" s="133">
        <v>93450.0</v>
      </c>
    </row>
    <row r="112">
      <c r="A112" s="114"/>
      <c r="B112" s="115"/>
      <c r="C112" s="116">
        <f>I112/E135</f>
        <v>0</v>
      </c>
      <c r="D112" s="117" t="s">
        <v>197</v>
      </c>
      <c r="E112" s="117" t="s">
        <v>198</v>
      </c>
      <c r="F112" s="118">
        <v>7.2</v>
      </c>
      <c r="G112" s="119">
        <v>3000000.0</v>
      </c>
      <c r="H112" s="19">
        <f t="shared" si="61"/>
        <v>99090</v>
      </c>
      <c r="I112" s="20">
        <v>0.0</v>
      </c>
      <c r="J112" s="134">
        <v>0.03303</v>
      </c>
      <c r="K112" s="121"/>
      <c r="L112" s="112">
        <v>0.01742</v>
      </c>
      <c r="M112" s="135">
        <v>0.0252</v>
      </c>
      <c r="N112" s="100">
        <f t="shared" si="63"/>
        <v>-0.01561</v>
      </c>
      <c r="O112" s="101">
        <f t="shared" si="66"/>
        <v>-0.2370572207</v>
      </c>
      <c r="P112" s="102">
        <f t="shared" si="65"/>
        <v>-23490</v>
      </c>
      <c r="Q112" s="124"/>
      <c r="R112" s="125"/>
      <c r="S112" s="126"/>
      <c r="T112" s="125"/>
      <c r="U112" s="125"/>
      <c r="V112" s="127" t="s">
        <v>199</v>
      </c>
      <c r="W112" s="128">
        <v>45408.0</v>
      </c>
      <c r="X112" s="135">
        <v>0.0252</v>
      </c>
      <c r="Y112" s="129">
        <v>75600.0</v>
      </c>
      <c r="Z112" s="130" t="s">
        <v>358</v>
      </c>
      <c r="AA112" s="131">
        <v>45384.0</v>
      </c>
      <c r="AB112" s="136">
        <v>0.03303</v>
      </c>
      <c r="AC112" s="133">
        <v>99090.0</v>
      </c>
    </row>
    <row r="113">
      <c r="A113" s="114"/>
      <c r="B113" s="115"/>
      <c r="C113" s="116">
        <f>I113/E135</f>
        <v>0.002803485655</v>
      </c>
      <c r="D113" s="117" t="s">
        <v>194</v>
      </c>
      <c r="E113" s="117" t="s">
        <v>195</v>
      </c>
      <c r="F113" s="118">
        <v>7.5</v>
      </c>
      <c r="G113" s="119">
        <v>10000.0</v>
      </c>
      <c r="H113" s="19">
        <f t="shared" si="61"/>
        <v>85880</v>
      </c>
      <c r="I113" s="20">
        <f t="shared" ref="I113:I114" si="67">H113+P113</f>
        <v>61400</v>
      </c>
      <c r="J113" s="120">
        <v>8.588</v>
      </c>
      <c r="K113" s="121"/>
      <c r="L113" s="122">
        <v>6.14</v>
      </c>
      <c r="M113" s="123"/>
      <c r="N113" s="100">
        <f t="shared" si="63"/>
        <v>-2.448</v>
      </c>
      <c r="O113" s="101">
        <f t="shared" ref="O113:O114" si="68">L113/J113-1</f>
        <v>-0.2850489054</v>
      </c>
      <c r="P113" s="102">
        <f t="shared" si="65"/>
        <v>-24480</v>
      </c>
      <c r="Q113" s="124"/>
      <c r="R113" s="125"/>
      <c r="S113" s="126"/>
      <c r="T113" s="125"/>
      <c r="U113" s="125"/>
      <c r="V113" s="127"/>
      <c r="W113" s="128"/>
      <c r="X113" s="123"/>
      <c r="Y113" s="129"/>
      <c r="Z113" s="130" t="s">
        <v>196</v>
      </c>
      <c r="AA113" s="131">
        <v>45384.0</v>
      </c>
      <c r="AB113" s="132">
        <v>8.588</v>
      </c>
      <c r="AC113" s="133">
        <v>85880.0</v>
      </c>
    </row>
    <row r="114">
      <c r="A114" s="114"/>
      <c r="B114" s="115"/>
      <c r="C114" s="116">
        <f>I114/E135</f>
        <v>0.002386158963</v>
      </c>
      <c r="D114" s="117" t="s">
        <v>197</v>
      </c>
      <c r="E114" s="117" t="s">
        <v>198</v>
      </c>
      <c r="F114" s="118">
        <v>7.2</v>
      </c>
      <c r="G114" s="119">
        <v>3000000.0</v>
      </c>
      <c r="H114" s="19">
        <f t="shared" si="61"/>
        <v>70410</v>
      </c>
      <c r="I114" s="20">
        <f t="shared" si="67"/>
        <v>52260</v>
      </c>
      <c r="J114" s="134">
        <v>0.02347</v>
      </c>
      <c r="K114" s="121"/>
      <c r="L114" s="112">
        <v>0.01742</v>
      </c>
      <c r="M114" s="135"/>
      <c r="N114" s="100">
        <f t="shared" si="63"/>
        <v>-0.00605</v>
      </c>
      <c r="O114" s="101">
        <f t="shared" si="68"/>
        <v>-0.2577758841</v>
      </c>
      <c r="P114" s="102">
        <f t="shared" si="65"/>
        <v>-18150</v>
      </c>
      <c r="Q114" s="124"/>
      <c r="R114" s="125"/>
      <c r="S114" s="126"/>
      <c r="T114" s="125"/>
      <c r="U114" s="125"/>
      <c r="V114" s="127"/>
      <c r="W114" s="128"/>
      <c r="X114" s="135"/>
      <c r="Y114" s="129"/>
      <c r="Z114" s="130" t="s">
        <v>358</v>
      </c>
      <c r="AA114" s="131">
        <v>45414.0</v>
      </c>
      <c r="AB114" s="136">
        <v>0.02347</v>
      </c>
      <c r="AC114" s="133">
        <v>70410.0</v>
      </c>
    </row>
    <row r="115">
      <c r="A115" s="114"/>
      <c r="B115" s="115"/>
      <c r="C115" s="116">
        <f>I115/E135</f>
        <v>0</v>
      </c>
      <c r="D115" s="117" t="s">
        <v>197</v>
      </c>
      <c r="E115" s="117" t="s">
        <v>198</v>
      </c>
      <c r="F115" s="118">
        <v>7.2</v>
      </c>
      <c r="G115" s="119">
        <v>2000000.0</v>
      </c>
      <c r="H115" s="19">
        <f t="shared" si="61"/>
        <v>77400</v>
      </c>
      <c r="I115" s="20">
        <v>0.0</v>
      </c>
      <c r="J115" s="134">
        <v>0.0387</v>
      </c>
      <c r="K115" s="121"/>
      <c r="L115" s="112">
        <v>0.01742</v>
      </c>
      <c r="M115" s="135">
        <v>0.02518</v>
      </c>
      <c r="N115" s="100">
        <f t="shared" si="63"/>
        <v>-0.02128</v>
      </c>
      <c r="O115" s="101">
        <f t="shared" ref="O115:O117" si="69">M115/J115-1</f>
        <v>-0.3493540052</v>
      </c>
      <c r="P115" s="102">
        <f t="shared" si="65"/>
        <v>-27040</v>
      </c>
      <c r="Q115" s="124"/>
      <c r="R115" s="125"/>
      <c r="S115" s="126"/>
      <c r="T115" s="125"/>
      <c r="U115" s="125"/>
      <c r="V115" s="127" t="s">
        <v>199</v>
      </c>
      <c r="W115" s="128">
        <v>45407.0</v>
      </c>
      <c r="X115" s="135">
        <v>0.02518</v>
      </c>
      <c r="Y115" s="129">
        <v>50360.0</v>
      </c>
      <c r="Z115" s="130"/>
      <c r="AA115" s="131"/>
      <c r="AB115" s="144"/>
      <c r="AC115" s="133"/>
    </row>
    <row r="116">
      <c r="A116" s="114"/>
      <c r="B116" s="115"/>
      <c r="C116" s="116">
        <f>I116/E135</f>
        <v>0</v>
      </c>
      <c r="D116" s="117" t="s">
        <v>359</v>
      </c>
      <c r="E116" s="117" t="s">
        <v>360</v>
      </c>
      <c r="F116" s="118">
        <v>7.5</v>
      </c>
      <c r="G116" s="119">
        <v>3000.0</v>
      </c>
      <c r="H116" s="19">
        <f t="shared" si="61"/>
        <v>86790</v>
      </c>
      <c r="I116" s="20">
        <v>0.0</v>
      </c>
      <c r="J116" s="141">
        <v>28.93</v>
      </c>
      <c r="K116" s="121"/>
      <c r="L116" s="142">
        <v>24.42</v>
      </c>
      <c r="M116" s="123">
        <v>30.46</v>
      </c>
      <c r="N116" s="100">
        <f t="shared" si="63"/>
        <v>-4.51</v>
      </c>
      <c r="O116" s="101">
        <f t="shared" si="69"/>
        <v>0.05288627722</v>
      </c>
      <c r="P116" s="102">
        <f t="shared" si="65"/>
        <v>4590</v>
      </c>
      <c r="Q116" s="124"/>
      <c r="R116" s="125"/>
      <c r="S116" s="126"/>
      <c r="T116" s="125"/>
      <c r="U116" s="125"/>
      <c r="V116" s="127" t="s">
        <v>361</v>
      </c>
      <c r="W116" s="128">
        <v>45440.0</v>
      </c>
      <c r="X116" s="123">
        <v>30.46</v>
      </c>
      <c r="Y116" s="129">
        <v>91380.0</v>
      </c>
      <c r="Z116" s="130" t="s">
        <v>361</v>
      </c>
      <c r="AA116" s="131">
        <v>45414.0</v>
      </c>
      <c r="AB116" s="144">
        <v>28.93</v>
      </c>
      <c r="AC116" s="133">
        <v>86790.0</v>
      </c>
    </row>
    <row r="117">
      <c r="A117" s="114"/>
      <c r="B117" s="115"/>
      <c r="C117" s="116">
        <f>I117/E135</f>
        <v>0</v>
      </c>
      <c r="D117" s="117" t="s">
        <v>359</v>
      </c>
      <c r="E117" s="117" t="s">
        <v>360</v>
      </c>
      <c r="F117" s="118">
        <v>7.5</v>
      </c>
      <c r="G117" s="119">
        <v>2000.0</v>
      </c>
      <c r="H117" s="19">
        <f t="shared" si="61"/>
        <v>56880</v>
      </c>
      <c r="I117" s="20">
        <v>0.0</v>
      </c>
      <c r="J117" s="141">
        <v>28.44</v>
      </c>
      <c r="K117" s="121"/>
      <c r="L117" s="142">
        <v>24.42</v>
      </c>
      <c r="M117" s="123">
        <v>30.01</v>
      </c>
      <c r="N117" s="100">
        <f t="shared" si="63"/>
        <v>-4.02</v>
      </c>
      <c r="O117" s="101">
        <f t="shared" si="69"/>
        <v>0.05520393812</v>
      </c>
      <c r="P117" s="102">
        <f t="shared" si="65"/>
        <v>3140</v>
      </c>
      <c r="Q117" s="124"/>
      <c r="R117" s="125"/>
      <c r="S117" s="126"/>
      <c r="T117" s="125"/>
      <c r="U117" s="125"/>
      <c r="V117" s="127" t="s">
        <v>361</v>
      </c>
      <c r="W117" s="128">
        <v>45407.0</v>
      </c>
      <c r="X117" s="123">
        <v>30.01</v>
      </c>
      <c r="Y117" s="129">
        <v>60020.0</v>
      </c>
      <c r="Z117" s="130" t="s">
        <v>361</v>
      </c>
      <c r="AA117" s="131">
        <v>45400.0</v>
      </c>
      <c r="AB117" s="144">
        <v>28.44</v>
      </c>
      <c r="AC117" s="133">
        <v>56880.0</v>
      </c>
    </row>
    <row r="118">
      <c r="A118" s="114"/>
      <c r="B118" s="115"/>
      <c r="C118" s="116">
        <f>I118/E135</f>
        <v>0.003247751378</v>
      </c>
      <c r="D118" s="15" t="s">
        <v>200</v>
      </c>
      <c r="E118" s="42" t="s">
        <v>201</v>
      </c>
      <c r="F118" s="17">
        <v>7.5</v>
      </c>
      <c r="G118" s="119">
        <v>150000.0</v>
      </c>
      <c r="H118" s="19">
        <f t="shared" si="61"/>
        <v>77730</v>
      </c>
      <c r="I118" s="20">
        <f t="shared" ref="I118:I122" si="70">H118+P118</f>
        <v>71130</v>
      </c>
      <c r="J118" s="134">
        <v>0.5182</v>
      </c>
      <c r="K118" s="121"/>
      <c r="L118" s="145">
        <v>0.4742</v>
      </c>
      <c r="M118" s="123"/>
      <c r="N118" s="100">
        <f t="shared" si="63"/>
        <v>-0.044</v>
      </c>
      <c r="O118" s="143">
        <f t="shared" ref="O118:O122" si="71">L118/J118-1</f>
        <v>-0.08490930143</v>
      </c>
      <c r="P118" s="102">
        <f t="shared" si="65"/>
        <v>-6600</v>
      </c>
      <c r="Q118" s="124"/>
      <c r="R118" s="125"/>
      <c r="S118" s="126"/>
      <c r="T118" s="125"/>
      <c r="U118" s="125"/>
      <c r="V118" s="127"/>
      <c r="W118" s="128"/>
      <c r="X118" s="123"/>
      <c r="Y118" s="129"/>
      <c r="Z118" s="130" t="s">
        <v>202</v>
      </c>
      <c r="AA118" s="131">
        <v>45460.0</v>
      </c>
      <c r="AB118" s="136">
        <v>0.5182</v>
      </c>
      <c r="AC118" s="133">
        <v>77730.0</v>
      </c>
    </row>
    <row r="119">
      <c r="A119" s="114"/>
      <c r="B119" s="115"/>
      <c r="C119" s="116">
        <f>I119/E135</f>
        <v>0.003397057536</v>
      </c>
      <c r="D119" s="15" t="s">
        <v>203</v>
      </c>
      <c r="E119" s="42" t="s">
        <v>204</v>
      </c>
      <c r="F119" s="17">
        <v>7.5</v>
      </c>
      <c r="G119" s="119">
        <v>1000.0</v>
      </c>
      <c r="H119" s="19">
        <f t="shared" si="61"/>
        <v>77770</v>
      </c>
      <c r="I119" s="20">
        <f t="shared" si="70"/>
        <v>74400</v>
      </c>
      <c r="J119" s="141">
        <v>77.77</v>
      </c>
      <c r="K119" s="121"/>
      <c r="L119" s="142">
        <v>74.4</v>
      </c>
      <c r="M119" s="123"/>
      <c r="N119" s="100">
        <f t="shared" si="63"/>
        <v>-3.37</v>
      </c>
      <c r="O119" s="143">
        <f t="shared" si="71"/>
        <v>-0.04333290472</v>
      </c>
      <c r="P119" s="102">
        <f t="shared" si="65"/>
        <v>-3370</v>
      </c>
      <c r="Q119" s="124"/>
      <c r="R119" s="125"/>
      <c r="S119" s="126"/>
      <c r="T119" s="125"/>
      <c r="U119" s="125"/>
      <c r="V119" s="127"/>
      <c r="W119" s="128"/>
      <c r="X119" s="123"/>
      <c r="Y119" s="129"/>
      <c r="Z119" s="130" t="s">
        <v>205</v>
      </c>
      <c r="AA119" s="131">
        <v>45460.0</v>
      </c>
      <c r="AB119" s="144">
        <v>77.77</v>
      </c>
      <c r="AC119" s="133">
        <v>77700.0</v>
      </c>
    </row>
    <row r="120">
      <c r="A120" s="114"/>
      <c r="B120" s="115"/>
      <c r="C120" s="116">
        <f>I120/E135</f>
        <v>0.003543167538</v>
      </c>
      <c r="D120" s="117" t="s">
        <v>206</v>
      </c>
      <c r="E120" s="117" t="s">
        <v>207</v>
      </c>
      <c r="F120" s="118">
        <v>7.7</v>
      </c>
      <c r="G120" s="119">
        <v>200.0</v>
      </c>
      <c r="H120" s="19">
        <f t="shared" si="61"/>
        <v>85400</v>
      </c>
      <c r="I120" s="20">
        <f t="shared" si="70"/>
        <v>77600</v>
      </c>
      <c r="J120" s="141">
        <v>427.0</v>
      </c>
      <c r="K120" s="121"/>
      <c r="L120" s="142">
        <v>388.0</v>
      </c>
      <c r="M120" s="123"/>
      <c r="N120" s="100">
        <f t="shared" si="63"/>
        <v>-39</v>
      </c>
      <c r="O120" s="143">
        <f t="shared" si="71"/>
        <v>-0.09133489461</v>
      </c>
      <c r="P120" s="102">
        <f t="shared" si="65"/>
        <v>-7800</v>
      </c>
      <c r="Q120" s="124"/>
      <c r="R120" s="125"/>
      <c r="S120" s="126"/>
      <c r="T120" s="125"/>
      <c r="U120" s="125"/>
      <c r="V120" s="127"/>
      <c r="W120" s="128"/>
      <c r="X120" s="123"/>
      <c r="Y120" s="129"/>
      <c r="Z120" s="130" t="s">
        <v>208</v>
      </c>
      <c r="AA120" s="131">
        <v>45460.0</v>
      </c>
      <c r="AB120" s="144">
        <v>427.0</v>
      </c>
      <c r="AC120" s="133">
        <v>85400.0</v>
      </c>
    </row>
    <row r="121">
      <c r="A121" s="114"/>
      <c r="B121" s="115"/>
      <c r="C121" s="116">
        <f>I121/E135</f>
        <v>0.005314751307</v>
      </c>
      <c r="D121" s="117" t="s">
        <v>206</v>
      </c>
      <c r="E121" s="117" t="s">
        <v>207</v>
      </c>
      <c r="F121" s="118">
        <v>7.7</v>
      </c>
      <c r="G121" s="119">
        <v>300.0</v>
      </c>
      <c r="H121" s="19">
        <f t="shared" si="61"/>
        <v>118350</v>
      </c>
      <c r="I121" s="20">
        <f t="shared" si="70"/>
        <v>116400</v>
      </c>
      <c r="J121" s="141">
        <v>394.5</v>
      </c>
      <c r="K121" s="121"/>
      <c r="L121" s="142">
        <v>388.0</v>
      </c>
      <c r="M121" s="123"/>
      <c r="N121" s="100">
        <f t="shared" si="63"/>
        <v>-6.5</v>
      </c>
      <c r="O121" s="143">
        <f t="shared" si="71"/>
        <v>-0.0164765526</v>
      </c>
      <c r="P121" s="102">
        <f t="shared" si="65"/>
        <v>-1950</v>
      </c>
      <c r="Q121" s="124"/>
      <c r="R121" s="125"/>
      <c r="S121" s="126"/>
      <c r="T121" s="125"/>
      <c r="U121" s="125"/>
      <c r="V121" s="127"/>
      <c r="W121" s="128"/>
      <c r="X121" s="123"/>
      <c r="Y121" s="129"/>
      <c r="Z121" s="130" t="s">
        <v>208</v>
      </c>
      <c r="AA121" s="131">
        <v>45463.0</v>
      </c>
      <c r="AB121" s="144">
        <v>394.5</v>
      </c>
      <c r="AC121" s="133">
        <v>118350.0</v>
      </c>
    </row>
    <row r="122">
      <c r="A122" s="114"/>
      <c r="B122" s="115"/>
      <c r="C122" s="116">
        <f>I122/E135</f>
        <v>0.004775057489</v>
      </c>
      <c r="D122" s="117" t="s">
        <v>221</v>
      </c>
      <c r="E122" s="117" t="s">
        <v>222</v>
      </c>
      <c r="F122" s="118">
        <v>7.7</v>
      </c>
      <c r="G122" s="119">
        <v>2000.0</v>
      </c>
      <c r="H122" s="19">
        <f t="shared" si="61"/>
        <v>90800</v>
      </c>
      <c r="I122" s="20">
        <f t="shared" si="70"/>
        <v>104580</v>
      </c>
      <c r="J122" s="141">
        <v>45.4</v>
      </c>
      <c r="K122" s="152">
        <f>IFERROR(__xludf.DUMMYFUNCTION("GOOGLEFINANCE(E122,""changepct"")"),-3.44)</f>
        <v>-3.44</v>
      </c>
      <c r="L122" s="153">
        <f>IFERROR(__xludf.DUMMYFUNCTION("googlefinance(E122,""price"")"),52.29)</f>
        <v>52.29</v>
      </c>
      <c r="M122" s="123"/>
      <c r="N122" s="100">
        <f t="shared" si="63"/>
        <v>6.89</v>
      </c>
      <c r="O122" s="143">
        <f t="shared" si="71"/>
        <v>0.1517621145</v>
      </c>
      <c r="P122" s="102">
        <f t="shared" si="65"/>
        <v>13780</v>
      </c>
      <c r="Q122" s="124"/>
      <c r="R122" s="125"/>
      <c r="S122" s="126"/>
      <c r="T122" s="125"/>
      <c r="U122" s="125"/>
      <c r="V122" s="127"/>
      <c r="W122" s="128"/>
      <c r="X122" s="123"/>
      <c r="Y122" s="129"/>
      <c r="Z122" s="130" t="s">
        <v>222</v>
      </c>
      <c r="AA122" s="131">
        <v>45384.0</v>
      </c>
      <c r="AB122" s="144">
        <v>45.4</v>
      </c>
      <c r="AC122" s="133">
        <v>90800.0</v>
      </c>
    </row>
    <row r="123">
      <c r="A123" s="114"/>
      <c r="B123" s="115"/>
      <c r="C123" s="116">
        <f>I123/E135</f>
        <v>0</v>
      </c>
      <c r="D123" s="117" t="s">
        <v>223</v>
      </c>
      <c r="E123" s="117" t="s">
        <v>224</v>
      </c>
      <c r="F123" s="118">
        <v>7.8</v>
      </c>
      <c r="G123" s="119">
        <v>5000.0</v>
      </c>
      <c r="H123" s="19">
        <f t="shared" si="61"/>
        <v>108100</v>
      </c>
      <c r="I123" s="154">
        <v>0.0</v>
      </c>
      <c r="J123" s="141">
        <v>21.62</v>
      </c>
      <c r="K123" s="152">
        <f>IFERROR(__xludf.DUMMYFUNCTION("GOOGLEFINANCE(E123,""changepct"")"),1.75)</f>
        <v>1.75</v>
      </c>
      <c r="L123" s="142">
        <v>33.27</v>
      </c>
      <c r="M123" s="123">
        <v>33.54</v>
      </c>
      <c r="N123" s="100">
        <f t="shared" si="63"/>
        <v>11.65</v>
      </c>
      <c r="O123" s="143">
        <f t="shared" ref="O123:O124" si="72">M123/J123-1</f>
        <v>0.5513413506</v>
      </c>
      <c r="P123" s="102">
        <f t="shared" si="65"/>
        <v>59600</v>
      </c>
      <c r="Q123" s="124"/>
      <c r="R123" s="125"/>
      <c r="S123" s="126"/>
      <c r="T123" s="125"/>
      <c r="U123" s="125"/>
      <c r="V123" s="127" t="s">
        <v>224</v>
      </c>
      <c r="W123" s="128">
        <v>45433.0</v>
      </c>
      <c r="X123" s="123">
        <v>33.54</v>
      </c>
      <c r="Y123" s="129">
        <v>167700.0</v>
      </c>
      <c r="Z123" s="130" t="s">
        <v>224</v>
      </c>
      <c r="AA123" s="131">
        <v>45414.0</v>
      </c>
      <c r="AB123" s="144">
        <v>21.62</v>
      </c>
      <c r="AC123" s="133">
        <v>108100.0</v>
      </c>
    </row>
    <row r="124">
      <c r="A124" s="114"/>
      <c r="B124" s="115"/>
      <c r="C124" s="116">
        <f>I124/E135</f>
        <v>0</v>
      </c>
      <c r="D124" s="117" t="s">
        <v>223</v>
      </c>
      <c r="E124" s="117" t="s">
        <v>224</v>
      </c>
      <c r="F124" s="118">
        <v>7.8</v>
      </c>
      <c r="G124" s="119">
        <v>5000.0</v>
      </c>
      <c r="H124" s="19">
        <f t="shared" si="61"/>
        <v>130750</v>
      </c>
      <c r="I124" s="154">
        <v>0.0</v>
      </c>
      <c r="J124" s="141">
        <v>26.15</v>
      </c>
      <c r="K124" s="152">
        <f>IFERROR(__xludf.DUMMYFUNCTION("GOOGLEFINANCE(E124,""changepct"")"),1.75)</f>
        <v>1.75</v>
      </c>
      <c r="L124" s="142">
        <v>33.27</v>
      </c>
      <c r="M124" s="123">
        <v>36.11</v>
      </c>
      <c r="N124" s="100">
        <f t="shared" si="63"/>
        <v>7.12</v>
      </c>
      <c r="O124" s="143">
        <f t="shared" si="72"/>
        <v>0.3808795411</v>
      </c>
      <c r="P124" s="102">
        <f t="shared" si="65"/>
        <v>49800</v>
      </c>
      <c r="Q124" s="124"/>
      <c r="R124" s="125"/>
      <c r="S124" s="126"/>
      <c r="T124" s="125"/>
      <c r="U124" s="125"/>
      <c r="V124" s="127" t="s">
        <v>224</v>
      </c>
      <c r="W124" s="128">
        <v>45440.0</v>
      </c>
      <c r="X124" s="123">
        <v>36.11</v>
      </c>
      <c r="Y124" s="129">
        <v>180550.0</v>
      </c>
      <c r="Z124" s="130"/>
      <c r="AA124" s="131"/>
      <c r="AB124" s="144"/>
      <c r="AC124" s="133"/>
    </row>
    <row r="125">
      <c r="A125" s="114"/>
      <c r="B125" s="115"/>
      <c r="C125" s="116">
        <f>I125/E135</f>
        <v>0.007595437112</v>
      </c>
      <c r="D125" s="117" t="s">
        <v>223</v>
      </c>
      <c r="E125" s="117" t="s">
        <v>224</v>
      </c>
      <c r="F125" s="118">
        <v>7.8</v>
      </c>
      <c r="G125" s="119">
        <v>5000.0</v>
      </c>
      <c r="H125" s="19">
        <f t="shared" si="61"/>
        <v>130750</v>
      </c>
      <c r="I125" s="154">
        <f t="shared" ref="I125:I126" si="73">H125+P125</f>
        <v>166350</v>
      </c>
      <c r="J125" s="141">
        <v>26.15</v>
      </c>
      <c r="K125" s="152">
        <f>IFERROR(__xludf.DUMMYFUNCTION("GOOGLEFINANCE(E125,""changepct"")"),1.75)</f>
        <v>1.75</v>
      </c>
      <c r="L125" s="142">
        <v>33.27</v>
      </c>
      <c r="M125" s="123"/>
      <c r="N125" s="100">
        <f t="shared" si="63"/>
        <v>7.12</v>
      </c>
      <c r="O125" s="143">
        <f t="shared" ref="O125:O126" si="74">L125/J125-1</f>
        <v>0.2722753346</v>
      </c>
      <c r="P125" s="155">
        <f t="shared" si="65"/>
        <v>35600</v>
      </c>
      <c r="Q125" s="124"/>
      <c r="R125" s="125"/>
      <c r="S125" s="126"/>
      <c r="T125" s="125"/>
      <c r="U125" s="125"/>
      <c r="V125" s="127"/>
      <c r="W125" s="128"/>
      <c r="X125" s="123"/>
      <c r="Y125" s="129"/>
      <c r="Z125" s="130"/>
      <c r="AA125" s="131"/>
      <c r="AB125" s="144"/>
      <c r="AC125" s="154"/>
    </row>
    <row r="126">
      <c r="A126" s="162"/>
      <c r="B126" s="163"/>
      <c r="C126" s="164">
        <f>I126/E135</f>
        <v>0.00276659288</v>
      </c>
      <c r="D126" s="156" t="s">
        <v>225</v>
      </c>
      <c r="E126" s="156" t="s">
        <v>226</v>
      </c>
      <c r="F126" s="157">
        <v>7.8</v>
      </c>
      <c r="G126" s="165">
        <v>200.0</v>
      </c>
      <c r="H126" s="155">
        <f t="shared" si="61"/>
        <v>222000</v>
      </c>
      <c r="I126" s="155">
        <f t="shared" si="73"/>
        <v>60592</v>
      </c>
      <c r="J126" s="144">
        <v>1110.0</v>
      </c>
      <c r="K126" s="152">
        <f>IFERROR(__xludf.DUMMYFUNCTION("GOOGLEFINANCE(E126,""changepct"")"),-8.19)</f>
        <v>-8.19</v>
      </c>
      <c r="L126" s="153">
        <f>IFERROR(__xludf.DUMMYFUNCTION("googlefinance(E126,""price"")"),302.96)</f>
        <v>302.96</v>
      </c>
      <c r="M126" s="166"/>
      <c r="N126" s="161">
        <f t="shared" si="63"/>
        <v>-807.04</v>
      </c>
      <c r="O126" s="143">
        <f t="shared" si="74"/>
        <v>-0.7270630631</v>
      </c>
      <c r="P126" s="155">
        <f t="shared" si="65"/>
        <v>-161408</v>
      </c>
      <c r="Q126" s="167"/>
      <c r="R126" s="168"/>
      <c r="S126" s="166"/>
      <c r="T126" s="170">
        <v>4294.0</v>
      </c>
      <c r="U126" s="168"/>
      <c r="V126" s="163"/>
      <c r="W126" s="275"/>
      <c r="X126" s="276"/>
      <c r="Y126" s="168"/>
      <c r="Z126" s="159"/>
      <c r="AA126" s="160"/>
      <c r="AB126" s="161"/>
      <c r="AC126" s="155"/>
    </row>
    <row r="127">
      <c r="A127" s="114"/>
      <c r="B127" s="115"/>
      <c r="C127" s="116">
        <f>I127/E135</f>
        <v>0</v>
      </c>
      <c r="D127" s="284" t="s">
        <v>225</v>
      </c>
      <c r="E127" s="284" t="s">
        <v>226</v>
      </c>
      <c r="F127" s="118">
        <v>7.8</v>
      </c>
      <c r="G127" s="119">
        <v>300.0</v>
      </c>
      <c r="H127" s="155">
        <f t="shared" si="61"/>
        <v>300000</v>
      </c>
      <c r="I127" s="154">
        <v>0.0</v>
      </c>
      <c r="J127" s="141">
        <v>1000.0</v>
      </c>
      <c r="K127" s="152">
        <f>IFERROR(__xludf.DUMMYFUNCTION("GOOGLEFINANCE(E127,""changepct"")"),-8.19)</f>
        <v>-8.19</v>
      </c>
      <c r="L127" s="153">
        <f>IFERROR(__xludf.DUMMYFUNCTION("googlefinance(E127,""price"")"),302.96)</f>
        <v>302.96</v>
      </c>
      <c r="M127" s="123">
        <v>1000.0</v>
      </c>
      <c r="N127" s="161">
        <f t="shared" si="63"/>
        <v>-697.04</v>
      </c>
      <c r="O127" s="143">
        <f>M127/J127-1</f>
        <v>0</v>
      </c>
      <c r="P127" s="155">
        <f t="shared" si="65"/>
        <v>0</v>
      </c>
      <c r="Q127" s="124"/>
      <c r="R127" s="125"/>
      <c r="S127" s="285"/>
      <c r="T127" s="133"/>
      <c r="U127" s="125"/>
      <c r="V127" s="127" t="s">
        <v>226</v>
      </c>
      <c r="W127" s="128">
        <v>45401.0</v>
      </c>
      <c r="X127" s="123">
        <v>1000.0</v>
      </c>
      <c r="Y127" s="129">
        <v>300000.0</v>
      </c>
      <c r="Z127" s="286"/>
      <c r="AA127" s="287"/>
      <c r="AB127" s="141"/>
      <c r="AC127" s="133"/>
    </row>
    <row r="128">
      <c r="A128" s="48"/>
      <c r="B128" s="6"/>
      <c r="C128" s="6" t="s">
        <v>89</v>
      </c>
      <c r="D128" s="53"/>
      <c r="E128" s="53"/>
      <c r="F128" s="53"/>
      <c r="G128" s="11"/>
      <c r="H128" s="49">
        <f t="shared" ref="H128:I128" si="75">SUM(H106:H127)</f>
        <v>2887390</v>
      </c>
      <c r="I128" s="49">
        <f t="shared" si="75"/>
        <v>1557437</v>
      </c>
      <c r="J128" s="54"/>
      <c r="K128" s="53"/>
      <c r="L128" s="6"/>
      <c r="M128" s="53"/>
      <c r="N128" s="53"/>
      <c r="O128" s="71">
        <f>F133</f>
        <v>-0.02237939859</v>
      </c>
      <c r="P128" s="191">
        <v>-34979.0</v>
      </c>
      <c r="Q128" s="53"/>
      <c r="R128" s="53"/>
      <c r="S128" s="173"/>
      <c r="T128" s="11">
        <f>SUM(T106:T127)</f>
        <v>4294</v>
      </c>
      <c r="U128" s="6"/>
      <c r="V128" s="6" t="s">
        <v>89</v>
      </c>
      <c r="W128" s="53"/>
      <c r="X128" s="54"/>
      <c r="Y128" s="49">
        <f>SUM(Y106:Y127)</f>
        <v>1083230</v>
      </c>
      <c r="Z128" s="6" t="s">
        <v>89</v>
      </c>
      <c r="AA128" s="53"/>
      <c r="AB128" s="174"/>
      <c r="AC128" s="49">
        <f>SUM(AC106:AC127)</f>
        <v>1246920</v>
      </c>
    </row>
    <row r="129">
      <c r="A129" s="48" t="s">
        <v>227</v>
      </c>
      <c r="B129" s="6" t="s">
        <v>228</v>
      </c>
      <c r="C129" s="6" t="s">
        <v>229</v>
      </c>
      <c r="D129" s="5" t="s">
        <v>230</v>
      </c>
      <c r="E129" s="5" t="s">
        <v>323</v>
      </c>
      <c r="F129" s="6" t="s">
        <v>14</v>
      </c>
      <c r="G129" s="5" t="s">
        <v>232</v>
      </c>
      <c r="H129" s="6" t="s">
        <v>233</v>
      </c>
      <c r="I129" s="5" t="s">
        <v>234</v>
      </c>
      <c r="J129" s="5" t="s">
        <v>235</v>
      </c>
      <c r="K129" s="5" t="s">
        <v>236</v>
      </c>
      <c r="L129" s="53"/>
      <c r="M129" s="53"/>
      <c r="N129" s="53"/>
      <c r="O129" s="53"/>
      <c r="P129" s="53"/>
      <c r="Q129" s="53"/>
      <c r="R129" s="175"/>
      <c r="S129" s="176"/>
      <c r="T129" s="177"/>
      <c r="U129" s="175"/>
      <c r="V129" s="175"/>
      <c r="W129" s="175"/>
      <c r="X129" s="175"/>
      <c r="Y129" s="175"/>
      <c r="Z129" s="175"/>
      <c r="AA129" s="175"/>
      <c r="AB129" s="175"/>
      <c r="AC129" s="175"/>
    </row>
    <row r="130">
      <c r="A130" s="178" t="s">
        <v>237</v>
      </c>
      <c r="B130" s="14">
        <f>B4</f>
        <v>1.11535202</v>
      </c>
      <c r="C130" s="20">
        <v>1.4889566E7</v>
      </c>
      <c r="D130" s="277">
        <v>9163822.0</v>
      </c>
      <c r="E130" s="20">
        <v>1.3545545E7</v>
      </c>
      <c r="F130" s="25">
        <f>O49</f>
        <v>0.05193684685</v>
      </c>
      <c r="G130" s="180">
        <v>1188476.0</v>
      </c>
      <c r="H130" s="180">
        <f>T104+T82+T77+T49+T58+T66+T128</f>
        <v>113469</v>
      </c>
      <c r="I130" s="179">
        <f>R104+R82+R77+R49</f>
        <v>13850</v>
      </c>
      <c r="J130" s="180">
        <f>Y147+AB147</f>
        <v>0</v>
      </c>
      <c r="K130" s="180">
        <v>940805.0</v>
      </c>
      <c r="L130" s="32"/>
      <c r="M130" s="32"/>
      <c r="N130" s="32"/>
      <c r="O130" s="32"/>
      <c r="P130" s="32"/>
      <c r="Q130" s="32"/>
      <c r="R130" s="175"/>
      <c r="S130" s="176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</row>
    <row r="131">
      <c r="A131" s="178" t="s">
        <v>362</v>
      </c>
      <c r="B131" s="14">
        <f>(I58+I66+I77+I82+I87)/E135</f>
        <v>0.1541777849</v>
      </c>
      <c r="C131" s="20">
        <v>7086980.0</v>
      </c>
      <c r="D131" s="20">
        <v>6362240.0</v>
      </c>
      <c r="E131" s="20">
        <v>3134160.0</v>
      </c>
      <c r="F131" s="25">
        <f>G131/E131</f>
        <v>-0.2484014856</v>
      </c>
      <c r="G131" s="180">
        <v>-778530.0</v>
      </c>
      <c r="H131" s="182"/>
      <c r="I131" s="182"/>
      <c r="J131" s="182"/>
      <c r="K131" s="183">
        <f>K130/(D131+D132+D130)</f>
        <v>0.04882349901</v>
      </c>
      <c r="L131" s="32"/>
      <c r="M131" s="32"/>
      <c r="N131" s="32"/>
      <c r="O131" s="32"/>
      <c r="P131" s="32"/>
      <c r="Q131" s="32"/>
      <c r="R131" s="175"/>
      <c r="S131" s="176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</row>
    <row r="132">
      <c r="A132" s="178" t="s">
        <v>239</v>
      </c>
      <c r="B132" s="14">
        <f>E132/E135</f>
        <v>0.1542875957</v>
      </c>
      <c r="C132" s="20">
        <v>3935250.0</v>
      </c>
      <c r="D132" s="20">
        <v>3743450.0</v>
      </c>
      <c r="E132" s="20">
        <v>3379100.0</v>
      </c>
      <c r="F132" s="25">
        <f>O104</f>
        <v>0.1146436739</v>
      </c>
      <c r="G132" s="180">
        <v>403540.0</v>
      </c>
      <c r="H132" s="184"/>
      <c r="I132" s="184"/>
      <c r="J132" s="184"/>
      <c r="K132" s="185"/>
      <c r="L132" s="32"/>
      <c r="M132" s="32"/>
      <c r="N132" s="32"/>
      <c r="O132" s="32"/>
      <c r="P132" s="32"/>
      <c r="Q132" s="32"/>
      <c r="R132" s="175"/>
      <c r="S132" s="176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</row>
    <row r="133">
      <c r="A133" s="89" t="s">
        <v>240</v>
      </c>
      <c r="B133" s="14">
        <f>E133/E135</f>
        <v>0.08077969959</v>
      </c>
      <c r="C133" s="20">
        <v>2887390.0</v>
      </c>
      <c r="D133" s="20">
        <v>1563000.0</v>
      </c>
      <c r="E133" s="20">
        <v>1769181.0</v>
      </c>
      <c r="F133" s="25">
        <f>G133/D133</f>
        <v>-0.02237939859</v>
      </c>
      <c r="G133" s="180">
        <v>-34979.0</v>
      </c>
      <c r="H133" s="186"/>
      <c r="I133" s="187"/>
      <c r="J133" s="186"/>
      <c r="K133" s="186"/>
      <c r="L133" s="32"/>
      <c r="M133" s="32"/>
      <c r="N133" s="32"/>
      <c r="O133" s="32"/>
      <c r="P133" s="32"/>
      <c r="Q133" s="32"/>
      <c r="R133" s="175"/>
      <c r="S133" s="176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</row>
    <row r="134">
      <c r="A134" s="178" t="s">
        <v>241</v>
      </c>
      <c r="B134" s="14">
        <f>E134/E135</f>
        <v>0.00334779107</v>
      </c>
      <c r="C134" s="29" t="s">
        <v>128</v>
      </c>
      <c r="D134" s="20">
        <v>85479.0</v>
      </c>
      <c r="E134" s="20">
        <v>73321.0</v>
      </c>
      <c r="F134" s="188" t="s">
        <v>128</v>
      </c>
      <c r="G134" s="180">
        <v>127319.0</v>
      </c>
      <c r="H134" s="189" t="s">
        <v>242</v>
      </c>
      <c r="I134" s="189" t="s">
        <v>363</v>
      </c>
      <c r="J134" s="189" t="s">
        <v>364</v>
      </c>
      <c r="K134" s="189" t="s">
        <v>365</v>
      </c>
      <c r="L134" s="32"/>
      <c r="M134" s="32"/>
      <c r="N134" s="32"/>
      <c r="O134" s="32"/>
      <c r="P134" s="32"/>
      <c r="Q134" s="32"/>
      <c r="R134" s="175"/>
      <c r="S134" s="176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</row>
    <row r="135">
      <c r="A135" s="48" t="s">
        <v>246</v>
      </c>
      <c r="B135" s="190">
        <v>1.0</v>
      </c>
      <c r="C135" s="49" t="s">
        <v>128</v>
      </c>
      <c r="D135" s="191">
        <v>2.0917991E7</v>
      </c>
      <c r="E135" s="191">
        <f>SUM(E130:E134)</f>
        <v>21901307</v>
      </c>
      <c r="F135" s="25">
        <f>G135/D135</f>
        <v>0.04330368055</v>
      </c>
      <c r="G135" s="49">
        <f>SUM(G130:G134)</f>
        <v>905826</v>
      </c>
      <c r="H135" s="192">
        <v>1.7035387E7</v>
      </c>
      <c r="I135" s="193">
        <f>E135</f>
        <v>21901307</v>
      </c>
      <c r="J135" s="192">
        <v>4865920.0</v>
      </c>
      <c r="K135" s="182">
        <f>J135/H135</f>
        <v>0.2856360117</v>
      </c>
      <c r="L135" s="53"/>
      <c r="M135" s="53"/>
      <c r="N135" s="53"/>
      <c r="O135" s="53"/>
      <c r="P135" s="53"/>
      <c r="Q135" s="53"/>
      <c r="R135" s="175"/>
      <c r="S135" s="176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</row>
    <row r="136">
      <c r="A136" s="194" t="s">
        <v>247</v>
      </c>
      <c r="B136" s="195"/>
      <c r="C136" s="196"/>
      <c r="D136" s="196"/>
      <c r="E136" s="196"/>
      <c r="F136" s="196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97"/>
      <c r="T136" s="197"/>
      <c r="U136" s="197"/>
      <c r="V136" s="197"/>
      <c r="W136" s="197"/>
      <c r="X136" s="197"/>
      <c r="Y136" s="197"/>
      <c r="Z136" s="197"/>
      <c r="AA136" s="197"/>
      <c r="AB136" s="197"/>
      <c r="AC136" s="175"/>
    </row>
    <row r="137">
      <c r="A137" s="198" t="s">
        <v>248</v>
      </c>
      <c r="B137" s="199"/>
      <c r="C137" s="200" t="s">
        <v>366</v>
      </c>
      <c r="D137" s="200" t="s">
        <v>367</v>
      </c>
      <c r="E137" s="200" t="s">
        <v>368</v>
      </c>
      <c r="F137" s="201" t="s">
        <v>369</v>
      </c>
      <c r="G137" s="202"/>
      <c r="H137" s="203" t="s">
        <v>253</v>
      </c>
      <c r="I137" s="203" t="s">
        <v>254</v>
      </c>
      <c r="J137" s="203" t="s">
        <v>255</v>
      </c>
      <c r="K137" s="203" t="s">
        <v>256</v>
      </c>
      <c r="L137" s="203" t="s">
        <v>257</v>
      </c>
      <c r="M137" s="203" t="s">
        <v>258</v>
      </c>
      <c r="N137" s="203" t="s">
        <v>259</v>
      </c>
      <c r="O137" s="203" t="s">
        <v>260</v>
      </c>
      <c r="P137" s="203" t="s">
        <v>261</v>
      </c>
      <c r="Q137" s="203" t="s">
        <v>262</v>
      </c>
      <c r="R137" s="175"/>
      <c r="S137" s="203" t="s">
        <v>263</v>
      </c>
      <c r="T137" s="203" t="s">
        <v>254</v>
      </c>
      <c r="U137" s="203" t="s">
        <v>264</v>
      </c>
      <c r="V137" s="203" t="s">
        <v>256</v>
      </c>
      <c r="W137" s="203" t="s">
        <v>257</v>
      </c>
      <c r="X137" s="203" t="s">
        <v>258</v>
      </c>
      <c r="Y137" s="203" t="s">
        <v>259</v>
      </c>
      <c r="Z137" s="203" t="s">
        <v>260</v>
      </c>
      <c r="AA137" s="203" t="s">
        <v>261</v>
      </c>
      <c r="AB137" s="203" t="s">
        <v>262</v>
      </c>
      <c r="AC137" s="175"/>
    </row>
    <row r="138">
      <c r="A138" s="89" t="s">
        <v>265</v>
      </c>
      <c r="B138" s="16" t="s">
        <v>266</v>
      </c>
      <c r="C138" s="204">
        <v>39807.0</v>
      </c>
      <c r="D138" s="204">
        <v>39119.0</v>
      </c>
      <c r="E138" s="206">
        <f t="shared" ref="E138:E142" si="76">D138-C138</f>
        <v>-688</v>
      </c>
      <c r="F138" s="207">
        <f t="shared" ref="F138:F142" si="77">D138/C138-1</f>
        <v>-0.01728339237</v>
      </c>
      <c r="G138" s="208"/>
      <c r="H138" s="209">
        <v>300.0</v>
      </c>
      <c r="I138" s="210" t="s">
        <v>226</v>
      </c>
      <c r="J138" s="211">
        <v>45349.0</v>
      </c>
      <c r="K138" s="211">
        <v>45401.0</v>
      </c>
      <c r="L138" s="212">
        <v>1000.0</v>
      </c>
      <c r="M138" s="212">
        <v>89.5</v>
      </c>
      <c r="N138" s="213">
        <v>26850.0</v>
      </c>
      <c r="O138" s="211">
        <v>45401.0</v>
      </c>
      <c r="P138" s="212" t="s">
        <v>47</v>
      </c>
      <c r="Q138" s="213" t="s">
        <v>128</v>
      </c>
      <c r="R138" s="175"/>
      <c r="S138" s="214"/>
      <c r="T138" s="104"/>
      <c r="U138" s="108"/>
      <c r="V138" s="108"/>
      <c r="W138" s="215"/>
      <c r="X138" s="216"/>
      <c r="Y138" s="217"/>
      <c r="Z138" s="108"/>
      <c r="AA138" s="216"/>
      <c r="AB138" s="217"/>
      <c r="AC138" s="175"/>
    </row>
    <row r="139">
      <c r="A139" s="89" t="s">
        <v>267</v>
      </c>
      <c r="B139" s="16" t="s">
        <v>268</v>
      </c>
      <c r="C139" s="204">
        <v>5254.0</v>
      </c>
      <c r="D139" s="204">
        <v>5460.0</v>
      </c>
      <c r="E139" s="206">
        <f t="shared" si="76"/>
        <v>206</v>
      </c>
      <c r="F139" s="207">
        <f t="shared" si="77"/>
        <v>0.03920822231</v>
      </c>
      <c r="G139" s="208"/>
      <c r="H139" s="209">
        <v>200.0</v>
      </c>
      <c r="I139" s="210" t="s">
        <v>226</v>
      </c>
      <c r="J139" s="211">
        <v>45350.0</v>
      </c>
      <c r="K139" s="211">
        <v>45401.0</v>
      </c>
      <c r="L139" s="212">
        <v>1110.0</v>
      </c>
      <c r="M139" s="212">
        <v>108.0</v>
      </c>
      <c r="N139" s="213">
        <v>21600.0</v>
      </c>
      <c r="O139" s="211">
        <v>45399.0</v>
      </c>
      <c r="P139" s="212">
        <v>73.0</v>
      </c>
      <c r="Q139" s="213">
        <v>-14600.0</v>
      </c>
      <c r="R139" s="175"/>
      <c r="S139" s="214"/>
      <c r="T139" s="104"/>
      <c r="U139" s="108"/>
      <c r="V139" s="108"/>
      <c r="W139" s="215"/>
      <c r="X139" s="216"/>
      <c r="Y139" s="217"/>
      <c r="Z139" s="108"/>
      <c r="AA139" s="216"/>
      <c r="AB139" s="217"/>
      <c r="AC139" s="175"/>
    </row>
    <row r="140">
      <c r="A140" s="89" t="s">
        <v>269</v>
      </c>
      <c r="B140" s="16" t="s">
        <v>270</v>
      </c>
      <c r="C140" s="204">
        <v>16379.0</v>
      </c>
      <c r="D140" s="204">
        <v>17733.0</v>
      </c>
      <c r="E140" s="206">
        <f t="shared" si="76"/>
        <v>1354</v>
      </c>
      <c r="F140" s="207">
        <f t="shared" si="77"/>
        <v>0.08266682948</v>
      </c>
      <c r="G140" s="208"/>
      <c r="H140" s="218">
        <v>50000.0</v>
      </c>
      <c r="I140" s="219" t="s">
        <v>57</v>
      </c>
      <c r="J140" s="220">
        <v>45356.0</v>
      </c>
      <c r="K140" s="220">
        <v>45401.0</v>
      </c>
      <c r="L140" s="221">
        <v>5.0</v>
      </c>
      <c r="M140" s="221">
        <v>0.8</v>
      </c>
      <c r="N140" s="222">
        <v>40000.0</v>
      </c>
      <c r="O140" s="220">
        <v>45386.0</v>
      </c>
      <c r="P140" s="223">
        <v>0.53</v>
      </c>
      <c r="Q140" s="222">
        <v>-26500.0</v>
      </c>
      <c r="R140" s="175"/>
      <c r="S140" s="224"/>
      <c r="T140" s="104"/>
      <c r="U140" s="108"/>
      <c r="V140" s="108"/>
      <c r="W140" s="215"/>
      <c r="X140" s="216"/>
      <c r="Y140" s="217"/>
      <c r="Z140" s="108"/>
      <c r="AA140" s="216"/>
      <c r="AB140" s="217"/>
      <c r="AC140" s="175"/>
    </row>
    <row r="141">
      <c r="A141" s="89" t="s">
        <v>271</v>
      </c>
      <c r="B141" s="16" t="s">
        <v>272</v>
      </c>
      <c r="C141" s="204">
        <v>2125.0</v>
      </c>
      <c r="D141" s="204">
        <v>2048.0</v>
      </c>
      <c r="E141" s="206">
        <f t="shared" si="76"/>
        <v>-77</v>
      </c>
      <c r="F141" s="207">
        <f t="shared" si="77"/>
        <v>-0.03623529412</v>
      </c>
      <c r="G141" s="208"/>
      <c r="H141" s="218">
        <v>20000.0</v>
      </c>
      <c r="I141" s="219" t="s">
        <v>144</v>
      </c>
      <c r="J141" s="220">
        <v>45376.0</v>
      </c>
      <c r="K141" s="220">
        <v>45429.0</v>
      </c>
      <c r="L141" s="221">
        <v>7.5</v>
      </c>
      <c r="M141" s="221">
        <v>0.65</v>
      </c>
      <c r="N141" s="222">
        <v>13000.0</v>
      </c>
      <c r="O141" s="220">
        <v>45386.0</v>
      </c>
      <c r="P141" s="221">
        <v>0.61</v>
      </c>
      <c r="Q141" s="222">
        <v>-12200.0</v>
      </c>
      <c r="R141" s="175"/>
      <c r="S141" s="224"/>
      <c r="T141" s="104"/>
      <c r="U141" s="108"/>
      <c r="V141" s="108"/>
      <c r="W141" s="215"/>
      <c r="X141" s="216"/>
      <c r="Y141" s="217"/>
      <c r="Z141" s="108"/>
      <c r="AA141" s="216"/>
      <c r="AB141" s="217"/>
      <c r="AC141" s="175"/>
    </row>
    <row r="142">
      <c r="A142" s="89" t="s">
        <v>273</v>
      </c>
      <c r="B142" s="16" t="s">
        <v>274</v>
      </c>
      <c r="C142" s="204">
        <v>18313.0</v>
      </c>
      <c r="D142" s="204">
        <v>18027.0</v>
      </c>
      <c r="E142" s="206">
        <f t="shared" si="76"/>
        <v>-286</v>
      </c>
      <c r="F142" s="207">
        <f t="shared" si="77"/>
        <v>-0.01561732103</v>
      </c>
      <c r="G142" s="208"/>
      <c r="H142" s="225">
        <v>50000.0</v>
      </c>
      <c r="I142" s="104" t="s">
        <v>57</v>
      </c>
      <c r="J142" s="108">
        <v>45383.0</v>
      </c>
      <c r="K142" s="108">
        <v>45429.0</v>
      </c>
      <c r="L142" s="216">
        <v>6.0</v>
      </c>
      <c r="M142" s="216">
        <v>0.93</v>
      </c>
      <c r="N142" s="217">
        <v>46500.0</v>
      </c>
      <c r="O142" s="108">
        <v>45386.0</v>
      </c>
      <c r="P142" s="216">
        <v>0.7</v>
      </c>
      <c r="Q142" s="217">
        <v>12500.0</v>
      </c>
      <c r="R142" s="175"/>
      <c r="S142" s="224"/>
      <c r="T142" s="104"/>
      <c r="U142" s="108"/>
      <c r="V142" s="108"/>
      <c r="W142" s="215"/>
      <c r="X142" s="216"/>
      <c r="Y142" s="217"/>
      <c r="Z142" s="108"/>
      <c r="AA142" s="216"/>
      <c r="AB142" s="217"/>
      <c r="AC142" s="175"/>
    </row>
    <row r="143">
      <c r="H143" s="225">
        <v>200.0</v>
      </c>
      <c r="I143" s="104" t="s">
        <v>291</v>
      </c>
      <c r="J143" s="108">
        <v>45383.0</v>
      </c>
      <c r="K143" s="108">
        <v>45429.0</v>
      </c>
      <c r="L143" s="216">
        <v>1140.0</v>
      </c>
      <c r="M143" s="216">
        <v>102.0</v>
      </c>
      <c r="N143" s="217">
        <v>20400.0</v>
      </c>
      <c r="O143" s="108">
        <v>45384.0</v>
      </c>
      <c r="P143" s="216">
        <v>78.0</v>
      </c>
      <c r="Q143" s="217">
        <v>4800.0</v>
      </c>
      <c r="S143" s="224"/>
      <c r="T143" s="104"/>
      <c r="U143" s="108"/>
      <c r="V143" s="108"/>
      <c r="W143" s="215"/>
      <c r="X143" s="216"/>
      <c r="Y143" s="217"/>
      <c r="Z143" s="108"/>
      <c r="AA143" s="216"/>
      <c r="AB143" s="217"/>
    </row>
    <row r="144">
      <c r="A144" s="226" t="s">
        <v>248</v>
      </c>
      <c r="B144" s="227"/>
      <c r="C144" s="228" t="s">
        <v>275</v>
      </c>
      <c r="D144" s="228" t="s">
        <v>370</v>
      </c>
      <c r="E144" s="228" t="s">
        <v>371</v>
      </c>
      <c r="F144" s="228" t="s">
        <v>372</v>
      </c>
      <c r="H144" s="209">
        <v>2000.0</v>
      </c>
      <c r="I144" s="210" t="s">
        <v>148</v>
      </c>
      <c r="J144" s="108">
        <v>45383.0</v>
      </c>
      <c r="K144" s="211">
        <v>45429.0</v>
      </c>
      <c r="L144" s="212">
        <v>130.0</v>
      </c>
      <c r="M144" s="212">
        <v>9.6</v>
      </c>
      <c r="N144" s="213">
        <v>19200.0</v>
      </c>
      <c r="O144" s="108">
        <v>45386.0</v>
      </c>
      <c r="P144" s="212">
        <v>9.21</v>
      </c>
      <c r="Q144" s="213">
        <v>780.0</v>
      </c>
      <c r="S144" s="229"/>
      <c r="T144" s="210"/>
      <c r="U144" s="211"/>
      <c r="V144" s="211"/>
      <c r="W144" s="230"/>
      <c r="X144" s="212"/>
      <c r="Y144" s="213"/>
      <c r="Z144" s="211"/>
      <c r="AA144" s="212"/>
      <c r="AB144" s="213"/>
    </row>
    <row r="145">
      <c r="A145" s="231" t="s">
        <v>265</v>
      </c>
      <c r="B145" s="231" t="s">
        <v>266</v>
      </c>
      <c r="C145" s="232">
        <v>37690.0</v>
      </c>
      <c r="D145" s="204">
        <v>39119.0</v>
      </c>
      <c r="E145" s="234">
        <f t="shared" ref="E145:E149" si="78">D145-C145</f>
        <v>1429</v>
      </c>
      <c r="F145" s="235">
        <f t="shared" ref="F145:F149" si="79">D145/C145-1</f>
        <v>0.0379145662</v>
      </c>
      <c r="H145" s="209">
        <v>20000.0</v>
      </c>
      <c r="I145" s="210" t="s">
        <v>46</v>
      </c>
      <c r="J145" s="211">
        <v>45383.0</v>
      </c>
      <c r="K145" s="211">
        <v>45429.0</v>
      </c>
      <c r="L145" s="212">
        <v>26.0</v>
      </c>
      <c r="M145" s="212">
        <v>1.16</v>
      </c>
      <c r="N145" s="213">
        <v>23200.0</v>
      </c>
      <c r="O145" s="211">
        <v>45384.0</v>
      </c>
      <c r="P145" s="212">
        <v>1.06</v>
      </c>
      <c r="Q145" s="213">
        <v>2000.0</v>
      </c>
      <c r="S145" s="229"/>
      <c r="T145" s="210"/>
      <c r="U145" s="211"/>
      <c r="V145" s="211"/>
      <c r="W145" s="230"/>
      <c r="X145" s="212"/>
      <c r="Y145" s="213"/>
      <c r="Z145" s="211"/>
      <c r="AA145" s="212"/>
      <c r="AB145" s="213"/>
    </row>
    <row r="146">
      <c r="A146" s="231" t="s">
        <v>267</v>
      </c>
      <c r="B146" s="231" t="s">
        <v>268</v>
      </c>
      <c r="C146" s="232">
        <v>4770.0</v>
      </c>
      <c r="D146" s="204">
        <v>5460.0</v>
      </c>
      <c r="E146" s="234">
        <f t="shared" si="78"/>
        <v>690</v>
      </c>
      <c r="F146" s="235">
        <f t="shared" si="79"/>
        <v>0.1446540881</v>
      </c>
      <c r="H146" s="209">
        <v>1000.0</v>
      </c>
      <c r="I146" s="210" t="s">
        <v>36</v>
      </c>
      <c r="J146" s="211">
        <v>45386.0</v>
      </c>
      <c r="K146" s="211">
        <v>45429.0</v>
      </c>
      <c r="L146" s="212">
        <v>175.0</v>
      </c>
      <c r="M146" s="212">
        <v>11.35</v>
      </c>
      <c r="N146" s="213">
        <v>11350.0</v>
      </c>
      <c r="O146" s="211">
        <v>45390.0</v>
      </c>
      <c r="P146" s="230">
        <v>12.0</v>
      </c>
      <c r="Q146" s="213">
        <v>-650.0</v>
      </c>
      <c r="S146" s="229"/>
      <c r="T146" s="210"/>
      <c r="U146" s="211"/>
      <c r="V146" s="211"/>
      <c r="W146" s="230"/>
      <c r="X146" s="212"/>
      <c r="Y146" s="213"/>
      <c r="Z146" s="211"/>
      <c r="AA146" s="212"/>
      <c r="AB146" s="213"/>
    </row>
    <row r="147">
      <c r="A147" s="231" t="s">
        <v>269</v>
      </c>
      <c r="B147" s="231" t="s">
        <v>270</v>
      </c>
      <c r="C147" s="232">
        <v>15011.0</v>
      </c>
      <c r="D147" s="204">
        <v>17733.0</v>
      </c>
      <c r="E147" s="234">
        <f t="shared" si="78"/>
        <v>2722</v>
      </c>
      <c r="F147" s="235">
        <f t="shared" si="79"/>
        <v>0.1813336886</v>
      </c>
      <c r="H147" s="209">
        <v>1000.0</v>
      </c>
      <c r="I147" s="237" t="s">
        <v>299</v>
      </c>
      <c r="J147" s="220">
        <v>45386.0</v>
      </c>
      <c r="K147" s="211">
        <v>45429.0</v>
      </c>
      <c r="L147" s="221">
        <v>77.5</v>
      </c>
      <c r="M147" s="221">
        <v>5.6</v>
      </c>
      <c r="N147" s="222">
        <v>5600.0</v>
      </c>
      <c r="O147" s="220">
        <v>45400.0</v>
      </c>
      <c r="P147" s="221">
        <v>3.3</v>
      </c>
      <c r="Q147" s="222">
        <v>2300.0</v>
      </c>
      <c r="S147" s="238" t="s">
        <v>89</v>
      </c>
      <c r="T147" s="239"/>
      <c r="U147" s="239"/>
      <c r="V147" s="239"/>
      <c r="W147" s="239"/>
      <c r="X147" s="239"/>
      <c r="Y147" s="240">
        <f>SUM(Y138:Y146)</f>
        <v>0</v>
      </c>
      <c r="Z147" s="239"/>
      <c r="AA147" s="241"/>
      <c r="AB147" s="240">
        <f>SUM(AB138:AB146)</f>
        <v>0</v>
      </c>
    </row>
    <row r="148">
      <c r="A148" s="231" t="s">
        <v>271</v>
      </c>
      <c r="B148" s="231" t="s">
        <v>272</v>
      </c>
      <c r="C148" s="232">
        <v>2027.0</v>
      </c>
      <c r="D148" s="204">
        <v>2048.0</v>
      </c>
      <c r="E148" s="234">
        <f t="shared" si="78"/>
        <v>21</v>
      </c>
      <c r="F148" s="235">
        <f t="shared" si="79"/>
        <v>0.01036013814</v>
      </c>
      <c r="H148" s="209">
        <v>50000.0</v>
      </c>
      <c r="I148" s="210" t="s">
        <v>57</v>
      </c>
      <c r="J148" s="211">
        <v>45386.0</v>
      </c>
      <c r="K148" s="211">
        <v>45429.0</v>
      </c>
      <c r="L148" s="212">
        <v>7.0</v>
      </c>
      <c r="M148" s="212">
        <v>0.6</v>
      </c>
      <c r="N148" s="213">
        <v>30000.0</v>
      </c>
      <c r="O148" s="211">
        <v>45390.0</v>
      </c>
      <c r="P148" s="212">
        <v>0.4</v>
      </c>
      <c r="Q148" s="213">
        <v>10000.0</v>
      </c>
    </row>
    <row r="149">
      <c r="A149" s="231" t="s">
        <v>273</v>
      </c>
      <c r="B149" s="231" t="s">
        <v>274</v>
      </c>
      <c r="C149" s="232">
        <v>16853.0</v>
      </c>
      <c r="D149" s="204">
        <v>18027.0</v>
      </c>
      <c r="E149" s="234">
        <f t="shared" si="78"/>
        <v>1174</v>
      </c>
      <c r="F149" s="235">
        <f t="shared" si="79"/>
        <v>0.06966118792</v>
      </c>
      <c r="H149" s="209">
        <v>20000.0</v>
      </c>
      <c r="I149" s="210" t="s">
        <v>174</v>
      </c>
      <c r="J149" s="211">
        <v>45386.0</v>
      </c>
      <c r="K149" s="211">
        <v>45429.0</v>
      </c>
      <c r="L149" s="212">
        <v>17.0</v>
      </c>
      <c r="M149" s="212">
        <v>0.95</v>
      </c>
      <c r="N149" s="213">
        <v>19000.0</v>
      </c>
      <c r="O149" s="211">
        <v>45429.0</v>
      </c>
      <c r="P149" s="212" t="s">
        <v>373</v>
      </c>
      <c r="Q149" s="213">
        <v>19000.0</v>
      </c>
    </row>
    <row r="150">
      <c r="H150" s="209">
        <v>200.0</v>
      </c>
      <c r="I150" s="210" t="s">
        <v>291</v>
      </c>
      <c r="J150" s="211">
        <v>45386.0</v>
      </c>
      <c r="K150" s="211">
        <v>45429.0</v>
      </c>
      <c r="L150" s="212">
        <v>1000.0</v>
      </c>
      <c r="M150" s="212">
        <v>117.0</v>
      </c>
      <c r="N150" s="213">
        <v>23400.0</v>
      </c>
      <c r="O150" s="211">
        <v>45387.0</v>
      </c>
      <c r="P150" s="212">
        <v>99.0</v>
      </c>
      <c r="Q150" s="213">
        <v>3600.0</v>
      </c>
    </row>
    <row r="151">
      <c r="A151" s="242" t="s">
        <v>278</v>
      </c>
      <c r="B151" s="243" t="s">
        <v>279</v>
      </c>
      <c r="C151" s="244"/>
      <c r="D151" s="244"/>
      <c r="H151" s="209">
        <v>15000.0</v>
      </c>
      <c r="I151" s="210" t="s">
        <v>87</v>
      </c>
      <c r="J151" s="211">
        <v>45386.0</v>
      </c>
      <c r="K151" s="211">
        <v>45429.0</v>
      </c>
      <c r="L151" s="212">
        <v>12.0</v>
      </c>
      <c r="M151" s="212">
        <v>0.93</v>
      </c>
      <c r="N151" s="213">
        <v>11160.0</v>
      </c>
      <c r="O151" s="211">
        <v>45387.0</v>
      </c>
      <c r="P151" s="212">
        <v>0.88</v>
      </c>
      <c r="Q151" s="213">
        <v>750.0</v>
      </c>
    </row>
    <row r="152">
      <c r="A152" s="242" t="s">
        <v>280</v>
      </c>
      <c r="B152" s="243" t="s">
        <v>281</v>
      </c>
      <c r="C152" s="244"/>
      <c r="D152" s="244"/>
      <c r="H152" s="209">
        <v>2000.0</v>
      </c>
      <c r="I152" s="210" t="s">
        <v>311</v>
      </c>
      <c r="J152" s="211">
        <v>45387.0</v>
      </c>
      <c r="K152" s="211">
        <v>45429.0</v>
      </c>
      <c r="L152" s="212">
        <v>115.0</v>
      </c>
      <c r="M152" s="212">
        <v>12.25</v>
      </c>
      <c r="N152" s="213">
        <v>24500.0</v>
      </c>
      <c r="O152" s="245">
        <v>45399.0</v>
      </c>
      <c r="P152" s="212">
        <v>9.3</v>
      </c>
      <c r="Q152" s="213">
        <v>5900.0</v>
      </c>
    </row>
    <row r="153">
      <c r="A153" s="242" t="s">
        <v>282</v>
      </c>
      <c r="B153" s="246" t="s">
        <v>283</v>
      </c>
      <c r="C153" s="244"/>
      <c r="D153" s="244"/>
      <c r="H153" s="209">
        <v>50000.0</v>
      </c>
      <c r="I153" s="210" t="s">
        <v>57</v>
      </c>
      <c r="J153" s="211">
        <v>45392.0</v>
      </c>
      <c r="K153" s="211">
        <v>45429.0</v>
      </c>
      <c r="L153" s="212">
        <v>6.0</v>
      </c>
      <c r="M153" s="212">
        <v>0.4</v>
      </c>
      <c r="N153" s="213">
        <v>20000.0</v>
      </c>
      <c r="O153" s="211">
        <v>45397.0</v>
      </c>
      <c r="P153" s="212">
        <v>0.2</v>
      </c>
      <c r="Q153" s="213">
        <v>10000.0</v>
      </c>
    </row>
    <row r="154">
      <c r="A154" s="247" t="s">
        <v>284</v>
      </c>
      <c r="B154" s="248" t="s">
        <v>285</v>
      </c>
      <c r="H154" s="209">
        <v>2000.0</v>
      </c>
      <c r="I154" s="210" t="s">
        <v>299</v>
      </c>
      <c r="J154" s="211">
        <v>45392.0</v>
      </c>
      <c r="K154" s="211">
        <v>45429.0</v>
      </c>
      <c r="L154" s="212">
        <v>80.0</v>
      </c>
      <c r="M154" s="212">
        <v>5.45</v>
      </c>
      <c r="N154" s="213">
        <v>10900.0</v>
      </c>
      <c r="O154" s="211">
        <v>45398.0</v>
      </c>
      <c r="P154" s="212">
        <v>3.1</v>
      </c>
      <c r="Q154" s="213">
        <v>3700.0</v>
      </c>
    </row>
    <row r="155">
      <c r="H155" s="209">
        <v>25000.0</v>
      </c>
      <c r="I155" s="210" t="s">
        <v>144</v>
      </c>
      <c r="J155" s="211">
        <v>45393.0</v>
      </c>
      <c r="K155" s="211">
        <v>45429.0</v>
      </c>
      <c r="L155" s="212">
        <v>7.5</v>
      </c>
      <c r="M155" s="212">
        <v>0.57</v>
      </c>
      <c r="N155" s="213">
        <v>14250.0</v>
      </c>
      <c r="O155" s="211">
        <v>45398.0</v>
      </c>
      <c r="P155" s="212">
        <v>0.27</v>
      </c>
      <c r="Q155" s="213">
        <v>7500.0</v>
      </c>
    </row>
    <row r="156">
      <c r="H156" s="209">
        <v>10000.0</v>
      </c>
      <c r="I156" s="210" t="s">
        <v>46</v>
      </c>
      <c r="J156" s="211">
        <v>45393.0</v>
      </c>
      <c r="K156" s="211">
        <v>45429.0</v>
      </c>
      <c r="L156" s="212">
        <v>25.0</v>
      </c>
      <c r="M156" s="212">
        <v>1.18</v>
      </c>
      <c r="N156" s="213">
        <v>11800.0</v>
      </c>
      <c r="O156" s="211">
        <v>45398.0</v>
      </c>
      <c r="P156" s="212">
        <v>0.86</v>
      </c>
      <c r="Q156" s="213">
        <v>3200.0</v>
      </c>
    </row>
    <row r="157">
      <c r="H157" s="209">
        <v>50000.0</v>
      </c>
      <c r="I157" s="237" t="s">
        <v>57</v>
      </c>
      <c r="J157" s="211">
        <v>45400.0</v>
      </c>
      <c r="K157" s="211">
        <v>45429.0</v>
      </c>
      <c r="L157" s="221">
        <v>4.5</v>
      </c>
      <c r="M157" s="221">
        <v>0.31</v>
      </c>
      <c r="N157" s="222">
        <v>15500.0</v>
      </c>
      <c r="O157" s="220">
        <v>45401.0</v>
      </c>
      <c r="P157" s="221">
        <v>0.32</v>
      </c>
      <c r="Q157" s="222">
        <v>-500.0</v>
      </c>
    </row>
    <row r="158">
      <c r="H158" s="209">
        <v>50000.0</v>
      </c>
      <c r="I158" s="210" t="s">
        <v>57</v>
      </c>
      <c r="J158" s="211">
        <v>45422.0</v>
      </c>
      <c r="K158" s="211">
        <v>45464.0</v>
      </c>
      <c r="L158" s="212">
        <v>6.0</v>
      </c>
      <c r="M158" s="212">
        <v>0.7</v>
      </c>
      <c r="N158" s="213">
        <v>35000.0</v>
      </c>
      <c r="O158" s="211">
        <v>45429.0</v>
      </c>
      <c r="P158" s="212">
        <v>0.27</v>
      </c>
      <c r="Q158" s="213">
        <v>21500.0</v>
      </c>
    </row>
    <row r="159">
      <c r="A159" s="249"/>
      <c r="B159" s="250"/>
      <c r="H159" s="251">
        <v>1000.0</v>
      </c>
      <c r="I159" s="210" t="s">
        <v>311</v>
      </c>
      <c r="J159" s="211">
        <v>45429.0</v>
      </c>
      <c r="K159" s="211">
        <v>45464.0</v>
      </c>
      <c r="L159" s="212">
        <v>120.0</v>
      </c>
      <c r="M159" s="212">
        <v>5.2</v>
      </c>
      <c r="N159" s="213">
        <v>5200.0</v>
      </c>
      <c r="O159" s="211">
        <v>45461.0</v>
      </c>
      <c r="P159" s="212">
        <v>2.2</v>
      </c>
      <c r="Q159" s="213">
        <v>3000.0</v>
      </c>
    </row>
    <row r="160">
      <c r="H160" s="252">
        <v>3000.0</v>
      </c>
      <c r="I160" s="210" t="s">
        <v>336</v>
      </c>
      <c r="J160" s="211">
        <v>45429.0</v>
      </c>
      <c r="K160" s="211">
        <v>45464.0</v>
      </c>
      <c r="L160" s="212">
        <v>75.0</v>
      </c>
      <c r="M160" s="212">
        <v>3.25</v>
      </c>
      <c r="N160" s="213">
        <v>9750.0</v>
      </c>
      <c r="O160" s="211">
        <v>45440.0</v>
      </c>
      <c r="P160" s="212">
        <v>0.45</v>
      </c>
      <c r="Q160" s="213">
        <v>8400.0</v>
      </c>
    </row>
    <row r="161">
      <c r="H161" s="253">
        <v>200.0</v>
      </c>
      <c r="I161" s="210" t="s">
        <v>291</v>
      </c>
      <c r="J161" s="211">
        <v>45429.0</v>
      </c>
      <c r="K161" s="211">
        <v>45464.0</v>
      </c>
      <c r="L161" s="212">
        <v>900.0</v>
      </c>
      <c r="M161" s="212">
        <v>70.0</v>
      </c>
      <c r="N161" s="213">
        <v>14000.0</v>
      </c>
      <c r="O161" s="211">
        <v>45440.0</v>
      </c>
      <c r="P161" s="212">
        <v>56.0</v>
      </c>
      <c r="Q161" s="213">
        <v>2800.0</v>
      </c>
    </row>
    <row r="162">
      <c r="H162" s="252">
        <v>2500.0</v>
      </c>
      <c r="I162" s="210" t="s">
        <v>347</v>
      </c>
      <c r="J162" s="211">
        <v>45429.0</v>
      </c>
      <c r="K162" s="211">
        <v>45464.0</v>
      </c>
      <c r="L162" s="212">
        <v>90.0</v>
      </c>
      <c r="M162" s="212">
        <v>3.05</v>
      </c>
      <c r="N162" s="213">
        <v>7625.0</v>
      </c>
      <c r="O162" s="211">
        <v>45440.0</v>
      </c>
      <c r="P162" s="212">
        <v>0.62</v>
      </c>
      <c r="Q162" s="213">
        <v>6075.0</v>
      </c>
    </row>
    <row r="163">
      <c r="H163" s="252">
        <v>200.0</v>
      </c>
      <c r="I163" s="210" t="s">
        <v>226</v>
      </c>
      <c r="J163" s="211">
        <v>45440.0</v>
      </c>
      <c r="K163" s="211">
        <v>45464.0</v>
      </c>
      <c r="L163" s="212">
        <v>1650.0</v>
      </c>
      <c r="M163" s="212">
        <v>150.0</v>
      </c>
      <c r="N163" s="213">
        <v>30000.0</v>
      </c>
      <c r="O163" s="211">
        <v>45443.0</v>
      </c>
      <c r="P163" s="212">
        <v>113.53</v>
      </c>
      <c r="Q163" s="213">
        <v>7294.0</v>
      </c>
    </row>
    <row r="164">
      <c r="H164" s="209">
        <v>200.0</v>
      </c>
      <c r="I164" s="237" t="s">
        <v>291</v>
      </c>
      <c r="J164" s="220">
        <v>45440.0</v>
      </c>
      <c r="K164" s="211">
        <v>45464.0</v>
      </c>
      <c r="L164" s="223">
        <v>950.0</v>
      </c>
      <c r="M164" s="223">
        <v>44.47</v>
      </c>
      <c r="N164" s="222">
        <v>8894.0</v>
      </c>
      <c r="O164" s="220">
        <v>45442.0</v>
      </c>
      <c r="P164" s="221">
        <v>19.87</v>
      </c>
      <c r="Q164" s="222">
        <v>4920.0</v>
      </c>
    </row>
    <row r="165">
      <c r="H165" s="209">
        <v>50000.0</v>
      </c>
      <c r="I165" s="210" t="s">
        <v>57</v>
      </c>
      <c r="J165" s="211">
        <v>45440.0</v>
      </c>
      <c r="K165" s="211">
        <v>45464.0</v>
      </c>
      <c r="L165" s="230">
        <v>5.0</v>
      </c>
      <c r="M165" s="212">
        <v>0.4</v>
      </c>
      <c r="N165" s="213">
        <v>20000.0</v>
      </c>
      <c r="O165" s="211">
        <v>45442.0</v>
      </c>
      <c r="P165" s="212">
        <v>0.32</v>
      </c>
      <c r="Q165" s="213">
        <v>4000.0</v>
      </c>
    </row>
    <row r="166">
      <c r="H166" s="251">
        <v>30000.0</v>
      </c>
      <c r="I166" s="210" t="s">
        <v>46</v>
      </c>
      <c r="J166" s="211">
        <v>45461.0</v>
      </c>
      <c r="K166" s="211">
        <v>45492.0</v>
      </c>
      <c r="L166" s="212">
        <v>26.0</v>
      </c>
      <c r="M166" s="212">
        <v>0.9</v>
      </c>
      <c r="N166" s="213">
        <v>27000.0</v>
      </c>
      <c r="O166" s="211">
        <v>45463.0</v>
      </c>
      <c r="P166" s="212">
        <v>1.1</v>
      </c>
      <c r="Q166" s="213">
        <v>-6000.0</v>
      </c>
    </row>
    <row r="167">
      <c r="H167" s="209">
        <v>2500.0</v>
      </c>
      <c r="I167" s="210" t="s">
        <v>53</v>
      </c>
      <c r="J167" s="211">
        <v>45461.0</v>
      </c>
      <c r="K167" s="211">
        <v>45492.0</v>
      </c>
      <c r="L167" s="212">
        <v>135.0</v>
      </c>
      <c r="M167" s="212">
        <v>6.0</v>
      </c>
      <c r="N167" s="213">
        <v>15000.0</v>
      </c>
      <c r="O167" s="211">
        <v>45464.0</v>
      </c>
      <c r="P167" s="212">
        <v>3.95</v>
      </c>
      <c r="Q167" s="213">
        <v>5125.0</v>
      </c>
    </row>
    <row r="168">
      <c r="H168" s="209">
        <v>15000.0</v>
      </c>
      <c r="I168" s="210" t="s">
        <v>87</v>
      </c>
      <c r="J168" s="211">
        <v>45461.0</v>
      </c>
      <c r="K168" s="211">
        <v>45492.0</v>
      </c>
      <c r="L168" s="212">
        <v>16.0</v>
      </c>
      <c r="M168" s="212">
        <v>0.78</v>
      </c>
      <c r="N168" s="213">
        <v>11700.0</v>
      </c>
      <c r="O168" s="211"/>
      <c r="P168" s="212"/>
      <c r="Q168" s="213">
        <v>11700.0</v>
      </c>
    </row>
    <row r="169">
      <c r="H169" s="209">
        <v>400.0</v>
      </c>
      <c r="I169" s="210" t="s">
        <v>291</v>
      </c>
      <c r="J169" s="211">
        <v>45461.0</v>
      </c>
      <c r="K169" s="211">
        <v>45492.0</v>
      </c>
      <c r="L169" s="212">
        <v>1000.0</v>
      </c>
      <c r="M169" s="212">
        <v>48.0</v>
      </c>
      <c r="N169" s="213">
        <v>19200.0</v>
      </c>
      <c r="O169" s="211">
        <v>45464.0</v>
      </c>
      <c r="P169" s="212">
        <v>37.0</v>
      </c>
      <c r="Q169" s="213">
        <v>4400.0</v>
      </c>
      <c r="S169" s="254" t="s">
        <v>286</v>
      </c>
    </row>
    <row r="170">
      <c r="H170" s="209">
        <v>200.0</v>
      </c>
      <c r="I170" s="210" t="s">
        <v>226</v>
      </c>
      <c r="J170" s="211">
        <v>45461.0</v>
      </c>
      <c r="K170" s="211">
        <v>45492.0</v>
      </c>
      <c r="L170" s="212">
        <v>1500.0</v>
      </c>
      <c r="M170" s="212">
        <v>160.0</v>
      </c>
      <c r="N170" s="213">
        <v>32000.0</v>
      </c>
      <c r="O170" s="211">
        <v>44368.0</v>
      </c>
      <c r="P170" s="212">
        <v>102.0</v>
      </c>
      <c r="Q170" s="213">
        <v>11600.0</v>
      </c>
    </row>
    <row r="171">
      <c r="H171" s="209"/>
      <c r="I171" s="210"/>
      <c r="J171" s="211"/>
      <c r="K171" s="211"/>
      <c r="L171" s="212"/>
      <c r="M171" s="212"/>
      <c r="N171" s="213"/>
      <c r="O171" s="211"/>
      <c r="P171" s="212"/>
      <c r="Q171" s="213"/>
    </row>
    <row r="172">
      <c r="H172" s="209"/>
      <c r="I172" s="210"/>
      <c r="J172" s="211"/>
      <c r="K172" s="211"/>
      <c r="L172" s="212"/>
      <c r="M172" s="212"/>
      <c r="N172" s="213"/>
      <c r="O172" s="211"/>
      <c r="P172" s="212"/>
      <c r="Q172" s="213"/>
    </row>
    <row r="173">
      <c r="H173" s="209"/>
      <c r="I173" s="210"/>
      <c r="J173" s="211"/>
      <c r="K173" s="211"/>
      <c r="L173" s="212"/>
      <c r="M173" s="212"/>
      <c r="N173" s="213"/>
      <c r="O173" s="211"/>
      <c r="P173" s="212"/>
      <c r="Q173" s="213"/>
    </row>
    <row r="174">
      <c r="H174" s="209"/>
      <c r="I174" s="210"/>
      <c r="J174" s="211"/>
      <c r="K174" s="211"/>
      <c r="L174" s="212"/>
      <c r="M174" s="212"/>
      <c r="N174" s="213"/>
      <c r="O174" s="245"/>
      <c r="P174" s="212"/>
      <c r="Q174" s="213"/>
    </row>
    <row r="175">
      <c r="H175" s="209"/>
      <c r="I175" s="237"/>
      <c r="J175" s="220"/>
      <c r="K175" s="220"/>
      <c r="L175" s="221"/>
      <c r="M175" s="221"/>
      <c r="N175" s="222"/>
      <c r="O175" s="220"/>
      <c r="P175" s="221"/>
      <c r="Q175" s="222"/>
    </row>
    <row r="176">
      <c r="H176" s="251"/>
      <c r="I176" s="237"/>
      <c r="J176" s="220"/>
      <c r="K176" s="220"/>
      <c r="L176" s="221"/>
      <c r="M176" s="221"/>
      <c r="N176" s="222"/>
      <c r="O176" s="220"/>
      <c r="P176" s="221"/>
      <c r="Q176" s="222"/>
    </row>
    <row r="177">
      <c r="H177" s="209"/>
      <c r="I177" s="210"/>
      <c r="J177" s="211"/>
      <c r="K177" s="211"/>
      <c r="L177" s="212"/>
      <c r="M177" s="212"/>
      <c r="N177" s="213"/>
      <c r="O177" s="211"/>
      <c r="P177" s="212"/>
      <c r="Q177" s="213"/>
    </row>
    <row r="178">
      <c r="H178" s="209"/>
      <c r="I178" s="210"/>
      <c r="J178" s="211"/>
      <c r="K178" s="211"/>
      <c r="L178" s="212"/>
      <c r="M178" s="212"/>
      <c r="N178" s="213"/>
      <c r="O178" s="211"/>
      <c r="P178" s="212"/>
      <c r="Q178" s="213"/>
    </row>
    <row r="179">
      <c r="H179" s="209"/>
      <c r="I179" s="210"/>
      <c r="J179" s="211"/>
      <c r="K179" s="211"/>
      <c r="L179" s="212"/>
      <c r="M179" s="212"/>
      <c r="N179" s="213"/>
      <c r="O179" s="211"/>
      <c r="P179" s="212"/>
      <c r="Q179" s="213"/>
    </row>
    <row r="180">
      <c r="H180" s="255"/>
      <c r="I180" s="210"/>
      <c r="J180" s="211"/>
      <c r="K180" s="211"/>
      <c r="L180" s="212"/>
      <c r="M180" s="212"/>
      <c r="N180" s="213"/>
      <c r="O180" s="211"/>
      <c r="P180" s="212"/>
      <c r="Q180" s="213"/>
    </row>
    <row r="181">
      <c r="H181" s="209"/>
      <c r="I181" s="210"/>
      <c r="J181" s="211"/>
      <c r="K181" s="211"/>
      <c r="L181" s="212"/>
      <c r="M181" s="212"/>
      <c r="N181" s="213"/>
      <c r="O181" s="211"/>
      <c r="P181" s="212"/>
      <c r="Q181" s="213"/>
    </row>
    <row r="182">
      <c r="H182" s="209"/>
      <c r="I182" s="210"/>
      <c r="J182" s="211"/>
      <c r="K182" s="211"/>
      <c r="L182" s="212"/>
      <c r="M182" s="212"/>
      <c r="N182" s="213"/>
      <c r="O182" s="211"/>
      <c r="P182" s="212"/>
      <c r="Q182" s="213"/>
    </row>
    <row r="183">
      <c r="H183" s="218"/>
      <c r="I183" s="219"/>
      <c r="J183" s="220"/>
      <c r="K183" s="220"/>
      <c r="L183" s="221"/>
      <c r="M183" s="221"/>
      <c r="N183" s="222"/>
      <c r="O183" s="220"/>
      <c r="P183" s="223"/>
      <c r="Q183" s="222"/>
    </row>
    <row r="184">
      <c r="H184" s="218"/>
      <c r="I184" s="219"/>
      <c r="J184" s="220"/>
      <c r="K184" s="220"/>
      <c r="L184" s="221"/>
      <c r="M184" s="221"/>
      <c r="N184" s="222"/>
      <c r="O184" s="220"/>
      <c r="P184" s="221"/>
      <c r="Q184" s="222"/>
    </row>
    <row r="185">
      <c r="H185" s="218"/>
      <c r="I185" s="219"/>
      <c r="J185" s="220"/>
      <c r="K185" s="220"/>
      <c r="L185" s="221"/>
      <c r="M185" s="221"/>
      <c r="N185" s="222"/>
      <c r="O185" s="220"/>
      <c r="P185" s="221"/>
      <c r="Q185" s="222"/>
    </row>
    <row r="186">
      <c r="H186" s="209"/>
      <c r="I186" s="237"/>
      <c r="J186" s="220"/>
      <c r="K186" s="220"/>
      <c r="L186" s="221"/>
      <c r="M186" s="221"/>
      <c r="N186" s="222"/>
      <c r="O186" s="220"/>
      <c r="P186" s="221"/>
      <c r="Q186" s="222"/>
    </row>
    <row r="187">
      <c r="H187" s="256"/>
      <c r="I187" s="257"/>
      <c r="J187" s="257"/>
      <c r="K187" s="257"/>
      <c r="L187" s="258"/>
      <c r="M187" s="258"/>
      <c r="N187" s="258"/>
      <c r="O187" s="257"/>
      <c r="P187" s="258"/>
      <c r="Q187" s="258"/>
    </row>
    <row r="188">
      <c r="H188" s="259"/>
      <c r="I188" s="257"/>
      <c r="J188" s="257"/>
      <c r="K188" s="257"/>
      <c r="L188" s="258"/>
      <c r="M188" s="258"/>
      <c r="N188" s="258"/>
      <c r="O188" s="257"/>
      <c r="P188" s="258"/>
      <c r="Q188" s="258"/>
    </row>
    <row r="189">
      <c r="H189" s="259"/>
      <c r="I189" s="257"/>
      <c r="J189" s="257"/>
      <c r="K189" s="257"/>
      <c r="L189" s="258"/>
      <c r="M189" s="258"/>
      <c r="N189" s="258"/>
      <c r="O189" s="257"/>
      <c r="P189" s="258"/>
      <c r="Q189" s="258"/>
    </row>
    <row r="190">
      <c r="H190" s="259"/>
      <c r="I190" s="257"/>
      <c r="J190" s="257"/>
      <c r="K190" s="257"/>
      <c r="L190" s="258"/>
      <c r="M190" s="258"/>
      <c r="N190" s="258"/>
      <c r="O190" s="257"/>
      <c r="P190" s="258"/>
      <c r="Q190" s="258"/>
    </row>
    <row r="191">
      <c r="H191" s="259"/>
      <c r="I191" s="257"/>
      <c r="J191" s="257"/>
      <c r="K191" s="257"/>
      <c r="L191" s="258"/>
      <c r="M191" s="258"/>
      <c r="N191" s="258"/>
      <c r="O191" s="257"/>
      <c r="P191" s="258"/>
      <c r="Q191" s="258"/>
    </row>
    <row r="192">
      <c r="H192" s="259"/>
      <c r="I192" s="257"/>
      <c r="J192" s="257"/>
      <c r="K192" s="257"/>
      <c r="L192" s="258"/>
      <c r="M192" s="258"/>
      <c r="N192" s="258"/>
      <c r="O192" s="257"/>
      <c r="P192" s="258"/>
      <c r="Q192" s="258"/>
    </row>
    <row r="193">
      <c r="H193" s="259"/>
      <c r="I193" s="257"/>
      <c r="J193" s="257"/>
      <c r="K193" s="257"/>
      <c r="L193" s="258"/>
      <c r="M193" s="258"/>
      <c r="N193" s="258"/>
      <c r="O193" s="257"/>
      <c r="P193" s="258"/>
      <c r="Q193" s="258"/>
    </row>
    <row r="194">
      <c r="H194" s="229"/>
      <c r="I194" s="257"/>
      <c r="J194" s="257"/>
      <c r="K194" s="257"/>
      <c r="L194" s="258"/>
      <c r="M194" s="258"/>
      <c r="N194" s="258"/>
      <c r="O194" s="257"/>
      <c r="P194" s="258"/>
      <c r="Q194" s="258"/>
    </row>
    <row r="195">
      <c r="H195" s="229"/>
      <c r="I195" s="257"/>
      <c r="J195" s="257"/>
      <c r="K195" s="257"/>
      <c r="L195" s="258"/>
      <c r="M195" s="258"/>
      <c r="N195" s="258"/>
      <c r="O195" s="257"/>
      <c r="P195" s="258"/>
      <c r="Q195" s="258"/>
    </row>
    <row r="196">
      <c r="H196" s="238" t="s">
        <v>113</v>
      </c>
      <c r="I196" s="239"/>
      <c r="J196" s="239"/>
      <c r="K196" s="239"/>
      <c r="L196" s="239"/>
      <c r="M196" s="239"/>
      <c r="N196" s="260"/>
      <c r="O196" s="239"/>
      <c r="P196" s="239"/>
      <c r="Q196" s="240">
        <f>SUM(Q138:Q195)</f>
        <v>116394</v>
      </c>
    </row>
  </sheetData>
  <hyperlinks>
    <hyperlink r:id="rId1" ref="B151"/>
    <hyperlink r:id="rId2" ref="B152"/>
    <hyperlink r:id="rId3" ref="B153"/>
    <hyperlink r:id="rId4" ref="B15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8.63"/>
    <col customWidth="1" min="3" max="3" width="20.38"/>
    <col customWidth="1" min="4" max="4" width="19.88"/>
    <col customWidth="1" min="5" max="5" width="24.75"/>
    <col customWidth="1" min="6" max="6" width="11.13"/>
    <col customWidth="1" min="7" max="7" width="9.38"/>
    <col customWidth="1" min="8" max="8" width="23.25"/>
    <col customWidth="1" min="9" max="9" width="24.38"/>
    <col customWidth="1" min="10" max="10" width="15.38"/>
    <col customWidth="1" min="11" max="11" width="18.5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7.5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5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8" t="s">
        <v>374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8" t="s">
        <v>11</v>
      </c>
      <c r="M2" s="9" t="s">
        <v>12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18</v>
      </c>
      <c r="T2" s="5" t="s">
        <v>19</v>
      </c>
      <c r="U2" s="5" t="s">
        <v>20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13" t="s">
        <v>29</v>
      </c>
      <c r="B3" s="13" t="s">
        <v>29</v>
      </c>
      <c r="C3" s="14">
        <f>I3/E182</f>
        <v>0.01842337536</v>
      </c>
      <c r="D3" s="15" t="s">
        <v>331</v>
      </c>
      <c r="E3" s="16" t="s">
        <v>31</v>
      </c>
      <c r="F3" s="17">
        <v>7.9</v>
      </c>
      <c r="G3" s="18">
        <v>2000.0</v>
      </c>
      <c r="H3" s="19">
        <f t="shared" ref="H3:H48" si="1">G3*J3</f>
        <v>281860</v>
      </c>
      <c r="I3" s="20">
        <f>H3+P3</f>
        <v>385380</v>
      </c>
      <c r="J3" s="21">
        <v>140.93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48" si="2">L3-J3</f>
        <v>51.76</v>
      </c>
      <c r="O3" s="25">
        <f>L3/J3-1</f>
        <v>0.3672745335</v>
      </c>
      <c r="P3" s="19">
        <f t="shared" ref="P3:P48" si="3">H3*O3</f>
        <v>103520</v>
      </c>
      <c r="Q3" s="34"/>
      <c r="R3" s="29"/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3">
        <f>B178</f>
        <v>0.7321246577</v>
      </c>
      <c r="B4" s="33">
        <f>I49/E182</f>
        <v>0.73473509</v>
      </c>
      <c r="C4" s="14">
        <f>I4/E182</f>
        <v>0</v>
      </c>
      <c r="D4" s="42" t="s">
        <v>332</v>
      </c>
      <c r="E4" s="45" t="s">
        <v>299</v>
      </c>
      <c r="F4" s="44">
        <v>7.5</v>
      </c>
      <c r="G4" s="18">
        <v>3000.0</v>
      </c>
      <c r="H4" s="19">
        <f t="shared" si="1"/>
        <v>195000</v>
      </c>
      <c r="I4" s="20">
        <v>0.0</v>
      </c>
      <c r="J4" s="21">
        <v>65.0</v>
      </c>
      <c r="K4" s="22">
        <f>IFERROR(__xludf.DUMMYFUNCTION("GOOGLEFINANCE(E4,""changepct"")"),-1.67)</f>
        <v>-1.67</v>
      </c>
      <c r="L4" s="23">
        <f>IFERROR(__xludf.DUMMYFUNCTION("googlefinance(E4,""price"")"),87.48)</f>
        <v>87.48</v>
      </c>
      <c r="M4" s="21">
        <v>62.66</v>
      </c>
      <c r="N4" s="24">
        <f t="shared" si="2"/>
        <v>22.48</v>
      </c>
      <c r="O4" s="25">
        <f>M4/J4-1</f>
        <v>-0.036</v>
      </c>
      <c r="P4" s="19">
        <f t="shared" si="3"/>
        <v>-7020</v>
      </c>
      <c r="Q4" s="34"/>
      <c r="R4" s="29"/>
      <c r="S4" s="35"/>
      <c r="T4" s="27">
        <v>-870.0</v>
      </c>
      <c r="U4" s="27"/>
      <c r="V4" s="15" t="s">
        <v>299</v>
      </c>
      <c r="W4" s="36">
        <v>45316.0</v>
      </c>
      <c r="X4" s="37">
        <v>62.66</v>
      </c>
      <c r="Y4" s="27">
        <v>187980.0</v>
      </c>
      <c r="Z4" s="16"/>
      <c r="AA4" s="32"/>
      <c r="AB4" s="31"/>
      <c r="AC4" s="29"/>
    </row>
    <row r="5">
      <c r="A5" s="38"/>
      <c r="B5" s="32"/>
      <c r="C5" s="14">
        <f>I5/E182</f>
        <v>0.009211687681</v>
      </c>
      <c r="D5" s="15" t="s">
        <v>30</v>
      </c>
      <c r="E5" s="16" t="s">
        <v>31</v>
      </c>
      <c r="F5" s="17">
        <v>7.9</v>
      </c>
      <c r="G5" s="18">
        <v>1000.0</v>
      </c>
      <c r="H5" s="19">
        <f t="shared" si="1"/>
        <v>139180</v>
      </c>
      <c r="I5" s="20">
        <f t="shared" ref="I5:I6" si="4">H5+P5</f>
        <v>192690</v>
      </c>
      <c r="J5" s="21">
        <v>139.18</v>
      </c>
      <c r="K5" s="22">
        <f>IFERROR(__xludf.DUMMYFUNCTION("GOOGLEFINANCE(E5,""changepct"")"),-0.7)</f>
        <v>-0.7</v>
      </c>
      <c r="L5" s="23">
        <f>IFERROR(__xludf.DUMMYFUNCTION("googlefinance(E5,""price"")"),192.69)</f>
        <v>192.69</v>
      </c>
      <c r="M5" s="21"/>
      <c r="N5" s="24">
        <f t="shared" si="2"/>
        <v>53.51</v>
      </c>
      <c r="O5" s="25">
        <f t="shared" ref="O5:O6" si="5">L5/J5-1</f>
        <v>0.3844661589</v>
      </c>
      <c r="P5" s="19">
        <f t="shared" si="3"/>
        <v>53510</v>
      </c>
      <c r="Q5" s="34"/>
      <c r="R5" s="29"/>
      <c r="S5" s="39"/>
      <c r="T5" s="27"/>
      <c r="U5" s="40"/>
      <c r="V5" s="15"/>
      <c r="W5" s="41"/>
      <c r="X5" s="37"/>
      <c r="Y5" s="27"/>
      <c r="Z5" s="15" t="s">
        <v>31</v>
      </c>
      <c r="AA5" s="41">
        <v>45362.0</v>
      </c>
      <c r="AB5" s="21">
        <v>139.18</v>
      </c>
      <c r="AC5" s="20">
        <v>139180.0</v>
      </c>
    </row>
    <row r="6">
      <c r="A6" s="38"/>
      <c r="B6" s="32"/>
      <c r="C6" s="14">
        <f>I6/E182</f>
        <v>0.009211687681</v>
      </c>
      <c r="D6" s="15" t="s">
        <v>30</v>
      </c>
      <c r="E6" s="16" t="s">
        <v>31</v>
      </c>
      <c r="F6" s="17">
        <v>7.9</v>
      </c>
      <c r="G6" s="18">
        <v>1000.0</v>
      </c>
      <c r="H6" s="19">
        <f t="shared" si="1"/>
        <v>142260</v>
      </c>
      <c r="I6" s="20">
        <f t="shared" si="4"/>
        <v>192690</v>
      </c>
      <c r="J6" s="21">
        <v>142.26</v>
      </c>
      <c r="K6" s="22">
        <f>IFERROR(__xludf.DUMMYFUNCTION("GOOGLEFINANCE(E6,""changepct"")"),-0.7)</f>
        <v>-0.7</v>
      </c>
      <c r="L6" s="23">
        <f>IFERROR(__xludf.DUMMYFUNCTION("googlefinance(E6,""price"")"),192.69)</f>
        <v>192.69</v>
      </c>
      <c r="M6" s="21"/>
      <c r="N6" s="24">
        <f t="shared" si="2"/>
        <v>50.43</v>
      </c>
      <c r="O6" s="25">
        <f t="shared" si="5"/>
        <v>0.3544917756</v>
      </c>
      <c r="P6" s="19">
        <f t="shared" si="3"/>
        <v>50430</v>
      </c>
      <c r="Q6" s="34"/>
      <c r="R6" s="29"/>
      <c r="S6" s="39"/>
      <c r="T6" s="27"/>
      <c r="U6" s="40"/>
      <c r="V6" s="15"/>
      <c r="W6" s="41"/>
      <c r="X6" s="37"/>
      <c r="Y6" s="27"/>
      <c r="Z6" s="15" t="s">
        <v>31</v>
      </c>
      <c r="AA6" s="41">
        <v>45365.0</v>
      </c>
      <c r="AB6" s="21">
        <v>142.26</v>
      </c>
      <c r="AC6" s="20">
        <v>142260.0</v>
      </c>
    </row>
    <row r="7">
      <c r="A7" s="38"/>
      <c r="B7" s="32"/>
      <c r="C7" s="14">
        <f>I7/E182</f>
        <v>0</v>
      </c>
      <c r="D7" s="15" t="s">
        <v>30</v>
      </c>
      <c r="E7" s="16" t="s">
        <v>31</v>
      </c>
      <c r="F7" s="17">
        <v>7.9</v>
      </c>
      <c r="G7" s="18">
        <v>1000.0</v>
      </c>
      <c r="H7" s="19">
        <f t="shared" si="1"/>
        <v>140930</v>
      </c>
      <c r="I7" s="20">
        <v>0.0</v>
      </c>
      <c r="J7" s="21">
        <v>140.93</v>
      </c>
      <c r="K7" s="22">
        <f>IFERROR(__xludf.DUMMYFUNCTION("GOOGLEFINANCE(E7,""changepct"")"),-0.7)</f>
        <v>-0.7</v>
      </c>
      <c r="L7" s="23">
        <f>IFERROR(__xludf.DUMMYFUNCTION("googlefinance(E7,""price"")"),192.69)</f>
        <v>192.69</v>
      </c>
      <c r="M7" s="21">
        <v>140.09</v>
      </c>
      <c r="N7" s="24">
        <f t="shared" si="2"/>
        <v>51.76</v>
      </c>
      <c r="O7" s="25">
        <f t="shared" ref="O7:O10" si="6">M7/J7-1</f>
        <v>-0.005960405875</v>
      </c>
      <c r="P7" s="19">
        <f t="shared" si="3"/>
        <v>-840</v>
      </c>
      <c r="Q7" s="34"/>
      <c r="R7" s="29"/>
      <c r="S7" s="39"/>
      <c r="T7" s="27"/>
      <c r="U7" s="40"/>
      <c r="V7" s="15" t="s">
        <v>31</v>
      </c>
      <c r="W7" s="41">
        <v>45348.0</v>
      </c>
      <c r="X7" s="37">
        <v>140.09</v>
      </c>
      <c r="Y7" s="27">
        <v>140090.0</v>
      </c>
      <c r="Z7" s="15"/>
      <c r="AA7" s="41"/>
      <c r="AB7" s="21"/>
      <c r="AC7" s="20"/>
    </row>
    <row r="8">
      <c r="A8" s="38"/>
      <c r="B8" s="32"/>
      <c r="C8" s="14">
        <f>I8/E182</f>
        <v>0</v>
      </c>
      <c r="D8" s="15" t="s">
        <v>30</v>
      </c>
      <c r="E8" s="16" t="s">
        <v>31</v>
      </c>
      <c r="F8" s="17">
        <v>7.9</v>
      </c>
      <c r="G8" s="18">
        <v>1000.0</v>
      </c>
      <c r="H8" s="19">
        <f t="shared" si="1"/>
        <v>140930</v>
      </c>
      <c r="I8" s="20">
        <v>0.0</v>
      </c>
      <c r="J8" s="21">
        <v>140.93</v>
      </c>
      <c r="K8" s="22">
        <f>IFERROR(__xludf.DUMMYFUNCTION("GOOGLEFINANCE(E8,""changepct"")"),-0.7)</f>
        <v>-0.7</v>
      </c>
      <c r="L8" s="23">
        <f>IFERROR(__xludf.DUMMYFUNCTION("googlefinance(E8,""price"")"),192.69)</f>
        <v>192.69</v>
      </c>
      <c r="M8" s="21">
        <v>143.4</v>
      </c>
      <c r="N8" s="24">
        <f t="shared" si="2"/>
        <v>51.76</v>
      </c>
      <c r="O8" s="25">
        <f t="shared" si="6"/>
        <v>0.01752643156</v>
      </c>
      <c r="P8" s="19">
        <f t="shared" si="3"/>
        <v>2470</v>
      </c>
      <c r="Q8" s="34"/>
      <c r="R8" s="29"/>
      <c r="S8" s="39"/>
      <c r="T8" s="27"/>
      <c r="U8" s="40"/>
      <c r="V8" s="15" t="s">
        <v>31</v>
      </c>
      <c r="W8" s="41">
        <v>45337.0</v>
      </c>
      <c r="X8" s="37">
        <v>143.4</v>
      </c>
      <c r="Y8" s="27">
        <v>143400.0</v>
      </c>
      <c r="Z8" s="15"/>
      <c r="AA8" s="41"/>
      <c r="AB8" s="21"/>
      <c r="AC8" s="20"/>
    </row>
    <row r="9">
      <c r="A9" s="38"/>
      <c r="B9" s="32"/>
      <c r="C9" s="14">
        <f>I9/E182</f>
        <v>0</v>
      </c>
      <c r="D9" s="42" t="s">
        <v>332</v>
      </c>
      <c r="E9" s="45" t="s">
        <v>299</v>
      </c>
      <c r="F9" s="44">
        <v>7.5</v>
      </c>
      <c r="G9" s="18">
        <v>2000.0</v>
      </c>
      <c r="H9" s="19">
        <f t="shared" si="1"/>
        <v>154700</v>
      </c>
      <c r="I9" s="20">
        <v>0.0</v>
      </c>
      <c r="J9" s="21">
        <v>77.35</v>
      </c>
      <c r="K9" s="22">
        <f>IFERROR(__xludf.DUMMYFUNCTION("GOOGLEFINANCE(E9,""changepct"")"),-1.67)</f>
        <v>-1.67</v>
      </c>
      <c r="L9" s="23">
        <f>IFERROR(__xludf.DUMMYFUNCTION("googlefinance(E9,""price"")"),87.48)</f>
        <v>87.48</v>
      </c>
      <c r="M9" s="21">
        <v>65.01</v>
      </c>
      <c r="N9" s="24">
        <f t="shared" si="2"/>
        <v>10.13</v>
      </c>
      <c r="O9" s="25">
        <f t="shared" si="6"/>
        <v>-0.1595345831</v>
      </c>
      <c r="P9" s="19">
        <f t="shared" si="3"/>
        <v>-24680</v>
      </c>
      <c r="Q9" s="34"/>
      <c r="R9" s="29"/>
      <c r="S9" s="39"/>
      <c r="T9" s="27">
        <v>3200.0</v>
      </c>
      <c r="U9" s="40"/>
      <c r="V9" s="15" t="s">
        <v>299</v>
      </c>
      <c r="W9" s="261" t="s">
        <v>375</v>
      </c>
      <c r="X9" s="37">
        <v>65.01</v>
      </c>
      <c r="Y9" s="27">
        <v>130020.0</v>
      </c>
      <c r="Z9" s="15"/>
      <c r="AA9" s="41"/>
      <c r="AB9" s="21"/>
      <c r="AC9" s="20"/>
    </row>
    <row r="10">
      <c r="A10" s="38"/>
      <c r="B10" s="32"/>
      <c r="C10" s="14">
        <f>I10/E182</f>
        <v>0</v>
      </c>
      <c r="D10" s="42" t="s">
        <v>332</v>
      </c>
      <c r="E10" s="45" t="s">
        <v>299</v>
      </c>
      <c r="F10" s="44">
        <v>7.5</v>
      </c>
      <c r="G10" s="18">
        <v>4000.0</v>
      </c>
      <c r="H10" s="19">
        <f t="shared" si="1"/>
        <v>309400</v>
      </c>
      <c r="I10" s="20">
        <v>0.0</v>
      </c>
      <c r="J10" s="21">
        <v>77.35</v>
      </c>
      <c r="K10" s="22">
        <f>IFERROR(__xludf.DUMMYFUNCTION("GOOGLEFINANCE(E10,""changepct"")"),-1.67)</f>
        <v>-1.67</v>
      </c>
      <c r="L10" s="23">
        <f>IFERROR(__xludf.DUMMYFUNCTION("googlefinance(E10,""price"")"),87.48)</f>
        <v>87.48</v>
      </c>
      <c r="M10" s="21">
        <v>65.7</v>
      </c>
      <c r="N10" s="24">
        <f t="shared" si="2"/>
        <v>10.13</v>
      </c>
      <c r="O10" s="25">
        <f t="shared" si="6"/>
        <v>-0.1506140918</v>
      </c>
      <c r="P10" s="19">
        <f t="shared" si="3"/>
        <v>-46600</v>
      </c>
      <c r="Q10" s="34"/>
      <c r="R10" s="29"/>
      <c r="S10" s="39"/>
      <c r="T10" s="27"/>
      <c r="U10" s="40"/>
      <c r="V10" s="15" t="s">
        <v>299</v>
      </c>
      <c r="W10" s="36">
        <v>45307.0</v>
      </c>
      <c r="X10" s="37">
        <v>65.7</v>
      </c>
      <c r="Y10" s="27">
        <v>262800.0</v>
      </c>
      <c r="Z10" s="15"/>
      <c r="AA10" s="41"/>
      <c r="AB10" s="21"/>
      <c r="AC10" s="20"/>
    </row>
    <row r="11">
      <c r="A11" s="38"/>
      <c r="B11" s="32"/>
      <c r="C11" s="14">
        <f>I11/E182</f>
        <v>0.03990918631</v>
      </c>
      <c r="D11" s="15" t="s">
        <v>35</v>
      </c>
      <c r="E11" s="15" t="s">
        <v>36</v>
      </c>
      <c r="F11" s="17">
        <v>8.0</v>
      </c>
      <c r="G11" s="18">
        <v>2000.0</v>
      </c>
      <c r="H11" s="19">
        <f t="shared" si="1"/>
        <v>496960</v>
      </c>
      <c r="I11" s="20">
        <f t="shared" ref="I11:I14" si="7">H11+P11</f>
        <v>834820</v>
      </c>
      <c r="J11" s="21">
        <v>248.48</v>
      </c>
      <c r="K11" s="22">
        <f>IFERROR(__xludf.DUMMYFUNCTION("GOOGLEFINANCE(E11,""changepct"")"),-3.3)</f>
        <v>-3.3</v>
      </c>
      <c r="L11" s="23">
        <f>IFERROR(__xludf.DUMMYFUNCTION("googlefinance(E11,""price"")"),417.41)</f>
        <v>417.41</v>
      </c>
      <c r="M11" s="24"/>
      <c r="N11" s="24">
        <f t="shared" si="2"/>
        <v>168.93</v>
      </c>
      <c r="O11" s="25">
        <f t="shared" ref="O11:O14" si="8">L11/J11-1</f>
        <v>0.6798535093</v>
      </c>
      <c r="P11" s="19">
        <f t="shared" si="3"/>
        <v>337860</v>
      </c>
      <c r="Q11" s="34"/>
      <c r="R11" s="29"/>
      <c r="S11" s="39"/>
      <c r="T11" s="27">
        <v>8070.0</v>
      </c>
      <c r="U11" s="40"/>
      <c r="V11" s="15"/>
      <c r="W11" s="36"/>
      <c r="X11" s="37"/>
      <c r="Y11" s="27"/>
      <c r="Z11" s="15"/>
      <c r="AA11" s="41"/>
      <c r="AB11" s="21"/>
      <c r="AC11" s="20"/>
    </row>
    <row r="12">
      <c r="A12" s="38"/>
      <c r="B12" s="32"/>
      <c r="C12" s="14">
        <f>I12/E182</f>
        <v>0.01995459315</v>
      </c>
      <c r="D12" s="15" t="s">
        <v>37</v>
      </c>
      <c r="E12" s="15" t="s">
        <v>36</v>
      </c>
      <c r="F12" s="17">
        <v>8.0</v>
      </c>
      <c r="G12" s="18">
        <v>1000.0</v>
      </c>
      <c r="H12" s="19">
        <f t="shared" si="1"/>
        <v>186240</v>
      </c>
      <c r="I12" s="20">
        <f t="shared" si="7"/>
        <v>417410</v>
      </c>
      <c r="J12" s="21">
        <v>186.24</v>
      </c>
      <c r="K12" s="22">
        <f>IFERROR(__xludf.DUMMYFUNCTION("GOOGLEFINANCE(E12,""changepct"")"),-3.3)</f>
        <v>-3.3</v>
      </c>
      <c r="L12" s="23">
        <f>IFERROR(__xludf.DUMMYFUNCTION("googlefinance(E12,""price"")"),417.41)</f>
        <v>417.41</v>
      </c>
      <c r="M12" s="24"/>
      <c r="N12" s="24">
        <f t="shared" si="2"/>
        <v>231.17</v>
      </c>
      <c r="O12" s="25">
        <f t="shared" si="8"/>
        <v>1.241247852</v>
      </c>
      <c r="P12" s="19">
        <f t="shared" si="3"/>
        <v>231170</v>
      </c>
      <c r="Q12" s="34"/>
      <c r="R12" s="29"/>
      <c r="S12" s="43"/>
      <c r="T12" s="27">
        <v>1090.0</v>
      </c>
      <c r="U12" s="40"/>
      <c r="V12" s="15"/>
      <c r="W12" s="41"/>
      <c r="X12" s="21"/>
      <c r="Y12" s="20"/>
      <c r="Z12" s="42" t="s">
        <v>36</v>
      </c>
      <c r="AA12" s="36">
        <v>45316.0</v>
      </c>
      <c r="AB12" s="37">
        <v>186.24</v>
      </c>
      <c r="AC12" s="27">
        <v>186240.0</v>
      </c>
    </row>
    <row r="13">
      <c r="A13" s="38"/>
      <c r="B13" s="32"/>
      <c r="C13" s="14">
        <f>I13/E182</f>
        <v>0.01995459315</v>
      </c>
      <c r="D13" s="15" t="s">
        <v>37</v>
      </c>
      <c r="E13" s="15" t="s">
        <v>36</v>
      </c>
      <c r="F13" s="17">
        <v>8.0</v>
      </c>
      <c r="G13" s="18">
        <v>1000.0</v>
      </c>
      <c r="H13" s="19">
        <f t="shared" si="1"/>
        <v>200110</v>
      </c>
      <c r="I13" s="20">
        <f t="shared" si="7"/>
        <v>417410</v>
      </c>
      <c r="J13" s="21">
        <v>200.11</v>
      </c>
      <c r="K13" s="22">
        <f>IFERROR(__xludf.DUMMYFUNCTION("GOOGLEFINANCE(E13,""changepct"")"),-3.3)</f>
        <v>-3.3</v>
      </c>
      <c r="L13" s="23">
        <f>IFERROR(__xludf.DUMMYFUNCTION("googlefinance(E13,""price"")"),417.41)</f>
        <v>417.41</v>
      </c>
      <c r="M13" s="21"/>
      <c r="N13" s="24">
        <f t="shared" si="2"/>
        <v>217.3</v>
      </c>
      <c r="O13" s="25">
        <f t="shared" si="8"/>
        <v>1.085902753</v>
      </c>
      <c r="P13" s="19">
        <f t="shared" si="3"/>
        <v>217300</v>
      </c>
      <c r="Q13" s="34"/>
      <c r="R13" s="29"/>
      <c r="S13" s="43"/>
      <c r="T13" s="27">
        <v>5170.0</v>
      </c>
      <c r="U13" s="40"/>
      <c r="V13" s="15"/>
      <c r="W13" s="41"/>
      <c r="X13" s="21"/>
      <c r="Y13" s="20"/>
      <c r="Z13" s="42" t="s">
        <v>36</v>
      </c>
      <c r="AA13" s="36">
        <v>45352.0</v>
      </c>
      <c r="AB13" s="37">
        <v>200.11</v>
      </c>
      <c r="AC13" s="27">
        <v>200110.0</v>
      </c>
    </row>
    <row r="14">
      <c r="A14" s="38"/>
      <c r="B14" s="32"/>
      <c r="C14" s="14">
        <f>I14/E182</f>
        <v>0.01995459315</v>
      </c>
      <c r="D14" s="15" t="s">
        <v>37</v>
      </c>
      <c r="E14" s="15" t="s">
        <v>36</v>
      </c>
      <c r="F14" s="17">
        <v>8.0</v>
      </c>
      <c r="G14" s="18">
        <v>1000.0</v>
      </c>
      <c r="H14" s="19">
        <f t="shared" si="1"/>
        <v>172400</v>
      </c>
      <c r="I14" s="20">
        <f t="shared" si="7"/>
        <v>417410</v>
      </c>
      <c r="J14" s="21">
        <v>172.4</v>
      </c>
      <c r="K14" s="22">
        <f>IFERROR(__xludf.DUMMYFUNCTION("GOOGLEFINANCE(E14,""changepct"")"),-3.3)</f>
        <v>-3.3</v>
      </c>
      <c r="L14" s="23">
        <f>IFERROR(__xludf.DUMMYFUNCTION("googlefinance(E14,""price"")"),417.41)</f>
        <v>417.41</v>
      </c>
      <c r="M14" s="21"/>
      <c r="N14" s="24">
        <f t="shared" si="2"/>
        <v>245.01</v>
      </c>
      <c r="O14" s="25">
        <f t="shared" si="8"/>
        <v>1.421171694</v>
      </c>
      <c r="P14" s="19">
        <f t="shared" si="3"/>
        <v>245010</v>
      </c>
      <c r="Q14" s="34"/>
      <c r="R14" s="29"/>
      <c r="S14" s="43"/>
      <c r="T14" s="27"/>
      <c r="U14" s="40"/>
      <c r="V14" s="15"/>
      <c r="W14" s="41"/>
      <c r="X14" s="21"/>
      <c r="Y14" s="20"/>
      <c r="Z14" s="42" t="s">
        <v>36</v>
      </c>
      <c r="AA14" s="36">
        <v>45376.0</v>
      </c>
      <c r="AB14" s="37">
        <v>172.4</v>
      </c>
      <c r="AC14" s="27">
        <v>172400.0</v>
      </c>
    </row>
    <row r="15">
      <c r="A15" s="38"/>
      <c r="B15" s="32"/>
      <c r="C15" s="14">
        <f>I15/E182</f>
        <v>0</v>
      </c>
      <c r="D15" s="42" t="s">
        <v>41</v>
      </c>
      <c r="E15" s="42" t="s">
        <v>40</v>
      </c>
      <c r="F15" s="44">
        <v>8.1</v>
      </c>
      <c r="G15" s="18">
        <v>1500.0</v>
      </c>
      <c r="H15" s="19">
        <f t="shared" si="1"/>
        <v>221115</v>
      </c>
      <c r="I15" s="20">
        <v>0.0</v>
      </c>
      <c r="J15" s="21">
        <v>147.41</v>
      </c>
      <c r="K15" s="22">
        <f>IFERROR(__xludf.DUMMYFUNCTION("GOOGLEFINANCE(E15,""changepct"")"),-2.2)</f>
        <v>-2.2</v>
      </c>
      <c r="L15" s="23">
        <f>IFERROR(__xludf.DUMMYFUNCTION("googlefinance(E15,""price"")"),122.44)</f>
        <v>122.44</v>
      </c>
      <c r="M15" s="21">
        <v>150.0</v>
      </c>
      <c r="N15" s="24">
        <f t="shared" si="2"/>
        <v>-24.97</v>
      </c>
      <c r="O15" s="25">
        <f>M15/J15-1</f>
        <v>0.01757004274</v>
      </c>
      <c r="P15" s="19">
        <f t="shared" si="3"/>
        <v>3885</v>
      </c>
      <c r="Q15" s="34"/>
      <c r="R15" s="29"/>
      <c r="S15" s="43"/>
      <c r="T15" s="27">
        <v>9270.0</v>
      </c>
      <c r="U15" s="40"/>
      <c r="V15" s="15" t="s">
        <v>40</v>
      </c>
      <c r="W15" s="41">
        <v>45338.0</v>
      </c>
      <c r="X15" s="21">
        <v>150.0</v>
      </c>
      <c r="Y15" s="20">
        <v>225000.0</v>
      </c>
      <c r="Z15" s="42"/>
      <c r="AA15" s="36"/>
      <c r="AB15" s="37"/>
      <c r="AC15" s="27"/>
    </row>
    <row r="16">
      <c r="A16" s="38"/>
      <c r="B16" s="32"/>
      <c r="C16" s="14">
        <f>I16/E182</f>
        <v>0.01170666915</v>
      </c>
      <c r="D16" s="42" t="s">
        <v>39</v>
      </c>
      <c r="E16" s="42" t="s">
        <v>40</v>
      </c>
      <c r="F16" s="44">
        <v>8.1</v>
      </c>
      <c r="G16" s="18">
        <v>2000.0</v>
      </c>
      <c r="H16" s="19">
        <f t="shared" si="1"/>
        <v>352600</v>
      </c>
      <c r="I16" s="20">
        <f t="shared" ref="I16:I18" si="9">H16+P16</f>
        <v>244880</v>
      </c>
      <c r="J16" s="21">
        <v>176.3</v>
      </c>
      <c r="K16" s="22">
        <f>IFERROR(__xludf.DUMMYFUNCTION("GOOGLEFINANCE(E16,""changepct"")"),-2.2)</f>
        <v>-2.2</v>
      </c>
      <c r="L16" s="23">
        <f>IFERROR(__xludf.DUMMYFUNCTION("googlefinance(E16,""price"")"),122.44)</f>
        <v>122.44</v>
      </c>
      <c r="M16" s="24"/>
      <c r="N16" s="24">
        <f t="shared" si="2"/>
        <v>-53.86</v>
      </c>
      <c r="O16" s="25">
        <f t="shared" ref="O16:O18" si="10">L16/J16-1</f>
        <v>-0.3055019853</v>
      </c>
      <c r="P16" s="19">
        <f t="shared" si="3"/>
        <v>-107720</v>
      </c>
      <c r="Q16" s="34"/>
      <c r="R16" s="29"/>
      <c r="S16" s="43"/>
      <c r="T16" s="27"/>
      <c r="U16" s="40"/>
      <c r="V16" s="15"/>
      <c r="W16" s="41"/>
      <c r="X16" s="21"/>
      <c r="Y16" s="20"/>
      <c r="Z16" s="42" t="s">
        <v>40</v>
      </c>
      <c r="AA16" s="36">
        <v>45378.0</v>
      </c>
      <c r="AB16" s="37">
        <v>176.3</v>
      </c>
      <c r="AC16" s="27">
        <v>352600.0</v>
      </c>
    </row>
    <row r="17">
      <c r="A17" s="38"/>
      <c r="B17" s="32"/>
      <c r="C17" s="14">
        <f>I17/E182</f>
        <v>0.02926667288</v>
      </c>
      <c r="D17" s="42" t="s">
        <v>39</v>
      </c>
      <c r="E17" s="42" t="s">
        <v>40</v>
      </c>
      <c r="F17" s="44">
        <v>8.1</v>
      </c>
      <c r="G17" s="18">
        <v>5000.0</v>
      </c>
      <c r="H17" s="19">
        <f t="shared" si="1"/>
        <v>737050</v>
      </c>
      <c r="I17" s="20">
        <f t="shared" si="9"/>
        <v>612200</v>
      </c>
      <c r="J17" s="21">
        <v>147.41</v>
      </c>
      <c r="K17" s="22">
        <f>IFERROR(__xludf.DUMMYFUNCTION("GOOGLEFINANCE(E17,""changepct"")"),-2.2)</f>
        <v>-2.2</v>
      </c>
      <c r="L17" s="23">
        <f>IFERROR(__xludf.DUMMYFUNCTION("googlefinance(E17,""price"")"),122.44)</f>
        <v>122.44</v>
      </c>
      <c r="M17" s="24"/>
      <c r="N17" s="24">
        <f t="shared" si="2"/>
        <v>-24.97</v>
      </c>
      <c r="O17" s="25">
        <f t="shared" si="10"/>
        <v>-0.1693914931</v>
      </c>
      <c r="P17" s="19">
        <f t="shared" si="3"/>
        <v>-124850</v>
      </c>
      <c r="Q17" s="34"/>
      <c r="R17" s="29"/>
      <c r="S17" s="43"/>
      <c r="T17" s="27">
        <v>1510.0</v>
      </c>
      <c r="U17" s="40"/>
      <c r="V17" s="15"/>
      <c r="W17" s="41"/>
      <c r="X17" s="21"/>
      <c r="Y17" s="20"/>
      <c r="Z17" s="42"/>
      <c r="AA17" s="36"/>
      <c r="AB17" s="37"/>
      <c r="AC17" s="27"/>
    </row>
    <row r="18">
      <c r="A18" s="38"/>
      <c r="B18" s="32"/>
      <c r="C18" s="14">
        <f>I18/E182</f>
        <v>0.03173822955</v>
      </c>
      <c r="D18" s="42" t="s">
        <v>42</v>
      </c>
      <c r="E18" s="45" t="s">
        <v>43</v>
      </c>
      <c r="F18" s="44">
        <v>8.0</v>
      </c>
      <c r="G18" s="18">
        <v>3000.0</v>
      </c>
      <c r="H18" s="19">
        <f t="shared" si="1"/>
        <v>455820</v>
      </c>
      <c r="I18" s="20">
        <f t="shared" si="9"/>
        <v>663900</v>
      </c>
      <c r="J18" s="21">
        <v>151.94</v>
      </c>
      <c r="K18" s="22">
        <f>IFERROR(__xludf.DUMMYFUNCTION("GOOGLEFINANCE(E18,""changepct"")"),-1.09)</f>
        <v>-1.09</v>
      </c>
      <c r="L18" s="23">
        <f>IFERROR(__xludf.DUMMYFUNCTION("googlefinance(E18,""price"")"),221.3)</f>
        <v>221.3</v>
      </c>
      <c r="M18" s="24"/>
      <c r="N18" s="24">
        <f t="shared" si="2"/>
        <v>69.36</v>
      </c>
      <c r="O18" s="25">
        <f t="shared" si="10"/>
        <v>0.4564959853</v>
      </c>
      <c r="P18" s="19">
        <f t="shared" si="3"/>
        <v>208080</v>
      </c>
      <c r="Q18" s="34"/>
      <c r="R18" s="29"/>
      <c r="S18" s="43"/>
      <c r="T18" s="27">
        <v>-4800.0</v>
      </c>
      <c r="U18" s="40"/>
      <c r="V18" s="15"/>
      <c r="W18" s="41"/>
      <c r="X18" s="21"/>
      <c r="Y18" s="20"/>
      <c r="Z18" s="42"/>
      <c r="AA18" s="36"/>
      <c r="AB18" s="37"/>
      <c r="AC18" s="27"/>
    </row>
    <row r="19">
      <c r="A19" s="38"/>
      <c r="B19" s="32"/>
      <c r="C19" s="14">
        <f>I19/E182</f>
        <v>0</v>
      </c>
      <c r="D19" s="42" t="s">
        <v>44</v>
      </c>
      <c r="E19" s="45" t="s">
        <v>43</v>
      </c>
      <c r="F19" s="44">
        <v>8.0</v>
      </c>
      <c r="G19" s="18">
        <v>1000.0</v>
      </c>
      <c r="H19" s="19">
        <f t="shared" si="1"/>
        <v>151940</v>
      </c>
      <c r="I19" s="20">
        <v>0.0</v>
      </c>
      <c r="J19" s="21">
        <v>151.94</v>
      </c>
      <c r="K19" s="22">
        <f>IFERROR(__xludf.DUMMYFUNCTION("GOOGLEFINANCE(E19,""changepct"")"),-1.09)</f>
        <v>-1.09</v>
      </c>
      <c r="L19" s="23">
        <f>IFERROR(__xludf.DUMMYFUNCTION("googlefinance(E19,""price"")"),221.3)</f>
        <v>221.3</v>
      </c>
      <c r="M19" s="21">
        <v>170.1</v>
      </c>
      <c r="N19" s="24">
        <f t="shared" si="2"/>
        <v>69.36</v>
      </c>
      <c r="O19" s="25">
        <f>M19/J19-1</f>
        <v>0.1195208635</v>
      </c>
      <c r="P19" s="19">
        <f t="shared" si="3"/>
        <v>18160</v>
      </c>
      <c r="Q19" s="34"/>
      <c r="R19" s="29"/>
      <c r="S19" s="37"/>
      <c r="T19" s="27"/>
      <c r="U19" s="40"/>
      <c r="V19" s="15" t="s">
        <v>43</v>
      </c>
      <c r="W19" s="36">
        <v>45337.0</v>
      </c>
      <c r="X19" s="37">
        <v>170.1</v>
      </c>
      <c r="Y19" s="27">
        <v>170100.0</v>
      </c>
      <c r="Z19" s="42"/>
      <c r="AA19" s="41"/>
      <c r="AB19" s="21"/>
      <c r="AC19" s="20"/>
    </row>
    <row r="20">
      <c r="A20" s="38"/>
      <c r="B20" s="32"/>
      <c r="C20" s="14">
        <f>I20/E182</f>
        <v>0.3689646869</v>
      </c>
      <c r="D20" s="42" t="s">
        <v>45</v>
      </c>
      <c r="E20" s="45" t="s">
        <v>46</v>
      </c>
      <c r="F20" s="44">
        <v>8.1</v>
      </c>
      <c r="G20" s="18">
        <v>100000.0</v>
      </c>
      <c r="H20" s="19">
        <f t="shared" si="1"/>
        <v>1717000</v>
      </c>
      <c r="I20" s="20">
        <f>H20+P20</f>
        <v>7718000</v>
      </c>
      <c r="J20" s="21">
        <v>17.17</v>
      </c>
      <c r="K20" s="22">
        <f>IFERROR(__xludf.DUMMYFUNCTION("GOOGLEFINANCE(E20,""changepct"")"),-2.4)</f>
        <v>-2.4</v>
      </c>
      <c r="L20" s="23">
        <f>IFERROR(__xludf.DUMMYFUNCTION("googlefinance(E20,""price"")"),77.18)</f>
        <v>77.18</v>
      </c>
      <c r="M20" s="21"/>
      <c r="N20" s="24">
        <f t="shared" si="2"/>
        <v>60.01</v>
      </c>
      <c r="O20" s="25">
        <f>L20/J20-1</f>
        <v>3.495049505</v>
      </c>
      <c r="P20" s="19">
        <f t="shared" si="3"/>
        <v>6001000</v>
      </c>
      <c r="Q20" s="34"/>
      <c r="R20" s="29"/>
      <c r="S20" s="37"/>
      <c r="T20" s="27">
        <v>3400.0</v>
      </c>
      <c r="U20" s="40"/>
      <c r="V20" s="15"/>
      <c r="W20" s="36"/>
      <c r="X20" s="37"/>
      <c r="Y20" s="27"/>
      <c r="Z20" s="42"/>
      <c r="AA20" s="41"/>
      <c r="AB20" s="21"/>
      <c r="AC20" s="20"/>
    </row>
    <row r="21">
      <c r="A21" s="38"/>
      <c r="B21" s="32"/>
      <c r="C21" s="14">
        <f>I21/E182</f>
        <v>0</v>
      </c>
      <c r="D21" s="42" t="s">
        <v>48</v>
      </c>
      <c r="E21" s="45" t="s">
        <v>46</v>
      </c>
      <c r="F21" s="44">
        <v>8.1</v>
      </c>
      <c r="G21" s="18">
        <v>20000.0</v>
      </c>
      <c r="H21" s="19">
        <f t="shared" si="1"/>
        <v>320400</v>
      </c>
      <c r="I21" s="20">
        <v>0.0</v>
      </c>
      <c r="J21" s="21">
        <v>16.02</v>
      </c>
      <c r="K21" s="22">
        <f>IFERROR(__xludf.DUMMYFUNCTION("GOOGLEFINANCE(E21,""changepct"")"),-2.4)</f>
        <v>-2.4</v>
      </c>
      <c r="L21" s="23">
        <f>IFERROR(__xludf.DUMMYFUNCTION("googlefinance(E21,""price"")"),77.18)</f>
        <v>77.18</v>
      </c>
      <c r="M21" s="21">
        <v>24.22</v>
      </c>
      <c r="N21" s="24">
        <f t="shared" si="2"/>
        <v>61.16</v>
      </c>
      <c r="O21" s="25">
        <f t="shared" ref="O21:O24" si="11">M21/J21-1</f>
        <v>0.5118601748</v>
      </c>
      <c r="P21" s="19">
        <f t="shared" si="3"/>
        <v>164000</v>
      </c>
      <c r="Q21" s="14"/>
      <c r="R21" s="19"/>
      <c r="S21" s="37"/>
      <c r="T21" s="27">
        <v>2000.0</v>
      </c>
      <c r="U21" s="40"/>
      <c r="V21" s="15" t="s">
        <v>46</v>
      </c>
      <c r="W21" s="36">
        <v>45335.0</v>
      </c>
      <c r="X21" s="37">
        <v>24.22</v>
      </c>
      <c r="Y21" s="27">
        <v>484400.0</v>
      </c>
      <c r="Z21" s="15" t="s">
        <v>46</v>
      </c>
      <c r="AA21" s="36">
        <v>45296.0</v>
      </c>
      <c r="AB21" s="37">
        <v>16.02</v>
      </c>
      <c r="AC21" s="27">
        <v>320400.0</v>
      </c>
    </row>
    <row r="22">
      <c r="A22" s="38"/>
      <c r="B22" s="32"/>
      <c r="C22" s="14">
        <f>I22/E182</f>
        <v>0</v>
      </c>
      <c r="D22" s="42" t="s">
        <v>48</v>
      </c>
      <c r="E22" s="45" t="s">
        <v>46</v>
      </c>
      <c r="F22" s="44">
        <v>8.1</v>
      </c>
      <c r="G22" s="18">
        <v>15000.0</v>
      </c>
      <c r="H22" s="19">
        <f t="shared" si="1"/>
        <v>243300</v>
      </c>
      <c r="I22" s="20">
        <v>0.0</v>
      </c>
      <c r="J22" s="21">
        <v>16.22</v>
      </c>
      <c r="K22" s="22">
        <f>IFERROR(__xludf.DUMMYFUNCTION("GOOGLEFINANCE(E22,""changepct"")"),-2.4)</f>
        <v>-2.4</v>
      </c>
      <c r="L22" s="23">
        <f>IFERROR(__xludf.DUMMYFUNCTION("googlefinance(E22,""price"")"),77.18)</f>
        <v>77.18</v>
      </c>
      <c r="M22" s="21">
        <v>24.3</v>
      </c>
      <c r="N22" s="24">
        <f t="shared" si="2"/>
        <v>60.96</v>
      </c>
      <c r="O22" s="25">
        <f t="shared" si="11"/>
        <v>0.4981504316</v>
      </c>
      <c r="P22" s="19">
        <f t="shared" si="3"/>
        <v>121200</v>
      </c>
      <c r="Q22" s="14"/>
      <c r="R22" s="19"/>
      <c r="S22" s="37"/>
      <c r="T22" s="27">
        <v>7200.0</v>
      </c>
      <c r="U22" s="40"/>
      <c r="V22" s="15" t="s">
        <v>46</v>
      </c>
      <c r="W22" s="36">
        <v>45355.0</v>
      </c>
      <c r="X22" s="37">
        <v>24.3</v>
      </c>
      <c r="Y22" s="27">
        <v>364500.0</v>
      </c>
      <c r="Z22" s="15" t="s">
        <v>46</v>
      </c>
      <c r="AA22" s="36">
        <v>45309.0</v>
      </c>
      <c r="AB22" s="37">
        <v>16.22</v>
      </c>
      <c r="AC22" s="27">
        <v>243300.0</v>
      </c>
    </row>
    <row r="23">
      <c r="A23" s="38"/>
      <c r="B23" s="32"/>
      <c r="C23" s="14">
        <f>I23/E182</f>
        <v>0</v>
      </c>
      <c r="D23" s="15" t="s">
        <v>376</v>
      </c>
      <c r="E23" s="15" t="s">
        <v>377</v>
      </c>
      <c r="F23" s="17">
        <v>7.7</v>
      </c>
      <c r="G23" s="18">
        <v>3000.0</v>
      </c>
      <c r="H23" s="19">
        <f t="shared" si="1"/>
        <v>173100</v>
      </c>
      <c r="I23" s="20">
        <v>0.0</v>
      </c>
      <c r="J23" s="21">
        <v>57.7</v>
      </c>
      <c r="K23" s="22">
        <f>IFERROR(__xludf.DUMMYFUNCTION("GOOGLEFINANCE(E23,""changepct"")"),-2.29)</f>
        <v>-2.29</v>
      </c>
      <c r="L23" s="23">
        <f>IFERROR(__xludf.DUMMYFUNCTION("googlefinance(E23,""price"")"),78.55)</f>
        <v>78.55</v>
      </c>
      <c r="M23" s="21">
        <v>54.24</v>
      </c>
      <c r="N23" s="24">
        <f t="shared" si="2"/>
        <v>20.85</v>
      </c>
      <c r="O23" s="25">
        <f t="shared" si="11"/>
        <v>-0.05996533795</v>
      </c>
      <c r="P23" s="19">
        <f t="shared" si="3"/>
        <v>-10380</v>
      </c>
      <c r="Q23" s="14"/>
      <c r="R23" s="19"/>
      <c r="S23" s="37"/>
      <c r="T23" s="27"/>
      <c r="U23" s="40"/>
      <c r="V23" s="15" t="s">
        <v>377</v>
      </c>
      <c r="W23" s="36">
        <v>45344.0</v>
      </c>
      <c r="X23" s="37">
        <v>54.24</v>
      </c>
      <c r="Y23" s="27">
        <v>162720.0</v>
      </c>
      <c r="Z23" s="15"/>
      <c r="AA23" s="36"/>
      <c r="AB23" s="37"/>
      <c r="AC23" s="27"/>
    </row>
    <row r="24">
      <c r="A24" s="38"/>
      <c r="B24" s="32"/>
      <c r="C24" s="14">
        <f>I24/E182</f>
        <v>0</v>
      </c>
      <c r="D24" s="15" t="s">
        <v>378</v>
      </c>
      <c r="E24" s="15" t="s">
        <v>379</v>
      </c>
      <c r="F24" s="17">
        <v>7.9</v>
      </c>
      <c r="G24" s="18">
        <v>3000.0</v>
      </c>
      <c r="H24" s="19">
        <f t="shared" si="1"/>
        <v>157110</v>
      </c>
      <c r="I24" s="20">
        <v>0.0</v>
      </c>
      <c r="J24" s="21">
        <v>52.37</v>
      </c>
      <c r="K24" s="22">
        <f>IFERROR(__xludf.DUMMYFUNCTION("GOOGLEFINANCE(E24,""changepct"")"),-2.8)</f>
        <v>-2.8</v>
      </c>
      <c r="L24" s="23">
        <f>IFERROR(__xludf.DUMMYFUNCTION("googlefinance(E24,""price"")"),57.61)</f>
        <v>57.61</v>
      </c>
      <c r="M24" s="21">
        <v>50.66</v>
      </c>
      <c r="N24" s="24">
        <f t="shared" si="2"/>
        <v>5.24</v>
      </c>
      <c r="O24" s="25">
        <f t="shared" si="11"/>
        <v>-0.03265228184</v>
      </c>
      <c r="P24" s="19">
        <f t="shared" si="3"/>
        <v>-5130</v>
      </c>
      <c r="Q24" s="14"/>
      <c r="R24" s="19"/>
      <c r="S24" s="37"/>
      <c r="T24" s="27"/>
      <c r="U24" s="40"/>
      <c r="V24" s="15" t="s">
        <v>379</v>
      </c>
      <c r="W24" s="36">
        <v>45378.0</v>
      </c>
      <c r="X24" s="288">
        <v>50.66</v>
      </c>
      <c r="Y24" s="27">
        <v>151980.0</v>
      </c>
      <c r="Z24" s="15"/>
      <c r="AA24" s="36"/>
      <c r="AB24" s="37"/>
      <c r="AC24" s="27"/>
    </row>
    <row r="25">
      <c r="A25" s="38"/>
      <c r="B25" s="32"/>
      <c r="C25" s="14">
        <f>I25/E182</f>
        <v>0.01573430259</v>
      </c>
      <c r="D25" s="104" t="s">
        <v>333</v>
      </c>
      <c r="E25" s="278" t="s">
        <v>334</v>
      </c>
      <c r="F25" s="279">
        <v>8.0</v>
      </c>
      <c r="G25" s="18">
        <v>3000.0</v>
      </c>
      <c r="H25" s="19">
        <f t="shared" si="1"/>
        <v>227700</v>
      </c>
      <c r="I25" s="20">
        <f t="shared" ref="I25:I26" si="12">H25+P25</f>
        <v>329130</v>
      </c>
      <c r="J25" s="21">
        <v>75.9</v>
      </c>
      <c r="K25" s="22">
        <f>IFERROR(__xludf.DUMMYFUNCTION("GOOGLEFINANCE(E25,""changepct"")"),-1.76)</f>
        <v>-1.76</v>
      </c>
      <c r="L25" s="23">
        <f>IFERROR(__xludf.DUMMYFUNCTION("googlefinance(E25,""price"")"),109.71)</f>
        <v>109.71</v>
      </c>
      <c r="M25" s="24"/>
      <c r="N25" s="24">
        <f t="shared" si="2"/>
        <v>33.81</v>
      </c>
      <c r="O25" s="25">
        <f t="shared" ref="O25:O26" si="13">L25/J25-1</f>
        <v>0.4454545455</v>
      </c>
      <c r="P25" s="19">
        <f t="shared" si="3"/>
        <v>101430</v>
      </c>
      <c r="Q25" s="14"/>
      <c r="R25" s="19"/>
      <c r="S25" s="37"/>
      <c r="T25" s="27"/>
      <c r="U25" s="27"/>
      <c r="V25" s="15"/>
      <c r="W25" s="36"/>
      <c r="X25" s="37"/>
      <c r="Y25" s="27"/>
      <c r="Z25" s="15"/>
      <c r="AA25" s="36"/>
      <c r="AB25" s="37"/>
      <c r="AC25" s="27"/>
    </row>
    <row r="26">
      <c r="A26" s="38"/>
      <c r="B26" s="32"/>
      <c r="C26" s="14">
        <f>I26/E182</f>
        <v>0.02352042316</v>
      </c>
      <c r="D26" s="42" t="s">
        <v>288</v>
      </c>
      <c r="E26" s="42" t="s">
        <v>289</v>
      </c>
      <c r="F26" s="44">
        <v>8.0</v>
      </c>
      <c r="G26" s="18">
        <v>15000.0</v>
      </c>
      <c r="H26" s="19">
        <f t="shared" si="1"/>
        <v>547500</v>
      </c>
      <c r="I26" s="20">
        <f t="shared" si="12"/>
        <v>492000</v>
      </c>
      <c r="J26" s="21">
        <v>36.5</v>
      </c>
      <c r="K26" s="22">
        <f>IFERROR(__xludf.DUMMYFUNCTION("GOOGLEFINANCE(E26,""changepct"")"),-1.12)</f>
        <v>-1.12</v>
      </c>
      <c r="L26" s="23">
        <f>IFERROR(__xludf.DUMMYFUNCTION("googlefinance(E26,""price"")"),32.8)</f>
        <v>32.8</v>
      </c>
      <c r="M26" s="24"/>
      <c r="N26" s="24">
        <f t="shared" si="2"/>
        <v>-3.7</v>
      </c>
      <c r="O26" s="25">
        <f t="shared" si="13"/>
        <v>-0.101369863</v>
      </c>
      <c r="P26" s="19">
        <f t="shared" si="3"/>
        <v>-55500</v>
      </c>
      <c r="Q26" s="14"/>
      <c r="R26" s="19"/>
      <c r="S26" s="37"/>
      <c r="T26" s="27"/>
      <c r="U26" s="29"/>
      <c r="V26" s="16"/>
      <c r="W26" s="30"/>
      <c r="X26" s="31"/>
      <c r="Y26" s="29"/>
      <c r="Z26" s="15"/>
      <c r="AA26" s="36"/>
      <c r="AB26" s="37"/>
      <c r="AC26" s="27"/>
    </row>
    <row r="27">
      <c r="A27" s="38"/>
      <c r="B27" s="32"/>
      <c r="C27" s="14">
        <f>I27/E182</f>
        <v>0</v>
      </c>
      <c r="D27" s="42" t="s">
        <v>290</v>
      </c>
      <c r="E27" s="42" t="s">
        <v>291</v>
      </c>
      <c r="F27" s="44">
        <v>7.9</v>
      </c>
      <c r="G27" s="18">
        <v>500.0</v>
      </c>
      <c r="H27" s="19">
        <f t="shared" si="1"/>
        <v>142130</v>
      </c>
      <c r="I27" s="20">
        <v>0.0</v>
      </c>
      <c r="J27" s="21">
        <v>284.26</v>
      </c>
      <c r="K27" s="22">
        <f>IFERROR(__xludf.DUMMYFUNCTION("GOOGLEFINANCE(E27,""changepct"")"),-4.07)</f>
        <v>-4.07</v>
      </c>
      <c r="L27" s="23">
        <f>IFERROR(__xludf.DUMMYFUNCTION("googlefinance(E27,""price"")"),30.68)</f>
        <v>30.68</v>
      </c>
      <c r="M27" s="21">
        <v>474.89</v>
      </c>
      <c r="N27" s="24">
        <f t="shared" si="2"/>
        <v>-253.58</v>
      </c>
      <c r="O27" s="25">
        <f t="shared" ref="O27:O28" si="14">M27/J27-1</f>
        <v>0.6706184479</v>
      </c>
      <c r="P27" s="19">
        <f t="shared" si="3"/>
        <v>95315</v>
      </c>
      <c r="Q27" s="47"/>
      <c r="R27" s="20"/>
      <c r="S27" s="37"/>
      <c r="T27" s="27"/>
      <c r="U27" s="40"/>
      <c r="V27" s="15" t="s">
        <v>291</v>
      </c>
      <c r="W27" s="36">
        <v>45313.0</v>
      </c>
      <c r="X27" s="37">
        <v>474.89</v>
      </c>
      <c r="Y27" s="27">
        <v>237445.0</v>
      </c>
      <c r="Z27" s="15"/>
      <c r="AA27" s="36"/>
      <c r="AB27" s="37"/>
      <c r="AC27" s="27"/>
    </row>
    <row r="28">
      <c r="A28" s="38"/>
      <c r="B28" s="32"/>
      <c r="C28" s="14">
        <f>I28/E182</f>
        <v>0</v>
      </c>
      <c r="D28" s="42" t="s">
        <v>290</v>
      </c>
      <c r="E28" s="42" t="s">
        <v>291</v>
      </c>
      <c r="F28" s="44">
        <v>7.9</v>
      </c>
      <c r="G28" s="18">
        <v>100.0</v>
      </c>
      <c r="H28" s="19">
        <f t="shared" si="1"/>
        <v>28426</v>
      </c>
      <c r="I28" s="20">
        <v>0.0</v>
      </c>
      <c r="J28" s="21">
        <v>284.26</v>
      </c>
      <c r="K28" s="22">
        <f>IFERROR(__xludf.DUMMYFUNCTION("GOOGLEFINANCE(E28,""changepct"")"),-4.07)</f>
        <v>-4.07</v>
      </c>
      <c r="L28" s="23">
        <f>IFERROR(__xludf.DUMMYFUNCTION("googlefinance(E28,""price"")"),30.68)</f>
        <v>30.68</v>
      </c>
      <c r="M28" s="21">
        <v>1039.98</v>
      </c>
      <c r="N28" s="24">
        <f t="shared" si="2"/>
        <v>-253.58</v>
      </c>
      <c r="O28" s="25">
        <f t="shared" si="14"/>
        <v>2.65855203</v>
      </c>
      <c r="P28" s="19">
        <f t="shared" si="3"/>
        <v>75572</v>
      </c>
      <c r="Q28" s="261"/>
      <c r="R28" s="20"/>
      <c r="S28" s="46"/>
      <c r="T28" s="27"/>
      <c r="U28" s="40"/>
      <c r="V28" s="15" t="s">
        <v>291</v>
      </c>
      <c r="W28" s="36">
        <v>45378.0</v>
      </c>
      <c r="X28" s="37">
        <v>1039.98</v>
      </c>
      <c r="Y28" s="27">
        <v>103998.0</v>
      </c>
      <c r="Z28" s="15"/>
      <c r="AA28" s="36"/>
      <c r="AB28" s="37"/>
      <c r="AC28" s="27"/>
    </row>
    <row r="29">
      <c r="A29" s="38"/>
      <c r="B29" s="32"/>
      <c r="C29" s="14">
        <f>I29/E182</f>
        <v>0.0005866720184</v>
      </c>
      <c r="D29" s="42" t="s">
        <v>290</v>
      </c>
      <c r="E29" s="42" t="s">
        <v>291</v>
      </c>
      <c r="F29" s="44">
        <v>7.9</v>
      </c>
      <c r="G29" s="18">
        <v>400.0</v>
      </c>
      <c r="H29" s="19">
        <f t="shared" si="1"/>
        <v>113704</v>
      </c>
      <c r="I29" s="20">
        <f>H29+P29</f>
        <v>12272</v>
      </c>
      <c r="J29" s="21">
        <v>284.26</v>
      </c>
      <c r="K29" s="22">
        <f>IFERROR(__xludf.DUMMYFUNCTION("GOOGLEFINANCE(E29,""changepct"")"),-4.07)</f>
        <v>-4.07</v>
      </c>
      <c r="L29" s="23">
        <f>IFERROR(__xludf.DUMMYFUNCTION("googlefinance(E29,""price"")"),30.68)</f>
        <v>30.68</v>
      </c>
      <c r="M29" s="21"/>
      <c r="N29" s="24">
        <f t="shared" si="2"/>
        <v>-253.58</v>
      </c>
      <c r="O29" s="25">
        <f>L29/J29-1</f>
        <v>-0.8920706396</v>
      </c>
      <c r="P29" s="19">
        <f t="shared" si="3"/>
        <v>-101432</v>
      </c>
      <c r="Q29" s="261" t="s">
        <v>292</v>
      </c>
      <c r="R29" s="20"/>
      <c r="S29" s="46"/>
      <c r="T29" s="27">
        <v>-240.0</v>
      </c>
      <c r="U29" s="40"/>
      <c r="V29" s="15"/>
      <c r="W29" s="36"/>
      <c r="X29" s="37"/>
      <c r="Y29" s="29"/>
      <c r="Z29" s="15"/>
      <c r="AA29" s="36"/>
      <c r="AB29" s="37"/>
      <c r="AC29" s="27"/>
    </row>
    <row r="30">
      <c r="A30" s="38"/>
      <c r="B30" s="32"/>
      <c r="C30" s="14">
        <f>I30/E182</f>
        <v>0</v>
      </c>
      <c r="D30" s="42" t="s">
        <v>290</v>
      </c>
      <c r="E30" s="42" t="s">
        <v>291</v>
      </c>
      <c r="F30" s="44">
        <v>7.9</v>
      </c>
      <c r="G30" s="18">
        <v>500.0</v>
      </c>
      <c r="H30" s="19">
        <f t="shared" si="1"/>
        <v>154665</v>
      </c>
      <c r="I30" s="20">
        <v>0.0</v>
      </c>
      <c r="J30" s="21">
        <v>309.33</v>
      </c>
      <c r="K30" s="22">
        <f>IFERROR(__xludf.DUMMYFUNCTION("GOOGLEFINANCE(E30,""changepct"")"),-4.07)</f>
        <v>-4.07</v>
      </c>
      <c r="L30" s="23">
        <f>IFERROR(__xludf.DUMMYFUNCTION("googlefinance(E30,""price"")"),30.68)</f>
        <v>30.68</v>
      </c>
      <c r="M30" s="21">
        <v>500.0</v>
      </c>
      <c r="N30" s="24">
        <f t="shared" si="2"/>
        <v>-278.65</v>
      </c>
      <c r="O30" s="25">
        <f t="shared" ref="O30:O31" si="15">M30/J30-1</f>
        <v>0.6163967284</v>
      </c>
      <c r="P30" s="19">
        <f t="shared" si="3"/>
        <v>95335</v>
      </c>
      <c r="Q30" s="47"/>
      <c r="R30" s="20"/>
      <c r="S30" s="37"/>
      <c r="T30" s="27">
        <v>6705.0</v>
      </c>
      <c r="U30" s="40"/>
      <c r="V30" s="15" t="s">
        <v>291</v>
      </c>
      <c r="W30" s="36">
        <v>45338.0</v>
      </c>
      <c r="X30" s="37">
        <v>500.0</v>
      </c>
      <c r="Y30" s="27">
        <v>250000.0</v>
      </c>
      <c r="Z30" s="15" t="s">
        <v>291</v>
      </c>
      <c r="AA30" s="36">
        <v>45309.0</v>
      </c>
      <c r="AB30" s="37">
        <v>309.33</v>
      </c>
      <c r="AC30" s="27">
        <v>154665.0</v>
      </c>
    </row>
    <row r="31">
      <c r="A31" s="38"/>
      <c r="B31" s="32"/>
      <c r="C31" s="14">
        <f>I31/E182</f>
        <v>0</v>
      </c>
      <c r="D31" s="42" t="s">
        <v>335</v>
      </c>
      <c r="E31" s="42" t="s">
        <v>336</v>
      </c>
      <c r="F31" s="44">
        <v>7.8</v>
      </c>
      <c r="G31" s="18">
        <v>2000.0</v>
      </c>
      <c r="H31" s="19">
        <f t="shared" si="1"/>
        <v>81000</v>
      </c>
      <c r="I31" s="20">
        <v>0.0</v>
      </c>
      <c r="J31" s="21">
        <v>40.5</v>
      </c>
      <c r="K31" s="22">
        <f>IFERROR(__xludf.DUMMYFUNCTION("GOOGLEFINANCE(E31,""changepct"")"),-1.14)</f>
        <v>-1.14</v>
      </c>
      <c r="L31" s="23">
        <f>IFERROR(__xludf.DUMMYFUNCTION("googlefinance(E31,""price"")"),107.48)</f>
        <v>107.48</v>
      </c>
      <c r="M31" s="21">
        <v>57.0</v>
      </c>
      <c r="N31" s="24">
        <f t="shared" si="2"/>
        <v>66.98</v>
      </c>
      <c r="O31" s="25">
        <f t="shared" si="15"/>
        <v>0.4074074074</v>
      </c>
      <c r="P31" s="19">
        <f t="shared" si="3"/>
        <v>33000</v>
      </c>
      <c r="Q31" s="47"/>
      <c r="R31" s="20"/>
      <c r="S31" s="37"/>
      <c r="T31" s="27"/>
      <c r="U31" s="40"/>
      <c r="V31" s="15" t="s">
        <v>336</v>
      </c>
      <c r="W31" s="36">
        <v>45355.0</v>
      </c>
      <c r="X31" s="37">
        <v>57.0</v>
      </c>
      <c r="Y31" s="27">
        <v>114000.0</v>
      </c>
      <c r="Z31" s="15"/>
      <c r="AA31" s="36"/>
      <c r="AB31" s="37"/>
      <c r="AC31" s="27"/>
    </row>
    <row r="32">
      <c r="A32" s="38"/>
      <c r="B32" s="32"/>
      <c r="C32" s="14">
        <f>I32/E182</f>
        <v>0.02569080367</v>
      </c>
      <c r="D32" s="42" t="s">
        <v>335</v>
      </c>
      <c r="E32" s="42" t="s">
        <v>336</v>
      </c>
      <c r="F32" s="44">
        <v>7.8</v>
      </c>
      <c r="G32" s="18">
        <v>5000.0</v>
      </c>
      <c r="H32" s="19">
        <f t="shared" si="1"/>
        <v>202500</v>
      </c>
      <c r="I32" s="20">
        <f>H32+P32</f>
        <v>537400</v>
      </c>
      <c r="J32" s="21">
        <v>40.5</v>
      </c>
      <c r="K32" s="22">
        <f>IFERROR(__xludf.DUMMYFUNCTION("GOOGLEFINANCE(E32,""changepct"")"),-1.14)</f>
        <v>-1.14</v>
      </c>
      <c r="L32" s="23">
        <f>IFERROR(__xludf.DUMMYFUNCTION("googlefinance(E32,""price"")"),107.48)</f>
        <v>107.48</v>
      </c>
      <c r="M32" s="21"/>
      <c r="N32" s="24">
        <f t="shared" si="2"/>
        <v>66.98</v>
      </c>
      <c r="O32" s="25">
        <f>L32/J32-1</f>
        <v>1.65382716</v>
      </c>
      <c r="P32" s="19">
        <f t="shared" si="3"/>
        <v>334900</v>
      </c>
      <c r="Q32" s="47"/>
      <c r="R32" s="20"/>
      <c r="S32" s="37"/>
      <c r="T32" s="27">
        <v>5670.0</v>
      </c>
      <c r="U32" s="40"/>
      <c r="V32" s="15"/>
      <c r="W32" s="36"/>
      <c r="X32" s="37"/>
      <c r="Y32" s="27"/>
      <c r="Z32" s="15"/>
      <c r="AA32" s="36"/>
      <c r="AB32" s="37"/>
      <c r="AC32" s="27"/>
    </row>
    <row r="33">
      <c r="A33" s="38"/>
      <c r="B33" s="32"/>
      <c r="C33" s="14">
        <f>I33/E182</f>
        <v>0</v>
      </c>
      <c r="D33" s="42" t="s">
        <v>52</v>
      </c>
      <c r="E33" s="42" t="s">
        <v>51</v>
      </c>
      <c r="F33" s="44">
        <v>8.2</v>
      </c>
      <c r="G33" s="18">
        <v>200.0</v>
      </c>
      <c r="H33" s="19">
        <f t="shared" si="1"/>
        <v>99044</v>
      </c>
      <c r="I33" s="20">
        <v>0.0</v>
      </c>
      <c r="J33" s="21">
        <v>495.22</v>
      </c>
      <c r="K33" s="22">
        <f>IFERROR(__xludf.DUMMYFUNCTION("GOOGLEFINANCE(E33,""changepct"")"),0.35)</f>
        <v>0.35</v>
      </c>
      <c r="L33" s="23">
        <f>IFERROR(__xludf.DUMMYFUNCTION("googlefinance(E33,""price"")"),137.49)</f>
        <v>137.49</v>
      </c>
      <c r="M33" s="21">
        <v>715.0</v>
      </c>
      <c r="N33" s="24">
        <f t="shared" si="2"/>
        <v>-357.73</v>
      </c>
      <c r="O33" s="25">
        <f t="shared" ref="O33:O34" si="16">M33/J33-1</f>
        <v>0.4438027543</v>
      </c>
      <c r="P33" s="19">
        <f t="shared" si="3"/>
        <v>43956</v>
      </c>
      <c r="Q33" s="47"/>
      <c r="R33" s="20"/>
      <c r="S33" s="37"/>
      <c r="T33" s="27"/>
      <c r="U33" s="29"/>
      <c r="V33" s="15" t="s">
        <v>53</v>
      </c>
      <c r="W33" s="36">
        <v>45335.0</v>
      </c>
      <c r="X33" s="37">
        <v>715.0</v>
      </c>
      <c r="Y33" s="27">
        <v>143000.0</v>
      </c>
      <c r="Z33" s="15"/>
      <c r="AA33" s="36"/>
      <c r="AB33" s="37"/>
      <c r="AC33" s="27"/>
    </row>
    <row r="34">
      <c r="A34" s="38"/>
      <c r="B34" s="32"/>
      <c r="C34" s="14">
        <f>I34/E182</f>
        <v>0</v>
      </c>
      <c r="D34" s="42" t="s">
        <v>380</v>
      </c>
      <c r="E34" s="42" t="s">
        <v>51</v>
      </c>
      <c r="F34" s="44">
        <v>8.2</v>
      </c>
      <c r="G34" s="18">
        <v>300.0</v>
      </c>
      <c r="H34" s="19">
        <f t="shared" si="1"/>
        <v>148566</v>
      </c>
      <c r="I34" s="20">
        <v>0.0</v>
      </c>
      <c r="J34" s="21">
        <v>495.22</v>
      </c>
      <c r="K34" s="22">
        <f>IFERROR(__xludf.DUMMYFUNCTION("GOOGLEFINANCE(E34,""changepct"")"),0.35)</f>
        <v>0.35</v>
      </c>
      <c r="L34" s="23">
        <f>IFERROR(__xludf.DUMMYFUNCTION("googlefinance(E34,""price"")"),137.49)</f>
        <v>137.49</v>
      </c>
      <c r="M34" s="21">
        <v>798.0</v>
      </c>
      <c r="N34" s="24">
        <f t="shared" si="2"/>
        <v>-357.73</v>
      </c>
      <c r="O34" s="25">
        <f t="shared" si="16"/>
        <v>0.6114050321</v>
      </c>
      <c r="P34" s="19">
        <f t="shared" si="3"/>
        <v>90834</v>
      </c>
      <c r="Q34" s="47"/>
      <c r="R34" s="20"/>
      <c r="S34" s="37"/>
      <c r="T34" s="27"/>
      <c r="U34" s="29"/>
      <c r="V34" s="15" t="s">
        <v>53</v>
      </c>
      <c r="W34" s="36">
        <v>45348.0</v>
      </c>
      <c r="X34" s="37">
        <v>798.0</v>
      </c>
      <c r="Y34" s="27">
        <v>239400.0</v>
      </c>
      <c r="Z34" s="15"/>
      <c r="AA34" s="36"/>
      <c r="AB34" s="37"/>
      <c r="AC34" s="27"/>
    </row>
    <row r="35">
      <c r="A35" s="38"/>
      <c r="B35" s="32"/>
      <c r="C35" s="14">
        <f>I35/E182</f>
        <v>0.006572810936</v>
      </c>
      <c r="D35" s="42" t="s">
        <v>50</v>
      </c>
      <c r="E35" s="42" t="s">
        <v>51</v>
      </c>
      <c r="F35" s="44">
        <v>8.2</v>
      </c>
      <c r="G35" s="18">
        <v>1000.0</v>
      </c>
      <c r="H35" s="19">
        <f t="shared" si="1"/>
        <v>495220</v>
      </c>
      <c r="I35" s="20">
        <f>H35+P35</f>
        <v>137490</v>
      </c>
      <c r="J35" s="21">
        <v>495.22</v>
      </c>
      <c r="K35" s="22">
        <f>IFERROR(__xludf.DUMMYFUNCTION("GOOGLEFINANCE(E35,""changepct"")"),0.35)</f>
        <v>0.35</v>
      </c>
      <c r="L35" s="23">
        <f>IFERROR(__xludf.DUMMYFUNCTION("googlefinance(E35,""price"")"),137.49)</f>
        <v>137.49</v>
      </c>
      <c r="M35" s="21"/>
      <c r="N35" s="24">
        <f t="shared" si="2"/>
        <v>-357.73</v>
      </c>
      <c r="O35" s="25">
        <f>L35/J35-1</f>
        <v>-0.7223658172</v>
      </c>
      <c r="P35" s="19">
        <f t="shared" si="3"/>
        <v>-357730</v>
      </c>
      <c r="Q35" s="47"/>
      <c r="R35" s="20"/>
      <c r="S35" s="37"/>
      <c r="T35" s="27">
        <v>7947.0</v>
      </c>
      <c r="U35" s="29"/>
      <c r="V35" s="15"/>
      <c r="W35" s="36"/>
      <c r="X35" s="37"/>
      <c r="Y35" s="27"/>
      <c r="Z35" s="15"/>
      <c r="AA35" s="36"/>
      <c r="AB35" s="37"/>
      <c r="AC35" s="27"/>
    </row>
    <row r="36">
      <c r="A36" s="38"/>
      <c r="B36" s="32"/>
      <c r="C36" s="14">
        <f>I36/E182</f>
        <v>0</v>
      </c>
      <c r="D36" s="42" t="s">
        <v>381</v>
      </c>
      <c r="E36" s="42" t="s">
        <v>382</v>
      </c>
      <c r="F36" s="42">
        <v>6.5</v>
      </c>
      <c r="G36" s="18">
        <v>5000.0</v>
      </c>
      <c r="H36" s="19">
        <f t="shared" si="1"/>
        <v>315050</v>
      </c>
      <c r="I36" s="20">
        <v>0.0</v>
      </c>
      <c r="J36" s="21">
        <v>63.01</v>
      </c>
      <c r="K36" s="22">
        <f>IFERROR(__xludf.DUMMYFUNCTION("GOOGLEFINANCE(E36,""changepct"")"),-1.65)</f>
        <v>-1.65</v>
      </c>
      <c r="L36" s="23">
        <f>IFERROR(__xludf.DUMMYFUNCTION("googlefinance(E36,""price"")"),85.43)</f>
        <v>85.43</v>
      </c>
      <c r="M36" s="21">
        <v>58.31</v>
      </c>
      <c r="N36" s="24">
        <f t="shared" si="2"/>
        <v>22.42</v>
      </c>
      <c r="O36" s="25">
        <f t="shared" ref="O36:O40" si="17">M36/J36-1</f>
        <v>-0.07459133471</v>
      </c>
      <c r="P36" s="19">
        <f t="shared" si="3"/>
        <v>-23500</v>
      </c>
      <c r="Q36" s="47"/>
      <c r="R36" s="20"/>
      <c r="S36" s="37"/>
      <c r="T36" s="27"/>
      <c r="U36" s="29"/>
      <c r="V36" s="15" t="s">
        <v>382</v>
      </c>
      <c r="W36" s="36">
        <v>45330.0</v>
      </c>
      <c r="X36" s="37">
        <v>58.31</v>
      </c>
      <c r="Y36" s="27">
        <v>291550.0</v>
      </c>
      <c r="Z36" s="15" t="s">
        <v>382</v>
      </c>
      <c r="AA36" s="36">
        <v>45328.0</v>
      </c>
      <c r="AB36" s="37">
        <v>63.01</v>
      </c>
      <c r="AC36" s="27">
        <v>315050.0</v>
      </c>
    </row>
    <row r="37">
      <c r="A37" s="38"/>
      <c r="B37" s="32"/>
      <c r="C37" s="14">
        <f>I37/E182</f>
        <v>0</v>
      </c>
      <c r="D37" s="42" t="s">
        <v>56</v>
      </c>
      <c r="E37" s="42" t="s">
        <v>57</v>
      </c>
      <c r="F37" s="44">
        <v>7.5</v>
      </c>
      <c r="G37" s="18">
        <v>25000.0</v>
      </c>
      <c r="H37" s="19">
        <f t="shared" si="1"/>
        <v>98250</v>
      </c>
      <c r="I37" s="20">
        <v>0.0</v>
      </c>
      <c r="J37" s="21">
        <v>3.93</v>
      </c>
      <c r="K37" s="22">
        <f>IFERROR(__xludf.DUMMYFUNCTION("GOOGLEFINANCE(E37,""changepct"")"),-5.3)</f>
        <v>-5.3</v>
      </c>
      <c r="L37" s="23">
        <f>IFERROR(__xludf.DUMMYFUNCTION("googlefinance(E37,""price"")"),22.68)</f>
        <v>22.68</v>
      </c>
      <c r="M37" s="21">
        <v>9.75</v>
      </c>
      <c r="N37" s="24">
        <f t="shared" si="2"/>
        <v>18.75</v>
      </c>
      <c r="O37" s="25">
        <f t="shared" si="17"/>
        <v>1.480916031</v>
      </c>
      <c r="P37" s="19">
        <f t="shared" si="3"/>
        <v>145500</v>
      </c>
      <c r="Q37" s="47"/>
      <c r="R37" s="20"/>
      <c r="S37" s="37"/>
      <c r="T37" s="27"/>
      <c r="U37" s="29"/>
      <c r="V37" s="15" t="s">
        <v>57</v>
      </c>
      <c r="W37" s="36">
        <v>45365.0</v>
      </c>
      <c r="X37" s="37">
        <v>9.75</v>
      </c>
      <c r="Y37" s="27">
        <v>243750.0</v>
      </c>
      <c r="Z37" s="15"/>
      <c r="AA37" s="36"/>
      <c r="AB37" s="37"/>
      <c r="AC37" s="27"/>
    </row>
    <row r="38">
      <c r="A38" s="38"/>
      <c r="B38" s="32"/>
      <c r="C38" s="14">
        <f>I38/E182</f>
        <v>0</v>
      </c>
      <c r="D38" s="42" t="s">
        <v>56</v>
      </c>
      <c r="E38" s="42" t="s">
        <v>57</v>
      </c>
      <c r="F38" s="44">
        <v>7.5</v>
      </c>
      <c r="G38" s="18">
        <v>25000.0</v>
      </c>
      <c r="H38" s="19">
        <f t="shared" si="1"/>
        <v>98250</v>
      </c>
      <c r="I38" s="20">
        <v>0.0</v>
      </c>
      <c r="J38" s="21">
        <v>3.93</v>
      </c>
      <c r="K38" s="22">
        <f>IFERROR(__xludf.DUMMYFUNCTION("GOOGLEFINANCE(E38,""changepct"")"),-5.3)</f>
        <v>-5.3</v>
      </c>
      <c r="L38" s="23">
        <f>IFERROR(__xludf.DUMMYFUNCTION("googlefinance(E38,""price"")"),22.68)</f>
        <v>22.68</v>
      </c>
      <c r="M38" s="21">
        <v>5.8</v>
      </c>
      <c r="N38" s="24">
        <f t="shared" si="2"/>
        <v>18.75</v>
      </c>
      <c r="O38" s="25">
        <f t="shared" si="17"/>
        <v>0.475826972</v>
      </c>
      <c r="P38" s="19">
        <f t="shared" si="3"/>
        <v>46750</v>
      </c>
      <c r="Q38" s="47"/>
      <c r="R38" s="20"/>
      <c r="S38" s="37"/>
      <c r="T38" s="27">
        <v>32500.0</v>
      </c>
      <c r="U38" s="29"/>
      <c r="V38" s="15" t="s">
        <v>57</v>
      </c>
      <c r="W38" s="36">
        <v>45378.0</v>
      </c>
      <c r="X38" s="37">
        <v>5.8</v>
      </c>
      <c r="Y38" s="27">
        <v>145000.0</v>
      </c>
      <c r="Z38" s="15" t="s">
        <v>57</v>
      </c>
      <c r="AA38" s="36">
        <v>45344.0</v>
      </c>
      <c r="AB38" s="37">
        <v>3.93</v>
      </c>
      <c r="AC38" s="27">
        <v>196500.0</v>
      </c>
    </row>
    <row r="39">
      <c r="A39" s="38"/>
      <c r="B39" s="32"/>
      <c r="C39" s="14">
        <f>I39/E182</f>
        <v>0</v>
      </c>
      <c r="D39" s="42" t="s">
        <v>56</v>
      </c>
      <c r="E39" s="42" t="s">
        <v>57</v>
      </c>
      <c r="F39" s="44">
        <v>7.5</v>
      </c>
      <c r="G39" s="18">
        <v>50000.0</v>
      </c>
      <c r="H39" s="19">
        <f t="shared" si="1"/>
        <v>182500</v>
      </c>
      <c r="I39" s="20">
        <v>0.0</v>
      </c>
      <c r="J39" s="21">
        <v>3.65</v>
      </c>
      <c r="K39" s="22">
        <f>IFERROR(__xludf.DUMMYFUNCTION("GOOGLEFINANCE(E39,""changepct"")"),-5.3)</f>
        <v>-5.3</v>
      </c>
      <c r="L39" s="23">
        <f>IFERROR(__xludf.DUMMYFUNCTION("googlefinance(E39,""price"")"),22.68)</f>
        <v>22.68</v>
      </c>
      <c r="M39" s="21">
        <v>6.2</v>
      </c>
      <c r="N39" s="24">
        <f t="shared" si="2"/>
        <v>19.03</v>
      </c>
      <c r="O39" s="25">
        <f t="shared" si="17"/>
        <v>0.698630137</v>
      </c>
      <c r="P39" s="19">
        <f t="shared" si="3"/>
        <v>127500</v>
      </c>
      <c r="Q39" s="47"/>
      <c r="R39" s="20"/>
      <c r="S39" s="37"/>
      <c r="T39" s="27"/>
      <c r="U39" s="29"/>
      <c r="V39" s="15" t="s">
        <v>57</v>
      </c>
      <c r="W39" s="36">
        <v>45355.0</v>
      </c>
      <c r="X39" s="37">
        <v>6.2</v>
      </c>
      <c r="Y39" s="27">
        <v>310000.0</v>
      </c>
      <c r="Z39" s="15"/>
      <c r="AA39" s="36"/>
      <c r="AB39" s="37"/>
      <c r="AC39" s="27"/>
    </row>
    <row r="40">
      <c r="A40" s="38"/>
      <c r="B40" s="32"/>
      <c r="C40" s="14">
        <f>I40/E182</f>
        <v>0.01195143453</v>
      </c>
      <c r="D40" s="42" t="s">
        <v>56</v>
      </c>
      <c r="E40" s="42" t="s">
        <v>57</v>
      </c>
      <c r="F40" s="44">
        <v>7.5</v>
      </c>
      <c r="G40" s="18">
        <v>50000.0</v>
      </c>
      <c r="H40" s="19">
        <f t="shared" si="1"/>
        <v>244500</v>
      </c>
      <c r="I40" s="20">
        <f t="shared" ref="I40:I43" si="18">H40+P40</f>
        <v>250000</v>
      </c>
      <c r="J40" s="21">
        <v>4.89</v>
      </c>
      <c r="K40" s="22">
        <f>IFERROR(__xludf.DUMMYFUNCTION("GOOGLEFINANCE(E40,""changepct"")"),-5.3)</f>
        <v>-5.3</v>
      </c>
      <c r="L40" s="23">
        <f>IFERROR(__xludf.DUMMYFUNCTION("googlefinance(E40,""price"")"),22.68)</f>
        <v>22.68</v>
      </c>
      <c r="M40" s="21">
        <v>5.0</v>
      </c>
      <c r="N40" s="24">
        <f t="shared" si="2"/>
        <v>17.79</v>
      </c>
      <c r="O40" s="25">
        <f t="shared" si="17"/>
        <v>0.02249488753</v>
      </c>
      <c r="P40" s="19">
        <f t="shared" si="3"/>
        <v>5500</v>
      </c>
      <c r="Q40" s="47"/>
      <c r="R40" s="20"/>
      <c r="S40" s="37" t="s">
        <v>383</v>
      </c>
      <c r="T40" s="27">
        <v>40000.0</v>
      </c>
      <c r="U40" s="29"/>
      <c r="V40" s="15"/>
      <c r="W40" s="36"/>
      <c r="X40" s="37"/>
      <c r="Y40" s="27"/>
      <c r="Z40" s="15" t="s">
        <v>57</v>
      </c>
      <c r="AA40" s="36">
        <v>45356.0</v>
      </c>
      <c r="AB40" s="37">
        <v>4.89</v>
      </c>
      <c r="AC40" s="27">
        <v>244500.0</v>
      </c>
    </row>
    <row r="41">
      <c r="A41" s="38"/>
      <c r="B41" s="32"/>
      <c r="C41" s="14">
        <f>I41/E182</f>
        <v>0.05421170704</v>
      </c>
      <c r="D41" s="42" t="s">
        <v>56</v>
      </c>
      <c r="E41" s="42" t="s">
        <v>57</v>
      </c>
      <c r="F41" s="44">
        <v>7.5</v>
      </c>
      <c r="G41" s="18">
        <v>50000.0</v>
      </c>
      <c r="H41" s="19">
        <f t="shared" si="1"/>
        <v>182500</v>
      </c>
      <c r="I41" s="20">
        <f t="shared" si="18"/>
        <v>1134000</v>
      </c>
      <c r="J41" s="21">
        <v>3.65</v>
      </c>
      <c r="K41" s="22">
        <f>IFERROR(__xludf.DUMMYFUNCTION("GOOGLEFINANCE(E41,""changepct"")"),-5.3)</f>
        <v>-5.3</v>
      </c>
      <c r="L41" s="23">
        <f>IFERROR(__xludf.DUMMYFUNCTION("googlefinance(E41,""price"")"),22.68)</f>
        <v>22.68</v>
      </c>
      <c r="M41" s="21"/>
      <c r="N41" s="24">
        <f t="shared" si="2"/>
        <v>19.03</v>
      </c>
      <c r="O41" s="25">
        <f t="shared" ref="O41:O43" si="19">L41/J41-1</f>
        <v>5.21369863</v>
      </c>
      <c r="P41" s="19">
        <f t="shared" si="3"/>
        <v>951500</v>
      </c>
      <c r="Q41" s="47"/>
      <c r="R41" s="20"/>
      <c r="S41" s="37"/>
      <c r="T41" s="27">
        <v>65000.0</v>
      </c>
      <c r="U41" s="29"/>
      <c r="V41" s="15"/>
      <c r="W41" s="36"/>
      <c r="X41" s="37"/>
      <c r="Y41" s="27"/>
      <c r="Z41" s="15" t="s">
        <v>57</v>
      </c>
      <c r="AA41" s="36">
        <v>45337.0</v>
      </c>
      <c r="AB41" s="37">
        <v>3.65</v>
      </c>
      <c r="AC41" s="27">
        <v>365000.0</v>
      </c>
    </row>
    <row r="42">
      <c r="A42" s="38"/>
      <c r="B42" s="32"/>
      <c r="C42" s="14">
        <f>I42/E182</f>
        <v>0.0129792579</v>
      </c>
      <c r="D42" s="42" t="s">
        <v>86</v>
      </c>
      <c r="E42" s="42" t="s">
        <v>87</v>
      </c>
      <c r="F42" s="44">
        <v>7.7</v>
      </c>
      <c r="G42" s="18">
        <v>25000.0</v>
      </c>
      <c r="H42" s="19">
        <f t="shared" si="1"/>
        <v>283000</v>
      </c>
      <c r="I42" s="20">
        <f t="shared" si="18"/>
        <v>271500</v>
      </c>
      <c r="J42" s="21">
        <v>11.32</v>
      </c>
      <c r="K42" s="22">
        <f>IFERROR(__xludf.DUMMYFUNCTION("GOOGLEFINANCE(E42,""changepct"")"),-1.18)</f>
        <v>-1.18</v>
      </c>
      <c r="L42" s="23">
        <f>IFERROR(__xludf.DUMMYFUNCTION("googlefinance(E42,""price"")"),10.86)</f>
        <v>10.86</v>
      </c>
      <c r="M42" s="21"/>
      <c r="N42" s="24">
        <f t="shared" si="2"/>
        <v>-0.46</v>
      </c>
      <c r="O42" s="25">
        <f t="shared" si="19"/>
        <v>-0.0406360424</v>
      </c>
      <c r="P42" s="19">
        <f t="shared" si="3"/>
        <v>-11500</v>
      </c>
      <c r="Q42" s="47"/>
      <c r="R42" s="20"/>
      <c r="S42" s="37"/>
      <c r="T42" s="27">
        <v>-1750.0</v>
      </c>
      <c r="U42" s="29"/>
      <c r="V42" s="15"/>
      <c r="W42" s="36"/>
      <c r="X42" s="37"/>
      <c r="Y42" s="27"/>
      <c r="Z42" s="15" t="s">
        <v>87</v>
      </c>
      <c r="AA42" s="36">
        <v>45329.0</v>
      </c>
      <c r="AB42" s="37">
        <v>11.32</v>
      </c>
      <c r="AC42" s="27">
        <v>283000.0</v>
      </c>
    </row>
    <row r="43">
      <c r="A43" s="38"/>
      <c r="B43" s="32"/>
      <c r="C43" s="14">
        <f>I43/E182</f>
        <v>0.005191703161</v>
      </c>
      <c r="D43" s="42" t="s">
        <v>86</v>
      </c>
      <c r="E43" s="42" t="s">
        <v>87</v>
      </c>
      <c r="F43" s="44">
        <v>7.7</v>
      </c>
      <c r="G43" s="18">
        <v>10000.0</v>
      </c>
      <c r="H43" s="19">
        <f t="shared" si="1"/>
        <v>107500</v>
      </c>
      <c r="I43" s="20">
        <f t="shared" si="18"/>
        <v>108600</v>
      </c>
      <c r="J43" s="21">
        <v>10.75</v>
      </c>
      <c r="K43" s="22">
        <f>IFERROR(__xludf.DUMMYFUNCTION("GOOGLEFINANCE(E43,""changepct"")"),-1.18)</f>
        <v>-1.18</v>
      </c>
      <c r="L43" s="23">
        <f>IFERROR(__xludf.DUMMYFUNCTION("googlefinance(E43,""price"")"),10.86)</f>
        <v>10.86</v>
      </c>
      <c r="M43" s="21"/>
      <c r="N43" s="24">
        <f t="shared" si="2"/>
        <v>0.11</v>
      </c>
      <c r="O43" s="25">
        <f t="shared" si="19"/>
        <v>0.01023255814</v>
      </c>
      <c r="P43" s="19">
        <f t="shared" si="3"/>
        <v>1100</v>
      </c>
      <c r="Q43" s="47"/>
      <c r="R43" s="20"/>
      <c r="S43" s="37"/>
      <c r="T43" s="27"/>
      <c r="U43" s="29"/>
      <c r="V43" s="15"/>
      <c r="W43" s="36"/>
      <c r="X43" s="37"/>
      <c r="Y43" s="27"/>
      <c r="Z43" s="15"/>
      <c r="AA43" s="36"/>
      <c r="AB43" s="37"/>
      <c r="AC43" s="27"/>
    </row>
    <row r="44">
      <c r="A44" s="38"/>
      <c r="B44" s="32"/>
      <c r="C44" s="14">
        <f>I44/E182</f>
        <v>0</v>
      </c>
      <c r="D44" s="42" t="s">
        <v>86</v>
      </c>
      <c r="E44" s="42" t="s">
        <v>87</v>
      </c>
      <c r="F44" s="44">
        <v>7.7</v>
      </c>
      <c r="G44" s="18">
        <v>12000.0</v>
      </c>
      <c r="H44" s="19">
        <f t="shared" si="1"/>
        <v>129000</v>
      </c>
      <c r="I44" s="20">
        <v>0.0</v>
      </c>
      <c r="J44" s="21">
        <v>10.75</v>
      </c>
      <c r="K44" s="22">
        <f>IFERROR(__xludf.DUMMYFUNCTION("GOOGLEFINANCE(E44,""changepct"")"),-1.18)</f>
        <v>-1.18</v>
      </c>
      <c r="L44" s="23">
        <f>IFERROR(__xludf.DUMMYFUNCTION("googlefinance(E44,""price"")"),10.86)</f>
        <v>10.86</v>
      </c>
      <c r="M44" s="21">
        <v>11.59</v>
      </c>
      <c r="N44" s="24">
        <f t="shared" si="2"/>
        <v>0.11</v>
      </c>
      <c r="O44" s="25">
        <f t="shared" ref="O44:O48" si="20">M44/J44-1</f>
        <v>0.07813953488</v>
      </c>
      <c r="P44" s="19">
        <f t="shared" si="3"/>
        <v>10080</v>
      </c>
      <c r="Q44" s="47"/>
      <c r="R44" s="20"/>
      <c r="S44" s="37"/>
      <c r="T44" s="27">
        <v>-3740.0</v>
      </c>
      <c r="U44" s="29"/>
      <c r="V44" s="15" t="s">
        <v>87</v>
      </c>
      <c r="W44" s="36">
        <v>45379.0</v>
      </c>
      <c r="X44" s="37">
        <v>11.59</v>
      </c>
      <c r="Y44" s="27">
        <v>139080.0</v>
      </c>
      <c r="Z44" s="15" t="s">
        <v>87</v>
      </c>
      <c r="AA44" s="36">
        <v>45344.0</v>
      </c>
      <c r="AB44" s="37">
        <v>10.75</v>
      </c>
      <c r="AC44" s="27">
        <v>236500.0</v>
      </c>
    </row>
    <row r="45">
      <c r="A45" s="38"/>
      <c r="B45" s="32"/>
      <c r="C45" s="14">
        <f>I45/E182</f>
        <v>0</v>
      </c>
      <c r="D45" s="42" t="s">
        <v>384</v>
      </c>
      <c r="E45" s="42" t="s">
        <v>385</v>
      </c>
      <c r="F45" s="44">
        <v>7.7</v>
      </c>
      <c r="G45" s="18">
        <v>2000.0</v>
      </c>
      <c r="H45" s="19">
        <f t="shared" si="1"/>
        <v>151740</v>
      </c>
      <c r="I45" s="20">
        <v>0.0</v>
      </c>
      <c r="J45" s="21">
        <v>75.87</v>
      </c>
      <c r="K45" s="22">
        <f>IFERROR(__xludf.DUMMYFUNCTION("GOOGLEFINANCE(E45,""changepct"")"),-0.61)</f>
        <v>-0.61</v>
      </c>
      <c r="L45" s="23">
        <f>IFERROR(__xludf.DUMMYFUNCTION("googlefinance(E45,""price"")"),108.62)</f>
        <v>108.62</v>
      </c>
      <c r="M45" s="21">
        <v>72.47</v>
      </c>
      <c r="N45" s="24">
        <f t="shared" si="2"/>
        <v>32.75</v>
      </c>
      <c r="O45" s="25">
        <f t="shared" si="20"/>
        <v>-0.04481349677</v>
      </c>
      <c r="P45" s="19">
        <f t="shared" si="3"/>
        <v>-6800</v>
      </c>
      <c r="Q45" s="47"/>
      <c r="R45" s="20"/>
      <c r="S45" s="37"/>
      <c r="T45" s="27"/>
      <c r="U45" s="29"/>
      <c r="V45" s="15" t="s">
        <v>385</v>
      </c>
      <c r="W45" s="36">
        <v>45309.0</v>
      </c>
      <c r="X45" s="37">
        <v>72.47</v>
      </c>
      <c r="Y45" s="27">
        <v>144940.0</v>
      </c>
      <c r="Z45" s="15"/>
      <c r="AA45" s="36"/>
      <c r="AB45" s="37"/>
      <c r="AC45" s="27"/>
    </row>
    <row r="46">
      <c r="A46" s="38"/>
      <c r="B46" s="32"/>
      <c r="C46" s="14">
        <f>I46/E182</f>
        <v>0</v>
      </c>
      <c r="D46" s="42" t="s">
        <v>384</v>
      </c>
      <c r="E46" s="42" t="s">
        <v>385</v>
      </c>
      <c r="F46" s="44">
        <v>7.7</v>
      </c>
      <c r="G46" s="18">
        <v>2000.0</v>
      </c>
      <c r="H46" s="19">
        <f t="shared" si="1"/>
        <v>151740</v>
      </c>
      <c r="I46" s="20">
        <v>0.0</v>
      </c>
      <c r="J46" s="21">
        <v>75.87</v>
      </c>
      <c r="K46" s="22">
        <f>IFERROR(__xludf.DUMMYFUNCTION("GOOGLEFINANCE(E46,""changepct"")"),-0.61)</f>
        <v>-0.61</v>
      </c>
      <c r="L46" s="23">
        <f>IFERROR(__xludf.DUMMYFUNCTION("googlefinance(E46,""price"")"),108.62)</f>
        <v>108.62</v>
      </c>
      <c r="M46" s="21">
        <v>72.84</v>
      </c>
      <c r="N46" s="24">
        <f t="shared" si="2"/>
        <v>32.75</v>
      </c>
      <c r="O46" s="25">
        <f t="shared" si="20"/>
        <v>-0.03993673389</v>
      </c>
      <c r="P46" s="19">
        <f t="shared" si="3"/>
        <v>-6060</v>
      </c>
      <c r="Q46" s="47"/>
      <c r="R46" s="20"/>
      <c r="S46" s="37"/>
      <c r="T46" s="27"/>
      <c r="U46" s="29"/>
      <c r="V46" s="15" t="s">
        <v>385</v>
      </c>
      <c r="W46" s="36">
        <v>45316.0</v>
      </c>
      <c r="X46" s="37">
        <v>72.84</v>
      </c>
      <c r="Y46" s="27">
        <v>145680.0</v>
      </c>
      <c r="Z46" s="15"/>
      <c r="AA46" s="36"/>
      <c r="AB46" s="37"/>
      <c r="AC46" s="27"/>
    </row>
    <row r="47">
      <c r="A47" s="38"/>
      <c r="B47" s="32"/>
      <c r="C47" s="14">
        <f>I47/E182</f>
        <v>0</v>
      </c>
      <c r="D47" s="42" t="s">
        <v>384</v>
      </c>
      <c r="E47" s="42" t="s">
        <v>385</v>
      </c>
      <c r="F47" s="44">
        <v>7.7</v>
      </c>
      <c r="G47" s="18">
        <v>3500.0</v>
      </c>
      <c r="H47" s="19">
        <f t="shared" si="1"/>
        <v>259525</v>
      </c>
      <c r="I47" s="20">
        <v>0.0</v>
      </c>
      <c r="J47" s="21">
        <v>74.15</v>
      </c>
      <c r="K47" s="22">
        <f>IFERROR(__xludf.DUMMYFUNCTION("GOOGLEFINANCE(E47,""changepct"")"),-0.61)</f>
        <v>-0.61</v>
      </c>
      <c r="L47" s="23">
        <f>IFERROR(__xludf.DUMMYFUNCTION("googlefinance(E47,""price"")"),108.62)</f>
        <v>108.62</v>
      </c>
      <c r="M47" s="21">
        <v>64.6</v>
      </c>
      <c r="N47" s="24">
        <f t="shared" si="2"/>
        <v>34.47</v>
      </c>
      <c r="O47" s="25">
        <f t="shared" si="20"/>
        <v>-0.1287929872</v>
      </c>
      <c r="P47" s="19">
        <f t="shared" si="3"/>
        <v>-33425</v>
      </c>
      <c r="Q47" s="47"/>
      <c r="R47" s="20"/>
      <c r="S47" s="37"/>
      <c r="T47" s="27"/>
      <c r="U47" s="29"/>
      <c r="V47" s="15" t="s">
        <v>385</v>
      </c>
      <c r="W47" s="36">
        <v>45337.0</v>
      </c>
      <c r="X47" s="37">
        <v>64.6</v>
      </c>
      <c r="Y47" s="27">
        <v>226100.0</v>
      </c>
      <c r="Z47" s="15" t="s">
        <v>385</v>
      </c>
      <c r="AA47" s="36">
        <v>45320.0</v>
      </c>
      <c r="AB47" s="37">
        <v>74.15</v>
      </c>
      <c r="AC47" s="27">
        <v>259525.0</v>
      </c>
    </row>
    <row r="48">
      <c r="A48" s="38"/>
      <c r="B48" s="32"/>
      <c r="C48" s="14">
        <f>I48/E182</f>
        <v>0</v>
      </c>
      <c r="D48" s="42" t="s">
        <v>384</v>
      </c>
      <c r="E48" s="42" t="s">
        <v>385</v>
      </c>
      <c r="F48" s="44">
        <v>7.7</v>
      </c>
      <c r="G48" s="18">
        <v>2000.0</v>
      </c>
      <c r="H48" s="19">
        <f t="shared" si="1"/>
        <v>151740</v>
      </c>
      <c r="I48" s="20">
        <v>0.0</v>
      </c>
      <c r="J48" s="21">
        <v>75.87</v>
      </c>
      <c r="K48" s="22">
        <f>IFERROR(__xludf.DUMMYFUNCTION("GOOGLEFINANCE(E48,""changepct"")"),-0.61)</f>
        <v>-0.61</v>
      </c>
      <c r="L48" s="23">
        <f>IFERROR(__xludf.DUMMYFUNCTION("googlefinance(E48,""price"")"),108.62)</f>
        <v>108.62</v>
      </c>
      <c r="M48" s="21">
        <v>64.0</v>
      </c>
      <c r="N48" s="24">
        <f t="shared" si="2"/>
        <v>32.75</v>
      </c>
      <c r="O48" s="25">
        <f t="shared" si="20"/>
        <v>-0.1564518255</v>
      </c>
      <c r="P48" s="19">
        <f t="shared" si="3"/>
        <v>-23740</v>
      </c>
      <c r="Q48" s="47"/>
      <c r="R48" s="20"/>
      <c r="S48" s="37"/>
      <c r="T48" s="27">
        <v>-4340.0</v>
      </c>
      <c r="U48" s="29"/>
      <c r="V48" s="15" t="s">
        <v>385</v>
      </c>
      <c r="W48" s="46" t="s">
        <v>386</v>
      </c>
      <c r="X48" s="37">
        <v>64.0</v>
      </c>
      <c r="Y48" s="27">
        <v>128000.0</v>
      </c>
      <c r="Z48" s="15"/>
      <c r="AA48" s="36"/>
      <c r="AB48" s="37"/>
      <c r="AC48" s="27"/>
    </row>
    <row r="49">
      <c r="A49" s="48"/>
      <c r="B49" s="6"/>
      <c r="C49" s="6" t="s">
        <v>89</v>
      </c>
      <c r="D49" s="6"/>
      <c r="E49" s="6"/>
      <c r="F49" s="6"/>
      <c r="G49" s="11"/>
      <c r="H49" s="49">
        <f t="shared" ref="H49:I49" si="21">SUM(H3:H48)</f>
        <v>11685155</v>
      </c>
      <c r="I49" s="50">
        <f t="shared" si="21"/>
        <v>15369182</v>
      </c>
      <c r="J49" s="8"/>
      <c r="K49" s="8"/>
      <c r="L49" s="8"/>
      <c r="M49" s="10"/>
      <c r="N49" s="10"/>
      <c r="O49" s="51">
        <f>(P49+T49+U49+R49)/I49</f>
        <v>0.1752111466</v>
      </c>
      <c r="P49" s="263">
        <v>2509860.0</v>
      </c>
      <c r="Q49" s="52"/>
      <c r="R49" s="49">
        <f>SUM(R3:R48)</f>
        <v>0</v>
      </c>
      <c r="S49" s="10"/>
      <c r="T49" s="11">
        <f t="shared" ref="T49:U49" si="22">SUM(T3:T48)</f>
        <v>182992</v>
      </c>
      <c r="U49" s="11">
        <f t="shared" si="22"/>
        <v>0</v>
      </c>
      <c r="V49" s="6" t="s">
        <v>89</v>
      </c>
      <c r="W49" s="53"/>
      <c r="X49" s="54"/>
      <c r="Y49" s="49">
        <f>SUM(Y3:Y48)</f>
        <v>5284933</v>
      </c>
      <c r="Z49" s="6" t="s">
        <v>89</v>
      </c>
      <c r="AA49" s="53"/>
      <c r="AB49" s="54"/>
      <c r="AC49" s="49">
        <f>SUM(AC3:AC48)</f>
        <v>3811230</v>
      </c>
    </row>
    <row r="50">
      <c r="A50" s="55"/>
      <c r="B50" s="6" t="s">
        <v>342</v>
      </c>
      <c r="C50" s="6" t="s">
        <v>2</v>
      </c>
      <c r="D50" s="5" t="s">
        <v>3</v>
      </c>
      <c r="E50" s="6" t="s">
        <v>4</v>
      </c>
      <c r="F50" s="6" t="s">
        <v>5</v>
      </c>
      <c r="G50" s="280" t="s">
        <v>6</v>
      </c>
      <c r="H50" s="6" t="s">
        <v>7</v>
      </c>
      <c r="I50" s="7" t="s">
        <v>8</v>
      </c>
      <c r="J50" s="7" t="s">
        <v>9</v>
      </c>
      <c r="K50" s="8" t="s">
        <v>10</v>
      </c>
      <c r="L50" s="8" t="s">
        <v>11</v>
      </c>
      <c r="M50" s="9" t="s">
        <v>12</v>
      </c>
      <c r="N50" s="10" t="s">
        <v>13</v>
      </c>
      <c r="O50" s="6" t="s">
        <v>14</v>
      </c>
      <c r="P50" s="10" t="s">
        <v>15</v>
      </c>
      <c r="Q50" s="71" t="s">
        <v>16</v>
      </c>
      <c r="R50" s="11" t="s">
        <v>17</v>
      </c>
      <c r="S50" s="9" t="s">
        <v>18</v>
      </c>
      <c r="T50" s="5" t="s">
        <v>19</v>
      </c>
      <c r="U50" s="5" t="s">
        <v>91</v>
      </c>
      <c r="V50" s="6" t="s">
        <v>21</v>
      </c>
      <c r="W50" s="281" t="s">
        <v>22</v>
      </c>
      <c r="X50" s="12" t="s">
        <v>23</v>
      </c>
      <c r="Y50" s="12" t="s">
        <v>24</v>
      </c>
      <c r="Z50" s="6" t="s">
        <v>25</v>
      </c>
      <c r="AA50" s="6" t="s">
        <v>26</v>
      </c>
      <c r="AB50" s="12" t="s">
        <v>27</v>
      </c>
      <c r="AC50" s="11" t="s">
        <v>28</v>
      </c>
    </row>
    <row r="51">
      <c r="A51" s="56" t="s">
        <v>29</v>
      </c>
      <c r="B51" s="57">
        <f>I63/E182</f>
        <v>0.08030623017</v>
      </c>
      <c r="C51" s="14">
        <f>I51/E182</f>
        <v>0.02009036145</v>
      </c>
      <c r="D51" s="15" t="s">
        <v>287</v>
      </c>
      <c r="E51" s="15" t="s">
        <v>33</v>
      </c>
      <c r="F51" s="17">
        <v>7.9</v>
      </c>
      <c r="G51" s="18">
        <v>5000.0</v>
      </c>
      <c r="H51" s="19">
        <f t="shared" ref="H51:H62" si="23">G51*J51</f>
        <v>595450</v>
      </c>
      <c r="I51" s="19">
        <f t="shared" ref="I51:I60" si="24">H51+P51</f>
        <v>420250</v>
      </c>
      <c r="J51" s="21">
        <v>119.09</v>
      </c>
      <c r="K51" s="22">
        <f>IFERROR(__xludf.DUMMYFUNCTION("GOOGLEFINANCE(E51,""changepct"")"),-2.94)</f>
        <v>-2.94</v>
      </c>
      <c r="L51" s="23">
        <f>IFERROR(__xludf.DUMMYFUNCTION("googlefinance(E51,""price"")"),84.05)</f>
        <v>84.05</v>
      </c>
      <c r="M51" s="24"/>
      <c r="N51" s="24">
        <f t="shared" ref="N51:N62" si="25">L51-J51</f>
        <v>-35.04</v>
      </c>
      <c r="O51" s="25">
        <f t="shared" ref="O51:O60" si="26">L51/J51-1</f>
        <v>-0.2942312537</v>
      </c>
      <c r="P51" s="19">
        <f t="shared" ref="P51:P62" si="27">H51*O51</f>
        <v>-175200</v>
      </c>
      <c r="Q51" s="34"/>
      <c r="R51" s="29"/>
      <c r="S51" s="35"/>
      <c r="T51" s="27"/>
      <c r="U51" s="15"/>
      <c r="V51" s="15"/>
      <c r="W51" s="36"/>
      <c r="X51" s="37"/>
      <c r="Y51" s="27"/>
      <c r="Z51" s="16"/>
      <c r="AA51" s="32"/>
      <c r="AB51" s="31"/>
      <c r="AC51" s="29"/>
    </row>
    <row r="52">
      <c r="A52" s="38"/>
      <c r="B52" s="32"/>
      <c r="C52" s="14">
        <f>I52/E182</f>
        <v>0.00401807229</v>
      </c>
      <c r="D52" s="15" t="s">
        <v>32</v>
      </c>
      <c r="E52" s="15" t="s">
        <v>33</v>
      </c>
      <c r="F52" s="17">
        <v>7.9</v>
      </c>
      <c r="G52" s="18">
        <v>1000.0</v>
      </c>
      <c r="H52" s="19">
        <f t="shared" si="23"/>
        <v>104400</v>
      </c>
      <c r="I52" s="19">
        <f t="shared" si="24"/>
        <v>84050</v>
      </c>
      <c r="J52" s="21">
        <v>104.4</v>
      </c>
      <c r="K52" s="22">
        <f>IFERROR(__xludf.DUMMYFUNCTION("GOOGLEFINANCE(E52,""changepct"")"),-2.94)</f>
        <v>-2.94</v>
      </c>
      <c r="L52" s="23">
        <f>IFERROR(__xludf.DUMMYFUNCTION("googlefinance(E52,""price"")"),84.05)</f>
        <v>84.05</v>
      </c>
      <c r="M52" s="24"/>
      <c r="N52" s="24">
        <f t="shared" si="25"/>
        <v>-20.35</v>
      </c>
      <c r="O52" s="25">
        <f t="shared" si="26"/>
        <v>-0.1949233716</v>
      </c>
      <c r="P52" s="19">
        <f t="shared" si="27"/>
        <v>-20350</v>
      </c>
      <c r="Q52" s="34"/>
      <c r="R52" s="29"/>
      <c r="S52" s="282"/>
      <c r="T52" s="27"/>
      <c r="U52" s="15"/>
      <c r="V52" s="15"/>
      <c r="W52" s="36"/>
      <c r="X52" s="37"/>
      <c r="Y52" s="27"/>
      <c r="Z52" s="15" t="s">
        <v>34</v>
      </c>
      <c r="AA52" s="41">
        <v>45307.0</v>
      </c>
      <c r="AB52" s="21">
        <v>104.4</v>
      </c>
      <c r="AC52" s="20">
        <v>104400.0</v>
      </c>
    </row>
    <row r="53">
      <c r="A53" s="38"/>
      <c r="B53" s="32"/>
      <c r="C53" s="14">
        <f>I53/E182</f>
        <v>0.00401807229</v>
      </c>
      <c r="D53" s="15" t="s">
        <v>32</v>
      </c>
      <c r="E53" s="15" t="s">
        <v>33</v>
      </c>
      <c r="F53" s="17">
        <v>7.9</v>
      </c>
      <c r="G53" s="18">
        <v>1000.0</v>
      </c>
      <c r="H53" s="19">
        <f t="shared" si="23"/>
        <v>102040</v>
      </c>
      <c r="I53" s="19">
        <f t="shared" si="24"/>
        <v>84050</v>
      </c>
      <c r="J53" s="21">
        <v>102.04</v>
      </c>
      <c r="K53" s="22">
        <f>IFERROR(__xludf.DUMMYFUNCTION("GOOGLEFINANCE(E53,""changepct"")"),-2.94)</f>
        <v>-2.94</v>
      </c>
      <c r="L53" s="23">
        <f>IFERROR(__xludf.DUMMYFUNCTION("googlefinance(E53,""price"")"),84.05)</f>
        <v>84.05</v>
      </c>
      <c r="M53" s="24"/>
      <c r="N53" s="24">
        <f t="shared" si="25"/>
        <v>-17.99</v>
      </c>
      <c r="O53" s="25">
        <f t="shared" si="26"/>
        <v>-0.1763034104</v>
      </c>
      <c r="P53" s="19">
        <f t="shared" si="27"/>
        <v>-17990</v>
      </c>
      <c r="Q53" s="34"/>
      <c r="R53" s="29"/>
      <c r="S53" s="282"/>
      <c r="T53" s="27"/>
      <c r="U53" s="15"/>
      <c r="V53" s="15"/>
      <c r="W53" s="36"/>
      <c r="X53" s="37"/>
      <c r="Y53" s="27"/>
      <c r="Z53" s="15" t="s">
        <v>34</v>
      </c>
      <c r="AA53" s="41">
        <v>45309.0</v>
      </c>
      <c r="AB53" s="21">
        <v>102.04</v>
      </c>
      <c r="AC53" s="20">
        <v>102040.0</v>
      </c>
    </row>
    <row r="54">
      <c r="A54" s="38"/>
      <c r="B54" s="32"/>
      <c r="C54" s="14">
        <f>I54/E182</f>
        <v>0.004512383622</v>
      </c>
      <c r="D54" s="45" t="s">
        <v>343</v>
      </c>
      <c r="E54" s="45" t="s">
        <v>301</v>
      </c>
      <c r="F54" s="44">
        <v>7.8</v>
      </c>
      <c r="G54" s="18">
        <v>1000.0</v>
      </c>
      <c r="H54" s="19">
        <f t="shared" si="23"/>
        <v>116210</v>
      </c>
      <c r="I54" s="19">
        <f t="shared" si="24"/>
        <v>94390</v>
      </c>
      <c r="J54" s="21">
        <v>116.21</v>
      </c>
      <c r="K54" s="22">
        <f>IFERROR(__xludf.DUMMYFUNCTION("GOOGLEFINANCE(E54,""changepct"")"),-3.14)</f>
        <v>-3.14</v>
      </c>
      <c r="L54" s="23">
        <f>IFERROR(__xludf.DUMMYFUNCTION("googlefinance(E54,""price"")"),94.39)</f>
        <v>94.39</v>
      </c>
      <c r="M54" s="24"/>
      <c r="N54" s="24">
        <f t="shared" si="25"/>
        <v>-21.82</v>
      </c>
      <c r="O54" s="25">
        <f t="shared" si="26"/>
        <v>-0.1877635315</v>
      </c>
      <c r="P54" s="19">
        <f t="shared" si="27"/>
        <v>-21820</v>
      </c>
      <c r="Q54" s="34"/>
      <c r="R54" s="29"/>
      <c r="S54" s="282"/>
      <c r="T54" s="27"/>
      <c r="U54" s="15"/>
      <c r="V54" s="15"/>
      <c r="W54" s="36"/>
      <c r="X54" s="37"/>
      <c r="Y54" s="27"/>
      <c r="Z54" s="15" t="s">
        <v>301</v>
      </c>
      <c r="AA54" s="41">
        <v>45379.0</v>
      </c>
      <c r="AB54" s="21">
        <v>116.21</v>
      </c>
      <c r="AC54" s="20">
        <v>116210.0</v>
      </c>
    </row>
    <row r="55">
      <c r="A55" s="38"/>
      <c r="B55" s="32"/>
      <c r="C55" s="14">
        <f>I55/E182</f>
        <v>0.002256191811</v>
      </c>
      <c r="D55" s="45" t="s">
        <v>343</v>
      </c>
      <c r="E55" s="45" t="s">
        <v>301</v>
      </c>
      <c r="F55" s="44">
        <v>7.8</v>
      </c>
      <c r="G55" s="18">
        <v>500.0</v>
      </c>
      <c r="H55" s="19">
        <f t="shared" si="23"/>
        <v>60560</v>
      </c>
      <c r="I55" s="19">
        <f t="shared" si="24"/>
        <v>47195</v>
      </c>
      <c r="J55" s="21">
        <v>121.12</v>
      </c>
      <c r="K55" s="22">
        <f>IFERROR(__xludf.DUMMYFUNCTION("GOOGLEFINANCE(E55,""changepct"")"),-3.14)</f>
        <v>-3.14</v>
      </c>
      <c r="L55" s="23">
        <f>IFERROR(__xludf.DUMMYFUNCTION("googlefinance(E55,""price"")"),94.39)</f>
        <v>94.39</v>
      </c>
      <c r="M55" s="24"/>
      <c r="N55" s="24">
        <f t="shared" si="25"/>
        <v>-26.73</v>
      </c>
      <c r="O55" s="25">
        <f t="shared" si="26"/>
        <v>-0.2206902246</v>
      </c>
      <c r="P55" s="19">
        <f t="shared" si="27"/>
        <v>-13365</v>
      </c>
      <c r="Q55" s="34"/>
      <c r="R55" s="29"/>
      <c r="S55" s="282"/>
      <c r="T55" s="27"/>
      <c r="U55" s="15"/>
      <c r="V55" s="15"/>
      <c r="W55" s="36"/>
      <c r="X55" s="37"/>
      <c r="Y55" s="27"/>
      <c r="Z55" s="15" t="s">
        <v>301</v>
      </c>
      <c r="AA55" s="41">
        <v>45327.0</v>
      </c>
      <c r="AB55" s="21">
        <v>121.12</v>
      </c>
      <c r="AC55" s="20">
        <v>60560.0</v>
      </c>
    </row>
    <row r="56">
      <c r="A56" s="38"/>
      <c r="B56" s="32"/>
      <c r="C56" s="14">
        <f>I56/E182</f>
        <v>0.006768575433</v>
      </c>
      <c r="D56" s="45" t="s">
        <v>343</v>
      </c>
      <c r="E56" s="45" t="s">
        <v>301</v>
      </c>
      <c r="F56" s="44">
        <v>7.8</v>
      </c>
      <c r="G56" s="18">
        <v>1500.0</v>
      </c>
      <c r="H56" s="19">
        <f t="shared" si="23"/>
        <v>219465</v>
      </c>
      <c r="I56" s="19">
        <f t="shared" si="24"/>
        <v>141585</v>
      </c>
      <c r="J56" s="21">
        <v>146.31</v>
      </c>
      <c r="K56" s="22">
        <f>IFERROR(__xludf.DUMMYFUNCTION("GOOGLEFINANCE(E56,""changepct"")"),-3.14)</f>
        <v>-3.14</v>
      </c>
      <c r="L56" s="23">
        <f>IFERROR(__xludf.DUMMYFUNCTION("googlefinance(E56,""price"")"),94.39)</f>
        <v>94.39</v>
      </c>
      <c r="M56" s="21"/>
      <c r="N56" s="24">
        <f t="shared" si="25"/>
        <v>-51.92</v>
      </c>
      <c r="O56" s="25">
        <f t="shared" si="26"/>
        <v>-0.3548629622</v>
      </c>
      <c r="P56" s="19">
        <f t="shared" si="27"/>
        <v>-77880</v>
      </c>
      <c r="Q56" s="34"/>
      <c r="R56" s="29"/>
      <c r="S56" s="282"/>
      <c r="T56" s="27"/>
      <c r="U56" s="15"/>
      <c r="V56" s="15"/>
      <c r="W56" s="36"/>
      <c r="X56" s="37"/>
      <c r="Y56" s="27"/>
      <c r="Z56" s="15"/>
      <c r="AA56" s="41"/>
      <c r="AB56" s="21"/>
      <c r="AC56" s="20"/>
    </row>
    <row r="57">
      <c r="A57" s="38"/>
      <c r="B57" s="32"/>
      <c r="C57" s="14">
        <f>I57/E182</f>
        <v>0.01526819664</v>
      </c>
      <c r="D57" s="42" t="s">
        <v>344</v>
      </c>
      <c r="E57" s="42" t="s">
        <v>345</v>
      </c>
      <c r="F57" s="44">
        <v>7.9</v>
      </c>
      <c r="G57" s="18">
        <v>6000.0</v>
      </c>
      <c r="H57" s="19">
        <f t="shared" si="23"/>
        <v>233880</v>
      </c>
      <c r="I57" s="19">
        <f t="shared" si="24"/>
        <v>319380</v>
      </c>
      <c r="J57" s="21">
        <v>38.98</v>
      </c>
      <c r="K57" s="22">
        <f>IFERROR(__xludf.DUMMYFUNCTION("GOOGLEFINANCE(E57,""changepct"")"),-0.69)</f>
        <v>-0.69</v>
      </c>
      <c r="L57" s="23">
        <f>IFERROR(__xludf.DUMMYFUNCTION("googlefinance(E57,""price"")"),53.23)</f>
        <v>53.23</v>
      </c>
      <c r="M57" s="21"/>
      <c r="N57" s="24">
        <f t="shared" si="25"/>
        <v>14.25</v>
      </c>
      <c r="O57" s="25">
        <f t="shared" si="26"/>
        <v>0.3655720883</v>
      </c>
      <c r="P57" s="19">
        <f t="shared" si="27"/>
        <v>85500</v>
      </c>
      <c r="Q57" s="34"/>
      <c r="R57" s="29"/>
      <c r="S57" s="282"/>
      <c r="T57" s="27"/>
      <c r="U57" s="15"/>
      <c r="V57" s="15"/>
      <c r="W57" s="36"/>
      <c r="X57" s="37"/>
      <c r="Y57" s="27"/>
      <c r="Z57" s="15" t="s">
        <v>345</v>
      </c>
      <c r="AA57" s="41">
        <v>45379.0</v>
      </c>
      <c r="AB57" s="21">
        <v>38.98</v>
      </c>
      <c r="AC57" s="20">
        <v>233880.0</v>
      </c>
    </row>
    <row r="58">
      <c r="A58" s="38"/>
      <c r="B58" s="32"/>
      <c r="C58" s="14">
        <f>I58/E182</f>
        <v>0.01017879776</v>
      </c>
      <c r="D58" s="42" t="s">
        <v>344</v>
      </c>
      <c r="E58" s="42" t="s">
        <v>345</v>
      </c>
      <c r="F58" s="44">
        <v>7.9</v>
      </c>
      <c r="G58" s="18">
        <v>4000.0</v>
      </c>
      <c r="H58" s="19">
        <f t="shared" si="23"/>
        <v>152240</v>
      </c>
      <c r="I58" s="19">
        <f t="shared" si="24"/>
        <v>212920</v>
      </c>
      <c r="J58" s="21">
        <v>38.06</v>
      </c>
      <c r="K58" s="22">
        <f>IFERROR(__xludf.DUMMYFUNCTION("GOOGLEFINANCE(E58,""changepct"")"),-0.69)</f>
        <v>-0.69</v>
      </c>
      <c r="L58" s="23">
        <f>IFERROR(__xludf.DUMMYFUNCTION("googlefinance(E58,""price"")"),53.23)</f>
        <v>53.23</v>
      </c>
      <c r="M58" s="21"/>
      <c r="N58" s="24">
        <f t="shared" si="25"/>
        <v>15.17</v>
      </c>
      <c r="O58" s="25">
        <f t="shared" si="26"/>
        <v>0.3985811876</v>
      </c>
      <c r="P58" s="19">
        <f t="shared" si="27"/>
        <v>60680</v>
      </c>
      <c r="Q58" s="34"/>
      <c r="R58" s="29"/>
      <c r="S58" s="282"/>
      <c r="T58" s="27"/>
      <c r="U58" s="15"/>
      <c r="V58" s="15"/>
      <c r="W58" s="36"/>
      <c r="X58" s="37"/>
      <c r="Y58" s="27"/>
      <c r="Z58" s="15" t="s">
        <v>345</v>
      </c>
      <c r="AA58" s="41">
        <v>45377.0</v>
      </c>
      <c r="AB58" s="21">
        <v>38.06</v>
      </c>
      <c r="AC58" s="20">
        <v>152240.0</v>
      </c>
    </row>
    <row r="59">
      <c r="A59" s="38"/>
      <c r="B59" s="32"/>
      <c r="C59" s="14">
        <f>I59/E182</f>
        <v>0.005228465774</v>
      </c>
      <c r="D59" s="42" t="s">
        <v>346</v>
      </c>
      <c r="E59" s="42" t="s">
        <v>347</v>
      </c>
      <c r="F59" s="44">
        <v>7.7</v>
      </c>
      <c r="G59" s="18">
        <v>1300.0</v>
      </c>
      <c r="H59" s="19">
        <f t="shared" si="23"/>
        <v>94081</v>
      </c>
      <c r="I59" s="19">
        <f t="shared" si="24"/>
        <v>109369</v>
      </c>
      <c r="J59" s="21">
        <v>72.37</v>
      </c>
      <c r="K59" s="22">
        <f>IFERROR(__xludf.DUMMYFUNCTION("GOOGLEFINANCE(E59,""changepct"")"),-1.09)</f>
        <v>-1.09</v>
      </c>
      <c r="L59" s="23">
        <f>IFERROR(__xludf.DUMMYFUNCTION("googlefinance(E59,""price"")"),84.13)</f>
        <v>84.13</v>
      </c>
      <c r="M59" s="21"/>
      <c r="N59" s="24">
        <f t="shared" si="25"/>
        <v>11.76</v>
      </c>
      <c r="O59" s="25">
        <f t="shared" si="26"/>
        <v>0.1624982728</v>
      </c>
      <c r="P59" s="19">
        <f t="shared" si="27"/>
        <v>15288</v>
      </c>
      <c r="Q59" s="34"/>
      <c r="R59" s="29"/>
      <c r="S59" s="282"/>
      <c r="T59" s="27"/>
      <c r="U59" s="15"/>
      <c r="V59" s="15"/>
      <c r="W59" s="36"/>
      <c r="X59" s="37"/>
      <c r="Y59" s="27"/>
      <c r="Z59" s="15" t="s">
        <v>347</v>
      </c>
      <c r="AA59" s="41">
        <v>45379.0</v>
      </c>
      <c r="AB59" s="21">
        <v>72.37</v>
      </c>
      <c r="AC59" s="20">
        <v>94081.0</v>
      </c>
    </row>
    <row r="60">
      <c r="A60" s="38"/>
      <c r="B60" s="32"/>
      <c r="C60" s="14">
        <f>I60/E182</f>
        <v>0.004826276099</v>
      </c>
      <c r="D60" s="42" t="s">
        <v>346</v>
      </c>
      <c r="E60" s="42" t="s">
        <v>347</v>
      </c>
      <c r="F60" s="44">
        <v>7.7</v>
      </c>
      <c r="G60" s="18">
        <v>1200.0</v>
      </c>
      <c r="H60" s="19">
        <f t="shared" si="23"/>
        <v>88416</v>
      </c>
      <c r="I60" s="19">
        <f t="shared" si="24"/>
        <v>100956</v>
      </c>
      <c r="J60" s="21">
        <v>73.68</v>
      </c>
      <c r="K60" s="22">
        <f>IFERROR(__xludf.DUMMYFUNCTION("GOOGLEFINANCE(E60,""changepct"")"),-1.09)</f>
        <v>-1.09</v>
      </c>
      <c r="L60" s="23">
        <f>IFERROR(__xludf.DUMMYFUNCTION("googlefinance(E60,""price"")"),84.13)</f>
        <v>84.13</v>
      </c>
      <c r="M60" s="21"/>
      <c r="N60" s="24">
        <f t="shared" si="25"/>
        <v>10.45</v>
      </c>
      <c r="O60" s="25">
        <f t="shared" si="26"/>
        <v>0.1418295331</v>
      </c>
      <c r="P60" s="19">
        <f t="shared" si="27"/>
        <v>12540</v>
      </c>
      <c r="Q60" s="34"/>
      <c r="R60" s="29"/>
      <c r="S60" s="282"/>
      <c r="T60" s="27"/>
      <c r="U60" s="15"/>
      <c r="V60" s="15"/>
      <c r="W60" s="36"/>
      <c r="X60" s="37"/>
      <c r="Y60" s="27"/>
      <c r="Z60" s="15" t="s">
        <v>347</v>
      </c>
      <c r="AA60" s="41">
        <v>45327.0</v>
      </c>
      <c r="AB60" s="21">
        <v>73.68</v>
      </c>
      <c r="AC60" s="20">
        <v>88416.0</v>
      </c>
    </row>
    <row r="61">
      <c r="A61" s="38"/>
      <c r="B61" s="32"/>
      <c r="C61" s="14">
        <f>I61/E182</f>
        <v>0</v>
      </c>
      <c r="D61" s="42" t="s">
        <v>346</v>
      </c>
      <c r="E61" s="42" t="s">
        <v>347</v>
      </c>
      <c r="F61" s="44">
        <v>7.7</v>
      </c>
      <c r="G61" s="18">
        <v>1800.0</v>
      </c>
      <c r="H61" s="19">
        <f t="shared" si="23"/>
        <v>133650</v>
      </c>
      <c r="I61" s="20">
        <v>0.0</v>
      </c>
      <c r="J61" s="21">
        <v>74.25</v>
      </c>
      <c r="K61" s="22">
        <f>IFERROR(__xludf.DUMMYFUNCTION("GOOGLEFINANCE(E61,""changepct"")"),-1.09)</f>
        <v>-1.09</v>
      </c>
      <c r="L61" s="23">
        <f>IFERROR(__xludf.DUMMYFUNCTION("googlefinance(E61,""price"")"),84.13)</f>
        <v>84.13</v>
      </c>
      <c r="M61" s="21">
        <v>73.85</v>
      </c>
      <c r="N61" s="24">
        <f t="shared" si="25"/>
        <v>9.88</v>
      </c>
      <c r="O61" s="25">
        <f>M61/J61-1</f>
        <v>-0.005387205387</v>
      </c>
      <c r="P61" s="19">
        <f t="shared" si="27"/>
        <v>-720</v>
      </c>
      <c r="Q61" s="34"/>
      <c r="R61" s="29"/>
      <c r="S61" s="282"/>
      <c r="T61" s="27"/>
      <c r="U61" s="15"/>
      <c r="V61" s="15" t="s">
        <v>347</v>
      </c>
      <c r="W61" s="36">
        <v>45329.0</v>
      </c>
      <c r="X61" s="37">
        <v>73.85</v>
      </c>
      <c r="Y61" s="27">
        <v>132930.0</v>
      </c>
      <c r="Z61" s="15" t="s">
        <v>347</v>
      </c>
      <c r="AA61" s="41">
        <v>45317.0</v>
      </c>
      <c r="AB61" s="21">
        <v>74.25</v>
      </c>
      <c r="AC61" s="20">
        <v>133650.0</v>
      </c>
    </row>
    <row r="62">
      <c r="A62" s="38"/>
      <c r="B62" s="32"/>
      <c r="C62" s="14">
        <f>I62/E182</f>
        <v>0.003140836995</v>
      </c>
      <c r="D62" s="42" t="s">
        <v>348</v>
      </c>
      <c r="E62" s="42" t="s">
        <v>349</v>
      </c>
      <c r="F62" s="44">
        <v>6.5</v>
      </c>
      <c r="G62" s="18">
        <v>15000.0</v>
      </c>
      <c r="H62" s="19">
        <f t="shared" si="23"/>
        <v>136050</v>
      </c>
      <c r="I62" s="20">
        <f>H62+P62</f>
        <v>65700</v>
      </c>
      <c r="J62" s="21">
        <v>9.07</v>
      </c>
      <c r="K62" s="22">
        <f>IFERROR(__xludf.DUMMYFUNCTION("GOOGLEFINANCE(E62,""changepct"")"),-2.23)</f>
        <v>-2.23</v>
      </c>
      <c r="L62" s="23">
        <f>IFERROR(__xludf.DUMMYFUNCTION("googlefinance(E62,""price"")"),4.38)</f>
        <v>4.38</v>
      </c>
      <c r="M62" s="21"/>
      <c r="N62" s="24">
        <f t="shared" si="25"/>
        <v>-4.69</v>
      </c>
      <c r="O62" s="25">
        <f>L62/J62-1</f>
        <v>-0.5170893054</v>
      </c>
      <c r="P62" s="19">
        <f t="shared" si="27"/>
        <v>-70350</v>
      </c>
      <c r="Q62" s="34"/>
      <c r="R62" s="29"/>
      <c r="S62" s="35"/>
      <c r="T62" s="27">
        <v>2100.0</v>
      </c>
      <c r="U62" s="15"/>
      <c r="V62" s="15"/>
      <c r="W62" s="36"/>
      <c r="X62" s="37"/>
      <c r="Y62" s="27"/>
      <c r="Z62" s="15"/>
      <c r="AA62" s="41"/>
      <c r="AB62" s="21"/>
      <c r="AC62" s="20"/>
    </row>
    <row r="63">
      <c r="A63" s="48"/>
      <c r="B63" s="6"/>
      <c r="C63" s="6" t="s">
        <v>89</v>
      </c>
      <c r="D63" s="6"/>
      <c r="E63" s="6"/>
      <c r="F63" s="6"/>
      <c r="G63" s="69"/>
      <c r="H63" s="49">
        <f t="shared" ref="H63:I63" si="28">SUM(H51:H62)</f>
        <v>2036442</v>
      </c>
      <c r="I63" s="50">
        <f t="shared" si="28"/>
        <v>1679845</v>
      </c>
      <c r="J63" s="8"/>
      <c r="K63" s="8"/>
      <c r="L63" s="8"/>
      <c r="M63" s="10"/>
      <c r="N63" s="10"/>
      <c r="O63" s="51">
        <f>(P63+T63)/H63</f>
        <v>-0.08691728024</v>
      </c>
      <c r="P63" s="263">
        <v>-179102.0</v>
      </c>
      <c r="Q63" s="6"/>
      <c r="R63" s="49">
        <v>0.0</v>
      </c>
      <c r="S63" s="10"/>
      <c r="T63" s="11">
        <f>SUM(T51:T62)</f>
        <v>2100</v>
      </c>
      <c r="U63" s="6"/>
      <c r="V63" s="6" t="s">
        <v>89</v>
      </c>
      <c r="W63" s="53"/>
      <c r="X63" s="53"/>
      <c r="Y63" s="49">
        <f>SUM(Y51:Y62)</f>
        <v>132930</v>
      </c>
      <c r="Z63" s="6" t="s">
        <v>89</v>
      </c>
      <c r="AA63" s="53"/>
      <c r="AB63" s="54"/>
      <c r="AC63" s="49">
        <f>SUM(AC51:AC62)</f>
        <v>1085477</v>
      </c>
    </row>
    <row r="64">
      <c r="A64" s="55"/>
      <c r="B64" s="5" t="s">
        <v>303</v>
      </c>
      <c r="C64" s="6" t="s">
        <v>2</v>
      </c>
      <c r="D64" s="6" t="s">
        <v>3</v>
      </c>
      <c r="E64" s="6" t="s">
        <v>4</v>
      </c>
      <c r="F64" s="6" t="s">
        <v>5</v>
      </c>
      <c r="G64" s="6" t="s">
        <v>6</v>
      </c>
      <c r="H64" s="6" t="s">
        <v>7</v>
      </c>
      <c r="I64" s="7" t="s">
        <v>8</v>
      </c>
      <c r="J64" s="7" t="s">
        <v>9</v>
      </c>
      <c r="K64" s="8" t="s">
        <v>10</v>
      </c>
      <c r="L64" s="8" t="s">
        <v>11</v>
      </c>
      <c r="M64" s="9" t="s">
        <v>12</v>
      </c>
      <c r="N64" s="10" t="s">
        <v>13</v>
      </c>
      <c r="O64" s="6" t="s">
        <v>14</v>
      </c>
      <c r="P64" s="10" t="s">
        <v>15</v>
      </c>
      <c r="Q64" s="6" t="s">
        <v>16</v>
      </c>
      <c r="R64" s="6" t="s">
        <v>17</v>
      </c>
      <c r="S64" s="9" t="s">
        <v>18</v>
      </c>
      <c r="T64" s="5" t="s">
        <v>19</v>
      </c>
      <c r="U64" s="5" t="s">
        <v>91</v>
      </c>
      <c r="V64" s="6" t="s">
        <v>21</v>
      </c>
      <c r="W64" s="6" t="s">
        <v>22</v>
      </c>
      <c r="X64" s="12" t="s">
        <v>23</v>
      </c>
      <c r="Y64" s="12" t="s">
        <v>24</v>
      </c>
      <c r="Z64" s="6" t="s">
        <v>25</v>
      </c>
      <c r="AA64" s="6" t="s">
        <v>26</v>
      </c>
      <c r="AB64" s="6" t="s">
        <v>27</v>
      </c>
      <c r="AC64" s="6" t="s">
        <v>28</v>
      </c>
    </row>
    <row r="65">
      <c r="A65" s="56" t="s">
        <v>29</v>
      </c>
      <c r="B65" s="57">
        <f>I79/E182</f>
        <v>0.04176715632</v>
      </c>
      <c r="C65" s="14">
        <f>I65/E182</f>
        <v>0.003214457832</v>
      </c>
      <c r="D65" s="16" t="s">
        <v>304</v>
      </c>
      <c r="E65" s="16" t="s">
        <v>305</v>
      </c>
      <c r="F65" s="17">
        <v>7.6</v>
      </c>
      <c r="G65" s="85">
        <v>2000.0</v>
      </c>
      <c r="H65" s="19">
        <f t="shared" ref="H65:H78" si="29">J65*G65</f>
        <v>106700</v>
      </c>
      <c r="I65" s="19">
        <f t="shared" ref="I65:I67" si="30">H65+P65</f>
        <v>67240</v>
      </c>
      <c r="J65" s="21">
        <v>53.35</v>
      </c>
      <c r="K65" s="22">
        <f>IFERROR(__xludf.DUMMYFUNCTION("GOOGLEFINANCE(E65,""changepct"")"),-0.97)</f>
        <v>-0.97</v>
      </c>
      <c r="L65" s="24">
        <f>IFERROR(__xludf.DUMMYFUNCTION("googlefinance(E65,""price"")"),33.62)</f>
        <v>33.62</v>
      </c>
      <c r="M65" s="24"/>
      <c r="N65" s="24">
        <f t="shared" ref="N65:N78" si="31">L65-J65</f>
        <v>-19.73</v>
      </c>
      <c r="O65" s="25">
        <f t="shared" ref="O65:O67" si="32">L65/J65-1</f>
        <v>-0.3698219306</v>
      </c>
      <c r="P65" s="19">
        <f t="shared" ref="P65:P78" si="33">H65*O65</f>
        <v>-39460</v>
      </c>
      <c r="Q65" s="34"/>
      <c r="R65" s="29"/>
      <c r="S65" s="24"/>
      <c r="T65" s="29"/>
      <c r="U65" s="16"/>
      <c r="V65" s="16"/>
      <c r="W65" s="94"/>
      <c r="X65" s="24"/>
      <c r="Y65" s="19"/>
      <c r="Z65" s="16"/>
      <c r="AA65" s="32"/>
      <c r="AB65" s="31"/>
      <c r="AC65" s="29"/>
    </row>
    <row r="66">
      <c r="A66" s="38"/>
      <c r="B66" s="32"/>
      <c r="C66" s="14">
        <f>I66/E182</f>
        <v>0.004098146901</v>
      </c>
      <c r="D66" s="264" t="s">
        <v>306</v>
      </c>
      <c r="E66" s="264" t="s">
        <v>307</v>
      </c>
      <c r="F66" s="17">
        <v>7.6</v>
      </c>
      <c r="G66" s="85">
        <v>7500.0</v>
      </c>
      <c r="H66" s="19">
        <f t="shared" si="29"/>
        <v>116775</v>
      </c>
      <c r="I66" s="19">
        <f t="shared" si="30"/>
        <v>85725</v>
      </c>
      <c r="J66" s="21">
        <v>15.57</v>
      </c>
      <c r="K66" s="22">
        <f>IFERROR(__xludf.DUMMYFUNCTION("GOOGLEFINANCE(E66,""changepct"")"),-0.87)</f>
        <v>-0.87</v>
      </c>
      <c r="L66" s="24">
        <f>IFERROR(__xludf.DUMMYFUNCTION("googlefinance(E66,""price"")"),11.43)</f>
        <v>11.43</v>
      </c>
      <c r="M66" s="24"/>
      <c r="N66" s="24">
        <f t="shared" si="31"/>
        <v>-4.14</v>
      </c>
      <c r="O66" s="25">
        <f t="shared" si="32"/>
        <v>-0.2658959538</v>
      </c>
      <c r="P66" s="19">
        <f t="shared" si="33"/>
        <v>-31050</v>
      </c>
      <c r="Q66" s="14"/>
      <c r="R66" s="19"/>
      <c r="S66" s="31"/>
      <c r="T66" s="29"/>
      <c r="U66" s="16"/>
      <c r="V66" s="16"/>
      <c r="W66" s="30"/>
      <c r="X66" s="31"/>
      <c r="Y66" s="29"/>
      <c r="Z66" s="16"/>
      <c r="AA66" s="30"/>
      <c r="AB66" s="31"/>
      <c r="AC66" s="29"/>
    </row>
    <row r="67">
      <c r="A67" s="63"/>
      <c r="B67" s="45"/>
      <c r="C67" s="58">
        <f>I67/E182</f>
        <v>0.006710969519</v>
      </c>
      <c r="D67" s="59" t="s">
        <v>310</v>
      </c>
      <c r="E67" s="59" t="s">
        <v>311</v>
      </c>
      <c r="F67" s="17">
        <v>7.5</v>
      </c>
      <c r="G67" s="60">
        <v>2000.0</v>
      </c>
      <c r="H67" s="19">
        <f t="shared" si="29"/>
        <v>264280</v>
      </c>
      <c r="I67" s="19">
        <f t="shared" si="30"/>
        <v>140380</v>
      </c>
      <c r="J67" s="61">
        <v>132.14</v>
      </c>
      <c r="K67" s="22">
        <f>IFERROR(__xludf.DUMMYFUNCTION("GOOGLEFINANCE(E67,""changepct"")"),-2.69)</f>
        <v>-2.69</v>
      </c>
      <c r="L67" s="24">
        <f>IFERROR(__xludf.DUMMYFUNCTION("googlefinance(E67,""price"")"),70.19)</f>
        <v>70.19</v>
      </c>
      <c r="M67" s="75"/>
      <c r="N67" s="24">
        <f t="shared" si="31"/>
        <v>-61.95</v>
      </c>
      <c r="O67" s="25">
        <f t="shared" si="32"/>
        <v>-0.4688209475</v>
      </c>
      <c r="P67" s="19">
        <f t="shared" si="33"/>
        <v>-123900</v>
      </c>
      <c r="Q67" s="58"/>
      <c r="R67" s="274"/>
      <c r="S67" s="65"/>
      <c r="T67" s="66">
        <v>17240.0</v>
      </c>
      <c r="U67" s="45"/>
      <c r="V67" s="45"/>
      <c r="W67" s="270"/>
      <c r="X67" s="28"/>
      <c r="Y67" s="64"/>
      <c r="Z67" s="42"/>
      <c r="AA67" s="67"/>
      <c r="AB67" s="39"/>
      <c r="AC67" s="68"/>
    </row>
    <row r="68">
      <c r="A68" s="63"/>
      <c r="B68" s="45"/>
      <c r="C68" s="58">
        <f>I68/E182</f>
        <v>0</v>
      </c>
      <c r="D68" s="59" t="s">
        <v>310</v>
      </c>
      <c r="E68" s="59" t="s">
        <v>311</v>
      </c>
      <c r="F68" s="17">
        <v>7.5</v>
      </c>
      <c r="G68" s="60">
        <v>1000.0</v>
      </c>
      <c r="H68" s="19">
        <f t="shared" si="29"/>
        <v>132140</v>
      </c>
      <c r="I68" s="20">
        <v>0.0</v>
      </c>
      <c r="J68" s="61">
        <v>132.14</v>
      </c>
      <c r="K68" s="22">
        <f>IFERROR(__xludf.DUMMYFUNCTION("GOOGLEFINANCE(E68,""changepct"")"),-2.69)</f>
        <v>-2.69</v>
      </c>
      <c r="L68" s="24">
        <f>IFERROR(__xludf.DUMMYFUNCTION("googlefinance(E68,""price"")"),70.19)</f>
        <v>70.19</v>
      </c>
      <c r="M68" s="61">
        <v>120.28</v>
      </c>
      <c r="N68" s="24">
        <f t="shared" si="31"/>
        <v>-61.95</v>
      </c>
      <c r="O68" s="25">
        <f t="shared" ref="O68:O70" si="34">M68/J68-1</f>
        <v>-0.08975329196</v>
      </c>
      <c r="P68" s="19">
        <f t="shared" si="33"/>
        <v>-11860</v>
      </c>
      <c r="Q68" s="62"/>
      <c r="R68" s="274"/>
      <c r="S68" s="65"/>
      <c r="T68" s="66"/>
      <c r="U68" s="45"/>
      <c r="V68" s="42" t="s">
        <v>311</v>
      </c>
      <c r="W68" s="67">
        <v>45363.0</v>
      </c>
      <c r="X68" s="39">
        <v>120.28</v>
      </c>
      <c r="Y68" s="68">
        <v>120280.0</v>
      </c>
      <c r="Z68" s="42"/>
      <c r="AA68" s="67"/>
      <c r="AB68" s="39"/>
      <c r="AC68" s="68"/>
    </row>
    <row r="69">
      <c r="A69" s="63"/>
      <c r="B69" s="45"/>
      <c r="C69" s="58">
        <f>I69/E182</f>
        <v>0</v>
      </c>
      <c r="D69" s="59" t="s">
        <v>310</v>
      </c>
      <c r="E69" s="59" t="s">
        <v>311</v>
      </c>
      <c r="F69" s="17">
        <v>7.5</v>
      </c>
      <c r="G69" s="60">
        <v>1000.0</v>
      </c>
      <c r="H69" s="19">
        <f t="shared" si="29"/>
        <v>98430</v>
      </c>
      <c r="I69" s="20">
        <v>0.0</v>
      </c>
      <c r="J69" s="61">
        <v>98.43</v>
      </c>
      <c r="K69" s="22">
        <f>IFERROR(__xludf.DUMMYFUNCTION("GOOGLEFINANCE(E69,""changepct"")"),-2.69)</f>
        <v>-2.69</v>
      </c>
      <c r="L69" s="24">
        <f>IFERROR(__xludf.DUMMYFUNCTION("googlefinance(E69,""price"")"),70.19)</f>
        <v>70.19</v>
      </c>
      <c r="M69" s="61">
        <v>124.79</v>
      </c>
      <c r="N69" s="24">
        <f t="shared" si="31"/>
        <v>-28.24</v>
      </c>
      <c r="O69" s="25">
        <f t="shared" si="34"/>
        <v>0.2678045311</v>
      </c>
      <c r="P69" s="19">
        <f t="shared" si="33"/>
        <v>26360</v>
      </c>
      <c r="Q69" s="62"/>
      <c r="R69" s="274"/>
      <c r="S69" s="65"/>
      <c r="T69" s="66"/>
      <c r="U69" s="45"/>
      <c r="V69" s="42" t="s">
        <v>311</v>
      </c>
      <c r="W69" s="67">
        <v>45304.0</v>
      </c>
      <c r="X69" s="39">
        <v>124.79</v>
      </c>
      <c r="Y69" s="68">
        <v>124790.0</v>
      </c>
      <c r="Z69" s="42" t="s">
        <v>311</v>
      </c>
      <c r="AA69" s="67">
        <v>45328.0</v>
      </c>
      <c r="AB69" s="39">
        <v>98.43</v>
      </c>
      <c r="AC69" s="68">
        <v>98430.0</v>
      </c>
    </row>
    <row r="70">
      <c r="A70" s="63"/>
      <c r="B70" s="45"/>
      <c r="C70" s="58">
        <f>I70/E182</f>
        <v>0</v>
      </c>
      <c r="D70" s="59" t="s">
        <v>387</v>
      </c>
      <c r="E70" s="59" t="s">
        <v>388</v>
      </c>
      <c r="F70" s="17">
        <v>7.6</v>
      </c>
      <c r="G70" s="60">
        <v>1000.0</v>
      </c>
      <c r="H70" s="19">
        <f t="shared" si="29"/>
        <v>149160</v>
      </c>
      <c r="I70" s="20">
        <v>0.0</v>
      </c>
      <c r="J70" s="61">
        <v>149.16</v>
      </c>
      <c r="K70" s="22">
        <f>IFERROR(__xludf.DUMMYFUNCTION("GOOGLEFINANCE(E70,""changepct"")"),-0.65)</f>
        <v>-0.65</v>
      </c>
      <c r="L70" s="24">
        <f>IFERROR(__xludf.DUMMYFUNCTION("googlefinance(E70,""price"")"),143.07)</f>
        <v>143.07</v>
      </c>
      <c r="M70" s="61">
        <v>142.79</v>
      </c>
      <c r="N70" s="24">
        <f t="shared" si="31"/>
        <v>-6.09</v>
      </c>
      <c r="O70" s="25">
        <f t="shared" si="34"/>
        <v>-0.04270581925</v>
      </c>
      <c r="P70" s="19">
        <f t="shared" si="33"/>
        <v>-6370</v>
      </c>
      <c r="Q70" s="62">
        <v>0.04</v>
      </c>
      <c r="R70" s="274"/>
      <c r="S70" s="289"/>
      <c r="T70" s="72"/>
      <c r="U70" s="45"/>
      <c r="V70" s="42" t="s">
        <v>388</v>
      </c>
      <c r="W70" s="67">
        <v>45314.0</v>
      </c>
      <c r="X70" s="39">
        <v>142.79</v>
      </c>
      <c r="Y70" s="68">
        <v>142790.0</v>
      </c>
      <c r="Z70" s="42"/>
      <c r="AA70" s="67"/>
      <c r="AB70" s="39"/>
      <c r="AC70" s="68"/>
    </row>
    <row r="71">
      <c r="A71" s="63"/>
      <c r="B71" s="45"/>
      <c r="C71" s="58">
        <f>I71/E182</f>
        <v>0.01702553558</v>
      </c>
      <c r="D71" s="59" t="s">
        <v>350</v>
      </c>
      <c r="E71" s="59" t="s">
        <v>351</v>
      </c>
      <c r="F71" s="17">
        <v>7.9</v>
      </c>
      <c r="G71" s="60">
        <v>2000.0</v>
      </c>
      <c r="H71" s="19">
        <f t="shared" si="29"/>
        <v>285580</v>
      </c>
      <c r="I71" s="20">
        <f>H71+P71</f>
        <v>356140</v>
      </c>
      <c r="J71" s="61">
        <v>142.79</v>
      </c>
      <c r="K71" s="22">
        <f>IFERROR(__xludf.DUMMYFUNCTION("GOOGLEFINANCE(E71,""changepct"")"),-2.5)</f>
        <v>-2.5</v>
      </c>
      <c r="L71" s="24">
        <f>IFERROR(__xludf.DUMMYFUNCTION("googlefinance(E71,""price"")"),178.07)</f>
        <v>178.07</v>
      </c>
      <c r="M71" s="61"/>
      <c r="N71" s="24">
        <f t="shared" si="31"/>
        <v>35.28</v>
      </c>
      <c r="O71" s="25">
        <f>L71/J71-1</f>
        <v>0.2470761258</v>
      </c>
      <c r="P71" s="19">
        <f t="shared" si="33"/>
        <v>70560</v>
      </c>
      <c r="Q71" s="58"/>
      <c r="R71" s="274"/>
      <c r="S71" s="65"/>
      <c r="T71" s="66">
        <v>7100.0</v>
      </c>
      <c r="U71" s="45"/>
      <c r="V71" s="42"/>
      <c r="W71" s="67"/>
      <c r="X71" s="39"/>
      <c r="Y71" s="68"/>
      <c r="Z71" s="42" t="s">
        <v>351</v>
      </c>
      <c r="AA71" s="67">
        <v>45330.0</v>
      </c>
      <c r="AB71" s="39">
        <v>142.79</v>
      </c>
      <c r="AC71" s="68">
        <v>285580.0</v>
      </c>
    </row>
    <row r="72">
      <c r="A72" s="63"/>
      <c r="B72" s="45"/>
      <c r="C72" s="58">
        <f>I72/E182</f>
        <v>0</v>
      </c>
      <c r="D72" s="59" t="s">
        <v>389</v>
      </c>
      <c r="E72" s="59" t="s">
        <v>390</v>
      </c>
      <c r="F72" s="17">
        <v>7.7</v>
      </c>
      <c r="G72" s="60">
        <v>8000.0</v>
      </c>
      <c r="H72" s="19">
        <f t="shared" si="29"/>
        <v>184160</v>
      </c>
      <c r="I72" s="20">
        <v>0.0</v>
      </c>
      <c r="J72" s="61">
        <v>23.02</v>
      </c>
      <c r="K72" s="22">
        <f>IFERROR(__xludf.DUMMYFUNCTION("GOOGLEFINANCE(E72,""changepct"")"),-1.32)</f>
        <v>-1.32</v>
      </c>
      <c r="L72" s="24">
        <f>IFERROR(__xludf.DUMMYFUNCTION("googlefinance(E72,""price"")"),11.23)</f>
        <v>11.23</v>
      </c>
      <c r="M72" s="61">
        <v>20.7</v>
      </c>
      <c r="N72" s="24">
        <f t="shared" si="31"/>
        <v>-11.79</v>
      </c>
      <c r="O72" s="25">
        <f t="shared" ref="O72:O75" si="35">M72/J72-1</f>
        <v>-0.1007819288</v>
      </c>
      <c r="P72" s="19">
        <f t="shared" si="33"/>
        <v>-18560</v>
      </c>
      <c r="Q72" s="58"/>
      <c r="R72" s="274"/>
      <c r="S72" s="65"/>
      <c r="T72" s="66">
        <v>400.0</v>
      </c>
      <c r="U72" s="45"/>
      <c r="V72" s="42" t="s">
        <v>390</v>
      </c>
      <c r="W72" s="67">
        <v>45362.0</v>
      </c>
      <c r="X72" s="39">
        <v>20.7</v>
      </c>
      <c r="Y72" s="68">
        <v>165600.0</v>
      </c>
      <c r="Z72" s="42" t="s">
        <v>390</v>
      </c>
      <c r="AA72" s="67">
        <v>45314.0</v>
      </c>
      <c r="AB72" s="39">
        <v>23.02</v>
      </c>
      <c r="AC72" s="68">
        <v>184160.0</v>
      </c>
    </row>
    <row r="73">
      <c r="A73" s="63"/>
      <c r="B73" s="45"/>
      <c r="C73" s="58">
        <f>I73/E182</f>
        <v>0</v>
      </c>
      <c r="D73" s="59" t="s">
        <v>391</v>
      </c>
      <c r="E73" s="59" t="s">
        <v>392</v>
      </c>
      <c r="F73" s="17">
        <v>7.6</v>
      </c>
      <c r="G73" s="60">
        <v>5000.0</v>
      </c>
      <c r="H73" s="19">
        <f t="shared" si="29"/>
        <v>129600</v>
      </c>
      <c r="I73" s="20">
        <v>0.0</v>
      </c>
      <c r="J73" s="61">
        <v>25.92</v>
      </c>
      <c r="K73" s="22">
        <f>IFERROR(__xludf.DUMMYFUNCTION("GOOGLEFINANCE(E73,""changepct"")"),-0.52)</f>
        <v>-0.52</v>
      </c>
      <c r="L73" s="24">
        <f>IFERROR(__xludf.DUMMYFUNCTION("googlefinance(E73,""price"")"),22.94)</f>
        <v>22.94</v>
      </c>
      <c r="M73" s="61">
        <v>23.52</v>
      </c>
      <c r="N73" s="24">
        <f t="shared" si="31"/>
        <v>-2.98</v>
      </c>
      <c r="O73" s="25">
        <f t="shared" si="35"/>
        <v>-0.09259259259</v>
      </c>
      <c r="P73" s="19">
        <f t="shared" si="33"/>
        <v>-12000</v>
      </c>
      <c r="Q73" s="62">
        <v>0.052</v>
      </c>
      <c r="R73" s="274"/>
      <c r="S73" s="289"/>
      <c r="T73" s="72"/>
      <c r="U73" s="45"/>
      <c r="V73" s="42" t="s">
        <v>392</v>
      </c>
      <c r="W73" s="67">
        <v>45344.0</v>
      </c>
      <c r="X73" s="39">
        <v>23.52</v>
      </c>
      <c r="Y73" s="68">
        <v>117600.0</v>
      </c>
      <c r="Z73" s="42" t="s">
        <v>392</v>
      </c>
      <c r="AA73" s="67">
        <v>45314.0</v>
      </c>
      <c r="AB73" s="39">
        <v>25.92</v>
      </c>
      <c r="AC73" s="68">
        <v>129600.0</v>
      </c>
    </row>
    <row r="74">
      <c r="A74" s="63"/>
      <c r="B74" s="45"/>
      <c r="C74" s="58">
        <f>I74/E182</f>
        <v>0</v>
      </c>
      <c r="D74" s="59" t="s">
        <v>393</v>
      </c>
      <c r="E74" s="59" t="s">
        <v>394</v>
      </c>
      <c r="F74" s="17">
        <v>7.5</v>
      </c>
      <c r="G74" s="60">
        <v>5000.0</v>
      </c>
      <c r="H74" s="19">
        <f t="shared" si="29"/>
        <v>120800</v>
      </c>
      <c r="I74" s="20">
        <v>0.0</v>
      </c>
      <c r="J74" s="61">
        <v>24.16</v>
      </c>
      <c r="K74" s="22">
        <f>IFERROR(__xludf.DUMMYFUNCTION("GOOGLEFINANCE(E74,""changepct"")"),-0.62)</f>
        <v>-0.62</v>
      </c>
      <c r="L74" s="24">
        <f>IFERROR(__xludf.DUMMYFUNCTION("googlefinance(E74,""price"")"),543.4)</f>
        <v>543.4</v>
      </c>
      <c r="M74" s="61">
        <v>22.89</v>
      </c>
      <c r="N74" s="24">
        <f t="shared" si="31"/>
        <v>519.24</v>
      </c>
      <c r="O74" s="25">
        <f t="shared" si="35"/>
        <v>-0.05256622517</v>
      </c>
      <c r="P74" s="19">
        <f t="shared" si="33"/>
        <v>-6350</v>
      </c>
      <c r="Q74" s="62">
        <v>0.02</v>
      </c>
      <c r="R74" s="274"/>
      <c r="S74" s="289"/>
      <c r="T74" s="72"/>
      <c r="U74" s="45"/>
      <c r="V74" s="42" t="s">
        <v>394</v>
      </c>
      <c r="W74" s="67">
        <v>45302.0</v>
      </c>
      <c r="X74" s="39">
        <v>22.89</v>
      </c>
      <c r="Y74" s="68">
        <v>114450.0</v>
      </c>
      <c r="Z74" s="42"/>
      <c r="AA74" s="67"/>
      <c r="AB74" s="39"/>
      <c r="AC74" s="68"/>
    </row>
    <row r="75">
      <c r="A75" s="63"/>
      <c r="B75" s="45"/>
      <c r="C75" s="58">
        <f>I75/E182</f>
        <v>0</v>
      </c>
      <c r="D75" s="59" t="s">
        <v>395</v>
      </c>
      <c r="E75" s="59" t="s">
        <v>309</v>
      </c>
      <c r="F75" s="17">
        <v>6.5</v>
      </c>
      <c r="G75" s="60">
        <v>10000.0</v>
      </c>
      <c r="H75" s="19">
        <f t="shared" si="29"/>
        <v>202800</v>
      </c>
      <c r="I75" s="20">
        <v>0.0</v>
      </c>
      <c r="J75" s="61">
        <v>20.28</v>
      </c>
      <c r="K75" s="22">
        <f>IFERROR(__xludf.DUMMYFUNCTION("GOOGLEFINANCE(E75,""changepct"")"),0.28)</f>
        <v>0.28</v>
      </c>
      <c r="L75" s="24">
        <f>IFERROR(__xludf.DUMMYFUNCTION("googlefinance(E75,""price"")"),14.51)</f>
        <v>14.51</v>
      </c>
      <c r="M75" s="61">
        <v>17.78</v>
      </c>
      <c r="N75" s="24">
        <f t="shared" si="31"/>
        <v>-5.77</v>
      </c>
      <c r="O75" s="25">
        <f t="shared" si="35"/>
        <v>-0.1232741617</v>
      </c>
      <c r="P75" s="19">
        <f t="shared" si="33"/>
        <v>-25000</v>
      </c>
      <c r="Q75" s="62">
        <v>0.01</v>
      </c>
      <c r="R75" s="274"/>
      <c r="S75" s="289"/>
      <c r="T75" s="72"/>
      <c r="U75" s="45"/>
      <c r="V75" s="42" t="s">
        <v>309</v>
      </c>
      <c r="W75" s="67">
        <v>45327.0</v>
      </c>
      <c r="X75" s="39">
        <v>17.78</v>
      </c>
      <c r="Y75" s="68">
        <v>177800.0</v>
      </c>
      <c r="Z75" s="42"/>
      <c r="AA75" s="67"/>
      <c r="AB75" s="39"/>
      <c r="AC75" s="68"/>
    </row>
    <row r="76">
      <c r="A76" s="63"/>
      <c r="B76" s="45"/>
      <c r="C76" s="58">
        <f>I76/E182</f>
        <v>0.004287218596</v>
      </c>
      <c r="D76" s="16" t="s">
        <v>352</v>
      </c>
      <c r="E76" s="16" t="s">
        <v>97</v>
      </c>
      <c r="F76" s="17">
        <v>7.8</v>
      </c>
      <c r="G76" s="60">
        <v>4000.0</v>
      </c>
      <c r="H76" s="19">
        <f t="shared" si="29"/>
        <v>129840</v>
      </c>
      <c r="I76" s="20">
        <f t="shared" ref="I76:I77" si="36">H76+P76</f>
        <v>89680</v>
      </c>
      <c r="J76" s="61">
        <v>32.46</v>
      </c>
      <c r="K76" s="22">
        <f>IFERROR(__xludf.DUMMYFUNCTION("GOOGLEFINANCE(E76,""changepct"")"),1.49)</f>
        <v>1.49</v>
      </c>
      <c r="L76" s="24">
        <f>IFERROR(__xludf.DUMMYFUNCTION("googlefinance(E76,""price"")"),22.42)</f>
        <v>22.42</v>
      </c>
      <c r="M76" s="61"/>
      <c r="N76" s="24">
        <f t="shared" si="31"/>
        <v>-10.04</v>
      </c>
      <c r="O76" s="25">
        <f t="shared" ref="O76:O77" si="37">L76/J76-1</f>
        <v>-0.3093037585</v>
      </c>
      <c r="P76" s="19">
        <f t="shared" si="33"/>
        <v>-40160</v>
      </c>
      <c r="Q76" s="62">
        <v>0.03</v>
      </c>
      <c r="R76" s="274"/>
      <c r="S76" s="65"/>
      <c r="T76" s="66"/>
      <c r="U76" s="45"/>
      <c r="V76" s="42"/>
      <c r="W76" s="67"/>
      <c r="X76" s="39"/>
      <c r="Y76" s="68"/>
      <c r="Z76" s="42" t="s">
        <v>97</v>
      </c>
      <c r="AA76" s="67">
        <v>45365.0</v>
      </c>
      <c r="AB76" s="39">
        <v>32.46</v>
      </c>
      <c r="AC76" s="68">
        <v>129840.0</v>
      </c>
    </row>
    <row r="77">
      <c r="A77" s="63"/>
      <c r="B77" s="45"/>
      <c r="C77" s="58">
        <f>I77/E182</f>
        <v>0.006430827894</v>
      </c>
      <c r="D77" s="16" t="s">
        <v>352</v>
      </c>
      <c r="E77" s="16" t="s">
        <v>97</v>
      </c>
      <c r="F77" s="17">
        <v>7.8</v>
      </c>
      <c r="G77" s="60">
        <v>6000.0</v>
      </c>
      <c r="H77" s="19">
        <f t="shared" si="29"/>
        <v>187200</v>
      </c>
      <c r="I77" s="20">
        <f t="shared" si="36"/>
        <v>134520</v>
      </c>
      <c r="J77" s="61">
        <v>31.2</v>
      </c>
      <c r="K77" s="22">
        <f>IFERROR(__xludf.DUMMYFUNCTION("GOOGLEFINANCE(E77,""changepct"")"),1.49)</f>
        <v>1.49</v>
      </c>
      <c r="L77" s="24">
        <f>IFERROR(__xludf.DUMMYFUNCTION("googlefinance(E77,""price"")"),22.42)</f>
        <v>22.42</v>
      </c>
      <c r="M77" s="61"/>
      <c r="N77" s="24">
        <f t="shared" si="31"/>
        <v>-8.78</v>
      </c>
      <c r="O77" s="25">
        <f t="shared" si="37"/>
        <v>-0.2814102564</v>
      </c>
      <c r="P77" s="19">
        <f t="shared" si="33"/>
        <v>-52680</v>
      </c>
      <c r="Q77" s="62">
        <v>0.03</v>
      </c>
      <c r="R77" s="274"/>
      <c r="S77" s="65"/>
      <c r="T77" s="66"/>
      <c r="U77" s="45"/>
      <c r="V77" s="42"/>
      <c r="W77" s="67"/>
      <c r="X77" s="39"/>
      <c r="Y77" s="68"/>
      <c r="Z77" s="42" t="s">
        <v>97</v>
      </c>
      <c r="AA77" s="67">
        <v>45362.0</v>
      </c>
      <c r="AB77" s="39">
        <v>31.2</v>
      </c>
      <c r="AC77" s="68">
        <v>187200.0</v>
      </c>
    </row>
    <row r="78">
      <c r="A78" s="63"/>
      <c r="B78" s="45"/>
      <c r="C78" s="58">
        <f>I78/E182</f>
        <v>0</v>
      </c>
      <c r="D78" s="16" t="s">
        <v>352</v>
      </c>
      <c r="E78" s="16" t="s">
        <v>97</v>
      </c>
      <c r="F78" s="17">
        <v>7.8</v>
      </c>
      <c r="G78" s="60">
        <v>5000.0</v>
      </c>
      <c r="H78" s="19">
        <f t="shared" si="29"/>
        <v>179400</v>
      </c>
      <c r="I78" s="20">
        <v>0.0</v>
      </c>
      <c r="J78" s="61">
        <v>35.88</v>
      </c>
      <c r="K78" s="22">
        <f>IFERROR(__xludf.DUMMYFUNCTION("GOOGLEFINANCE(E78,""changepct"")"),1.49)</f>
        <v>1.49</v>
      </c>
      <c r="L78" s="24">
        <f>IFERROR(__xludf.DUMMYFUNCTION("googlefinance(E78,""price"")"),22.42)</f>
        <v>22.42</v>
      </c>
      <c r="M78" s="61">
        <v>31.82</v>
      </c>
      <c r="N78" s="24">
        <f t="shared" si="31"/>
        <v>-13.46</v>
      </c>
      <c r="O78" s="25">
        <f>M78/J78-1</f>
        <v>-0.113154961</v>
      </c>
      <c r="P78" s="19">
        <f t="shared" si="33"/>
        <v>-20300</v>
      </c>
      <c r="Q78" s="62">
        <v>0.03</v>
      </c>
      <c r="R78" s="274"/>
      <c r="S78" s="65"/>
      <c r="T78" s="66"/>
      <c r="U78" s="45"/>
      <c r="V78" s="42" t="s">
        <v>97</v>
      </c>
      <c r="W78" s="67">
        <v>45320.0</v>
      </c>
      <c r="X78" s="39">
        <v>31.82</v>
      </c>
      <c r="Y78" s="68">
        <v>159100.0</v>
      </c>
      <c r="Z78" s="42"/>
      <c r="AA78" s="67"/>
      <c r="AB78" s="39"/>
      <c r="AC78" s="68"/>
    </row>
    <row r="79">
      <c r="A79" s="48"/>
      <c r="B79" s="6"/>
      <c r="C79" s="6" t="s">
        <v>89</v>
      </c>
      <c r="D79" s="6"/>
      <c r="E79" s="6"/>
      <c r="F79" s="6"/>
      <c r="G79" s="69"/>
      <c r="H79" s="49">
        <f t="shared" ref="H79:I79" si="38">SUM(H65:H78)</f>
        <v>2286865</v>
      </c>
      <c r="I79" s="50">
        <f t="shared" si="38"/>
        <v>873685</v>
      </c>
      <c r="J79" s="8"/>
      <c r="K79" s="8"/>
      <c r="L79" s="8"/>
      <c r="M79" s="10"/>
      <c r="N79" s="10"/>
      <c r="O79" s="51">
        <f>P79/H79</f>
        <v>-0.01989841989</v>
      </c>
      <c r="P79" s="263">
        <v>-45505.0</v>
      </c>
      <c r="Q79" s="6"/>
      <c r="R79" s="49">
        <f>SUM(R65:R66)</f>
        <v>0</v>
      </c>
      <c r="S79" s="10"/>
      <c r="T79" s="11">
        <f>SUM(T65:T78)</f>
        <v>24740</v>
      </c>
      <c r="U79" s="6"/>
      <c r="V79" s="6" t="s">
        <v>89</v>
      </c>
      <c r="W79" s="53"/>
      <c r="X79" s="54"/>
      <c r="Y79" s="49">
        <f>SUM(Y65:Y78)</f>
        <v>1122410</v>
      </c>
      <c r="Z79" s="6" t="s">
        <v>89</v>
      </c>
      <c r="AA79" s="53"/>
      <c r="AB79" s="54"/>
      <c r="AC79" s="49">
        <f>SUM(AC65:AC78)</f>
        <v>1014810</v>
      </c>
    </row>
    <row r="80">
      <c r="A80" s="55"/>
      <c r="B80" s="5" t="s">
        <v>396</v>
      </c>
      <c r="C80" s="6" t="s">
        <v>2</v>
      </c>
      <c r="D80" s="6" t="s">
        <v>3</v>
      </c>
      <c r="E80" s="6" t="s">
        <v>4</v>
      </c>
      <c r="F80" s="6" t="s">
        <v>5</v>
      </c>
      <c r="G80" s="6" t="s">
        <v>6</v>
      </c>
      <c r="H80" s="6" t="s">
        <v>7</v>
      </c>
      <c r="I80" s="7" t="s">
        <v>8</v>
      </c>
      <c r="J80" s="7" t="s">
        <v>9</v>
      </c>
      <c r="K80" s="8" t="s">
        <v>10</v>
      </c>
      <c r="L80" s="8" t="s">
        <v>11</v>
      </c>
      <c r="M80" s="9" t="s">
        <v>12</v>
      </c>
      <c r="N80" s="10" t="s">
        <v>13</v>
      </c>
      <c r="O80" s="6" t="s">
        <v>14</v>
      </c>
      <c r="P80" s="10" t="s">
        <v>15</v>
      </c>
      <c r="Q80" s="6" t="s">
        <v>16</v>
      </c>
      <c r="R80" s="6" t="s">
        <v>17</v>
      </c>
      <c r="S80" s="9" t="s">
        <v>18</v>
      </c>
      <c r="T80" s="5" t="s">
        <v>19</v>
      </c>
      <c r="U80" s="5" t="s">
        <v>91</v>
      </c>
      <c r="V80" s="6" t="s">
        <v>21</v>
      </c>
      <c r="W80" s="6" t="s">
        <v>22</v>
      </c>
      <c r="X80" s="12" t="s">
        <v>23</v>
      </c>
      <c r="Y80" s="12" t="s">
        <v>24</v>
      </c>
      <c r="Z80" s="6" t="s">
        <v>25</v>
      </c>
      <c r="AA80" s="6" t="s">
        <v>26</v>
      </c>
      <c r="AB80" s="6" t="s">
        <v>27</v>
      </c>
      <c r="AC80" s="6" t="s">
        <v>28</v>
      </c>
    </row>
    <row r="81">
      <c r="A81" s="82" t="s">
        <v>29</v>
      </c>
      <c r="B81" s="83">
        <f>I105/E182</f>
        <v>0.1041698985</v>
      </c>
      <c r="C81" s="14">
        <f>I81/E182</f>
        <v>0</v>
      </c>
      <c r="D81" s="76" t="s">
        <v>397</v>
      </c>
      <c r="E81" s="15" t="s">
        <v>127</v>
      </c>
      <c r="F81" s="17">
        <v>7.9</v>
      </c>
      <c r="G81" s="18">
        <v>25000.0</v>
      </c>
      <c r="H81" s="19">
        <f t="shared" ref="H81:H104" si="39">G81*J81</f>
        <v>186825</v>
      </c>
      <c r="I81" s="20">
        <v>0.0</v>
      </c>
      <c r="J81" s="21">
        <v>7.473</v>
      </c>
      <c r="K81" s="22">
        <f>IFERROR(__xludf.DUMMYFUNCTION("GOOGLEFINANCE(E81,""changepct"")"),0.19)</f>
        <v>0.19</v>
      </c>
      <c r="L81" s="24">
        <f>IFERROR(__xludf.DUMMYFUNCTION("googlefinance(E81,""price"")"),5.14)</f>
        <v>5.14</v>
      </c>
      <c r="M81" s="21">
        <v>6.09</v>
      </c>
      <c r="N81" s="24">
        <f t="shared" ref="N81:N104" si="40">L81-J81</f>
        <v>-2.333</v>
      </c>
      <c r="O81" s="25">
        <f>M81/J81-1</f>
        <v>-0.1850662385</v>
      </c>
      <c r="P81" s="84">
        <f t="shared" ref="P81:P104" si="41">H81*O81</f>
        <v>-34575</v>
      </c>
      <c r="Q81" s="32"/>
      <c r="R81" s="29"/>
      <c r="S81" s="21"/>
      <c r="T81" s="27"/>
      <c r="U81" s="27"/>
      <c r="V81" s="15" t="s">
        <v>127</v>
      </c>
      <c r="W81" s="41">
        <v>45301.0</v>
      </c>
      <c r="X81" s="21">
        <v>6.09</v>
      </c>
      <c r="Y81" s="20">
        <v>152250.0</v>
      </c>
      <c r="Z81" s="15"/>
      <c r="AA81" s="36"/>
      <c r="AB81" s="37"/>
      <c r="AC81" s="27"/>
    </row>
    <row r="82">
      <c r="A82" s="38"/>
      <c r="B82" s="32"/>
      <c r="C82" s="14">
        <f>I82/E182</f>
        <v>0.00614303735</v>
      </c>
      <c r="D82" s="76" t="s">
        <v>397</v>
      </c>
      <c r="E82" s="15" t="s">
        <v>127</v>
      </c>
      <c r="F82" s="17">
        <v>7.9</v>
      </c>
      <c r="G82" s="18">
        <v>25000.0</v>
      </c>
      <c r="H82" s="19">
        <f t="shared" si="39"/>
        <v>186825</v>
      </c>
      <c r="I82" s="19">
        <f t="shared" ref="I82:I87" si="42">H82+P82</f>
        <v>128500</v>
      </c>
      <c r="J82" s="21">
        <v>7.473</v>
      </c>
      <c r="K82" s="22">
        <f>IFERROR(__xludf.DUMMYFUNCTION("GOOGLEFINANCE(E82,""changepct"")"),0.19)</f>
        <v>0.19</v>
      </c>
      <c r="L82" s="24">
        <f>IFERROR(__xludf.DUMMYFUNCTION("googlefinance(E82,""price"")"),5.14)</f>
        <v>5.14</v>
      </c>
      <c r="M82" s="21"/>
      <c r="N82" s="24">
        <f t="shared" si="40"/>
        <v>-2.333</v>
      </c>
      <c r="O82" s="25">
        <f t="shared" ref="O82:O87" si="43">L82/J82-1</f>
        <v>-0.3121905527</v>
      </c>
      <c r="P82" s="84">
        <f t="shared" si="41"/>
        <v>-58325</v>
      </c>
      <c r="Q82" s="47"/>
      <c r="R82" s="20"/>
      <c r="S82" s="37"/>
      <c r="T82" s="27"/>
      <c r="U82" s="29"/>
      <c r="V82" s="15"/>
      <c r="W82" s="36"/>
      <c r="X82" s="37"/>
      <c r="Y82" s="27"/>
      <c r="Z82" s="15"/>
      <c r="AA82" s="41"/>
      <c r="AB82" s="21"/>
      <c r="AC82" s="20"/>
    </row>
    <row r="83">
      <c r="A83" s="38"/>
      <c r="B83" s="32"/>
      <c r="C83" s="14">
        <f>I83/E182</f>
        <v>0.00614303735</v>
      </c>
      <c r="D83" s="76" t="s">
        <v>397</v>
      </c>
      <c r="E83" s="15" t="s">
        <v>127</v>
      </c>
      <c r="F83" s="17">
        <v>7.9</v>
      </c>
      <c r="G83" s="18">
        <v>25000.0</v>
      </c>
      <c r="H83" s="19">
        <f t="shared" si="39"/>
        <v>134250</v>
      </c>
      <c r="I83" s="19">
        <f t="shared" si="42"/>
        <v>128500</v>
      </c>
      <c r="J83" s="21">
        <v>5.37</v>
      </c>
      <c r="K83" s="22">
        <f>IFERROR(__xludf.DUMMYFUNCTION("GOOGLEFINANCE(E83,""changepct"")"),0.19)</f>
        <v>0.19</v>
      </c>
      <c r="L83" s="24">
        <f>IFERROR(__xludf.DUMMYFUNCTION("googlefinance(E83,""price"")"),5.14)</f>
        <v>5.14</v>
      </c>
      <c r="M83" s="21"/>
      <c r="N83" s="24">
        <f t="shared" si="40"/>
        <v>-0.23</v>
      </c>
      <c r="O83" s="25">
        <f t="shared" si="43"/>
        <v>-0.04283054004</v>
      </c>
      <c r="P83" s="84">
        <f t="shared" si="41"/>
        <v>-5750</v>
      </c>
      <c r="Q83" s="47"/>
      <c r="R83" s="20"/>
      <c r="S83" s="37"/>
      <c r="T83" s="27"/>
      <c r="U83" s="29"/>
      <c r="V83" s="15"/>
      <c r="W83" s="36"/>
      <c r="X83" s="37"/>
      <c r="Y83" s="27"/>
      <c r="Z83" s="15" t="s">
        <v>127</v>
      </c>
      <c r="AA83" s="41">
        <v>45307.0</v>
      </c>
      <c r="AB83" s="21">
        <v>5.37</v>
      </c>
      <c r="AC83" s="20">
        <v>134250.0</v>
      </c>
    </row>
    <row r="84">
      <c r="A84" s="38"/>
      <c r="B84" s="32"/>
      <c r="C84" s="14">
        <f>I84/E182</f>
        <v>0.00491442988</v>
      </c>
      <c r="D84" s="76" t="s">
        <v>397</v>
      </c>
      <c r="E84" s="15" t="s">
        <v>127</v>
      </c>
      <c r="F84" s="17">
        <v>7.9</v>
      </c>
      <c r="G84" s="18">
        <v>20000.0</v>
      </c>
      <c r="H84" s="19">
        <f t="shared" si="39"/>
        <v>105800</v>
      </c>
      <c r="I84" s="19">
        <f t="shared" si="42"/>
        <v>102800</v>
      </c>
      <c r="J84" s="21">
        <v>5.29</v>
      </c>
      <c r="K84" s="22">
        <f>IFERROR(__xludf.DUMMYFUNCTION("GOOGLEFINANCE(E84,""changepct"")"),0.19)</f>
        <v>0.19</v>
      </c>
      <c r="L84" s="24">
        <f>IFERROR(__xludf.DUMMYFUNCTION("googlefinance(E84,""price"")"),5.14)</f>
        <v>5.14</v>
      </c>
      <c r="M84" s="21"/>
      <c r="N84" s="24">
        <f t="shared" si="40"/>
        <v>-0.15</v>
      </c>
      <c r="O84" s="25">
        <f t="shared" si="43"/>
        <v>-0.02835538752</v>
      </c>
      <c r="P84" s="84">
        <f t="shared" si="41"/>
        <v>-3000</v>
      </c>
      <c r="Q84" s="47"/>
      <c r="R84" s="20"/>
      <c r="S84" s="37"/>
      <c r="T84" s="27"/>
      <c r="U84" s="29"/>
      <c r="V84" s="15"/>
      <c r="W84" s="36"/>
      <c r="X84" s="37"/>
      <c r="Y84" s="27"/>
      <c r="Z84" s="15" t="s">
        <v>127</v>
      </c>
      <c r="AA84" s="41">
        <v>45313.0</v>
      </c>
      <c r="AB84" s="21">
        <v>5.29</v>
      </c>
      <c r="AC84" s="20">
        <v>105800.0</v>
      </c>
    </row>
    <row r="85">
      <c r="A85" s="38"/>
      <c r="B85" s="32"/>
      <c r="C85" s="14">
        <f>I85/E182</f>
        <v>0.00491442988</v>
      </c>
      <c r="D85" s="76" t="s">
        <v>397</v>
      </c>
      <c r="E85" s="15" t="s">
        <v>127</v>
      </c>
      <c r="F85" s="17">
        <v>7.9</v>
      </c>
      <c r="G85" s="18">
        <v>20000.0</v>
      </c>
      <c r="H85" s="19">
        <f t="shared" si="39"/>
        <v>107600</v>
      </c>
      <c r="I85" s="19">
        <f t="shared" si="42"/>
        <v>102800</v>
      </c>
      <c r="J85" s="21">
        <v>5.38</v>
      </c>
      <c r="K85" s="22">
        <f>IFERROR(__xludf.DUMMYFUNCTION("GOOGLEFINANCE(E85,""changepct"")"),0.19)</f>
        <v>0.19</v>
      </c>
      <c r="L85" s="24">
        <f>IFERROR(__xludf.DUMMYFUNCTION("googlefinance(E85,""price"")"),5.14)</f>
        <v>5.14</v>
      </c>
      <c r="M85" s="21"/>
      <c r="N85" s="24">
        <f t="shared" si="40"/>
        <v>-0.24</v>
      </c>
      <c r="O85" s="25">
        <f t="shared" si="43"/>
        <v>-0.04460966543</v>
      </c>
      <c r="P85" s="84">
        <f t="shared" si="41"/>
        <v>-4800</v>
      </c>
      <c r="Q85" s="47"/>
      <c r="R85" s="20"/>
      <c r="S85" s="37"/>
      <c r="T85" s="27"/>
      <c r="U85" s="29"/>
      <c r="V85" s="15"/>
      <c r="W85" s="36"/>
      <c r="X85" s="37"/>
      <c r="Y85" s="27"/>
      <c r="Z85" s="15" t="s">
        <v>127</v>
      </c>
      <c r="AA85" s="41">
        <v>45351.0</v>
      </c>
      <c r="AB85" s="21">
        <v>5.38</v>
      </c>
      <c r="AC85" s="20">
        <v>107600.0</v>
      </c>
    </row>
    <row r="86">
      <c r="A86" s="38"/>
      <c r="B86" s="32"/>
      <c r="C86" s="14">
        <f>I86/E182</f>
        <v>0.00245721494</v>
      </c>
      <c r="D86" s="76" t="s">
        <v>397</v>
      </c>
      <c r="E86" s="15" t="s">
        <v>127</v>
      </c>
      <c r="F86" s="17">
        <v>7.9</v>
      </c>
      <c r="G86" s="18">
        <v>10000.0</v>
      </c>
      <c r="H86" s="19">
        <f t="shared" si="39"/>
        <v>49500</v>
      </c>
      <c r="I86" s="19">
        <f t="shared" si="42"/>
        <v>51400</v>
      </c>
      <c r="J86" s="21">
        <v>4.95</v>
      </c>
      <c r="K86" s="22">
        <f>IFERROR(__xludf.DUMMYFUNCTION("GOOGLEFINANCE(E86,""changepct"")"),0.19)</f>
        <v>0.19</v>
      </c>
      <c r="L86" s="24">
        <f>IFERROR(__xludf.DUMMYFUNCTION("googlefinance(E86,""price"")"),5.14)</f>
        <v>5.14</v>
      </c>
      <c r="M86" s="21"/>
      <c r="N86" s="24">
        <f t="shared" si="40"/>
        <v>0.19</v>
      </c>
      <c r="O86" s="25">
        <f t="shared" si="43"/>
        <v>0.03838383838</v>
      </c>
      <c r="P86" s="84">
        <f t="shared" si="41"/>
        <v>1900</v>
      </c>
      <c r="Q86" s="47"/>
      <c r="R86" s="20"/>
      <c r="S86" s="37"/>
      <c r="T86" s="27"/>
      <c r="U86" s="29"/>
      <c r="V86" s="15"/>
      <c r="W86" s="36"/>
      <c r="X86" s="37"/>
      <c r="Y86" s="27"/>
      <c r="Z86" s="15" t="s">
        <v>127</v>
      </c>
      <c r="AA86" s="41">
        <v>45349.0</v>
      </c>
      <c r="AB86" s="21">
        <v>4.95</v>
      </c>
      <c r="AC86" s="20">
        <v>49500.0</v>
      </c>
    </row>
    <row r="87">
      <c r="A87" s="38"/>
      <c r="B87" s="32"/>
      <c r="C87" s="14">
        <f>I87/E182</f>
        <v>0.0122860747</v>
      </c>
      <c r="D87" s="76" t="s">
        <v>398</v>
      </c>
      <c r="E87" s="15" t="s">
        <v>127</v>
      </c>
      <c r="F87" s="17">
        <v>7.9</v>
      </c>
      <c r="G87" s="18">
        <v>50000.0</v>
      </c>
      <c r="H87" s="19">
        <f t="shared" si="39"/>
        <v>249500</v>
      </c>
      <c r="I87" s="19">
        <f t="shared" si="42"/>
        <v>257000</v>
      </c>
      <c r="J87" s="21">
        <v>4.99</v>
      </c>
      <c r="K87" s="22">
        <f>IFERROR(__xludf.DUMMYFUNCTION("GOOGLEFINANCE(E87,""changepct"")"),0.19)</f>
        <v>0.19</v>
      </c>
      <c r="L87" s="24">
        <f>IFERROR(__xludf.DUMMYFUNCTION("googlefinance(E87,""price"")"),5.14)</f>
        <v>5.14</v>
      </c>
      <c r="M87" s="21"/>
      <c r="N87" s="24">
        <f t="shared" si="40"/>
        <v>0.15</v>
      </c>
      <c r="O87" s="25">
        <f t="shared" si="43"/>
        <v>0.03006012024</v>
      </c>
      <c r="P87" s="84">
        <f t="shared" si="41"/>
        <v>7500</v>
      </c>
      <c r="Q87" s="47"/>
      <c r="R87" s="20"/>
      <c r="S87" s="37"/>
      <c r="T87" s="27"/>
      <c r="U87" s="29"/>
      <c r="V87" s="15"/>
      <c r="W87" s="36"/>
      <c r="X87" s="37"/>
      <c r="Y87" s="27"/>
      <c r="Z87" s="15" t="s">
        <v>127</v>
      </c>
      <c r="AA87" s="41">
        <v>45356.0</v>
      </c>
      <c r="AB87" s="21">
        <v>4.99</v>
      </c>
      <c r="AC87" s="20">
        <v>249500.0</v>
      </c>
    </row>
    <row r="88">
      <c r="A88" s="38"/>
      <c r="B88" s="32"/>
      <c r="C88" s="14">
        <f>I88/E182</f>
        <v>0</v>
      </c>
      <c r="D88" s="76" t="s">
        <v>397</v>
      </c>
      <c r="E88" s="15" t="s">
        <v>127</v>
      </c>
      <c r="F88" s="17">
        <v>7.9</v>
      </c>
      <c r="G88" s="18">
        <v>22180.0</v>
      </c>
      <c r="H88" s="19">
        <f t="shared" si="39"/>
        <v>165684.6</v>
      </c>
      <c r="I88" s="20">
        <v>0.0</v>
      </c>
      <c r="J88" s="21">
        <v>7.47</v>
      </c>
      <c r="K88" s="22">
        <f>IFERROR(__xludf.DUMMYFUNCTION("GOOGLEFINANCE(E88,""changepct"")"),0.19)</f>
        <v>0.19</v>
      </c>
      <c r="L88" s="24">
        <f>IFERROR(__xludf.DUMMYFUNCTION("googlefinance(E88,""price"")"),5.14)</f>
        <v>5.14</v>
      </c>
      <c r="M88" s="21">
        <v>7.08</v>
      </c>
      <c r="N88" s="24">
        <f t="shared" si="40"/>
        <v>-2.33</v>
      </c>
      <c r="O88" s="25">
        <f>M88/J88-1</f>
        <v>-0.05220883534</v>
      </c>
      <c r="P88" s="84">
        <f t="shared" si="41"/>
        <v>-8650.2</v>
      </c>
      <c r="Q88" s="47"/>
      <c r="R88" s="20"/>
      <c r="S88" s="37"/>
      <c r="T88" s="27"/>
      <c r="U88" s="29"/>
      <c r="V88" s="15" t="s">
        <v>127</v>
      </c>
      <c r="W88" s="36">
        <v>45296.0</v>
      </c>
      <c r="X88" s="37">
        <v>7.08</v>
      </c>
      <c r="Y88" s="27">
        <v>157034.0</v>
      </c>
      <c r="Z88" s="15"/>
      <c r="AA88" s="41"/>
      <c r="AB88" s="21"/>
      <c r="AC88" s="20"/>
    </row>
    <row r="89">
      <c r="A89" s="38"/>
      <c r="B89" s="32"/>
      <c r="C89" s="14">
        <f>I89/E182</f>
        <v>0.001577589358</v>
      </c>
      <c r="D89" s="76" t="s">
        <v>143</v>
      </c>
      <c r="E89" s="15" t="s">
        <v>144</v>
      </c>
      <c r="F89" s="17">
        <v>7.7</v>
      </c>
      <c r="G89" s="18">
        <v>11000.0</v>
      </c>
      <c r="H89" s="19">
        <f t="shared" si="39"/>
        <v>42460</v>
      </c>
      <c r="I89" s="19">
        <f t="shared" ref="I89:I92" si="44">H89+P89</f>
        <v>33000</v>
      </c>
      <c r="J89" s="21">
        <v>3.86</v>
      </c>
      <c r="K89" s="22">
        <f>IFERROR(__xludf.DUMMYFUNCTION("GOOGLEFINANCE(E89,""changepct"")"),-2.91)</f>
        <v>-2.91</v>
      </c>
      <c r="L89" s="24">
        <f>IFERROR(__xludf.DUMMYFUNCTION("googlefinance(E89,""price"")"),3.0)</f>
        <v>3</v>
      </c>
      <c r="M89" s="21"/>
      <c r="N89" s="24">
        <f t="shared" si="40"/>
        <v>-0.86</v>
      </c>
      <c r="O89" s="25">
        <f t="shared" ref="O89:O92" si="45">L89/J89-1</f>
        <v>-0.2227979275</v>
      </c>
      <c r="P89" s="84">
        <f t="shared" si="41"/>
        <v>-9460</v>
      </c>
      <c r="Q89" s="47"/>
      <c r="R89" s="20"/>
      <c r="S89" s="37"/>
      <c r="T89" s="27"/>
      <c r="U89" s="29"/>
      <c r="V89" s="15"/>
      <c r="W89" s="36"/>
      <c r="X89" s="37"/>
      <c r="Y89" s="27"/>
      <c r="Z89" s="15" t="s">
        <v>144</v>
      </c>
      <c r="AA89" s="41">
        <v>45327.0</v>
      </c>
      <c r="AB89" s="21">
        <v>3.86</v>
      </c>
      <c r="AC89" s="20">
        <v>42460.0</v>
      </c>
    </row>
    <row r="90">
      <c r="A90" s="38"/>
      <c r="B90" s="32"/>
      <c r="C90" s="14">
        <f>I90/E182</f>
        <v>0.004876185289</v>
      </c>
      <c r="D90" s="76" t="s">
        <v>143</v>
      </c>
      <c r="E90" s="15" t="s">
        <v>144</v>
      </c>
      <c r="F90" s="17">
        <v>7.7</v>
      </c>
      <c r="G90" s="18">
        <v>34000.0</v>
      </c>
      <c r="H90" s="19">
        <f t="shared" si="39"/>
        <v>158440</v>
      </c>
      <c r="I90" s="19">
        <f t="shared" si="44"/>
        <v>102000</v>
      </c>
      <c r="J90" s="21">
        <v>4.66</v>
      </c>
      <c r="K90" s="22">
        <f>IFERROR(__xludf.DUMMYFUNCTION("GOOGLEFINANCE(E90,""changepct"")"),-2.91)</f>
        <v>-2.91</v>
      </c>
      <c r="L90" s="24">
        <f>IFERROR(__xludf.DUMMYFUNCTION("googlefinance(E90,""price"")"),3.0)</f>
        <v>3</v>
      </c>
      <c r="M90" s="21"/>
      <c r="N90" s="24">
        <f t="shared" si="40"/>
        <v>-1.66</v>
      </c>
      <c r="O90" s="25">
        <f t="shared" si="45"/>
        <v>-0.356223176</v>
      </c>
      <c r="P90" s="84">
        <f t="shared" si="41"/>
        <v>-56440</v>
      </c>
      <c r="Q90" s="47"/>
      <c r="R90" s="20"/>
      <c r="S90" s="37"/>
      <c r="T90" s="27"/>
      <c r="U90" s="29"/>
      <c r="V90" s="15"/>
      <c r="W90" s="36"/>
      <c r="X90" s="37"/>
      <c r="Y90" s="27"/>
      <c r="Z90" s="15" t="s">
        <v>144</v>
      </c>
      <c r="AA90" s="41">
        <v>45320.0</v>
      </c>
      <c r="AB90" s="21">
        <v>4.66</v>
      </c>
      <c r="AC90" s="20">
        <v>158440.0</v>
      </c>
    </row>
    <row r="91">
      <c r="A91" s="38"/>
      <c r="B91" s="32"/>
      <c r="C91" s="14">
        <f>I91/E182</f>
        <v>0.001434172144</v>
      </c>
      <c r="D91" s="76" t="s">
        <v>143</v>
      </c>
      <c r="E91" s="15" t="s">
        <v>144</v>
      </c>
      <c r="F91" s="17">
        <v>7.7</v>
      </c>
      <c r="G91" s="18">
        <v>10000.0</v>
      </c>
      <c r="H91" s="19">
        <f t="shared" si="39"/>
        <v>43900</v>
      </c>
      <c r="I91" s="19">
        <f t="shared" si="44"/>
        <v>30000</v>
      </c>
      <c r="J91" s="21">
        <v>4.39</v>
      </c>
      <c r="K91" s="22">
        <f>IFERROR(__xludf.DUMMYFUNCTION("GOOGLEFINANCE(E91,""changepct"")"),-2.91)</f>
        <v>-2.91</v>
      </c>
      <c r="L91" s="24">
        <f>IFERROR(__xludf.DUMMYFUNCTION("googlefinance(E91,""price"")"),3.0)</f>
        <v>3</v>
      </c>
      <c r="M91" s="21"/>
      <c r="N91" s="24">
        <f t="shared" si="40"/>
        <v>-1.39</v>
      </c>
      <c r="O91" s="25">
        <f t="shared" si="45"/>
        <v>-0.3166287016</v>
      </c>
      <c r="P91" s="84">
        <f t="shared" si="41"/>
        <v>-13900</v>
      </c>
      <c r="Q91" s="47"/>
      <c r="R91" s="20"/>
      <c r="S91" s="37"/>
      <c r="T91" s="27"/>
      <c r="U91" s="29"/>
      <c r="V91" s="15"/>
      <c r="W91" s="36"/>
      <c r="X91" s="37"/>
      <c r="Y91" s="27"/>
      <c r="Z91" s="15" t="s">
        <v>144</v>
      </c>
      <c r="AA91" s="41">
        <v>45334.0</v>
      </c>
      <c r="AB91" s="21">
        <v>4.39</v>
      </c>
      <c r="AC91" s="20">
        <v>43900.0</v>
      </c>
    </row>
    <row r="92">
      <c r="A92" s="38"/>
      <c r="B92" s="32"/>
      <c r="C92" s="14">
        <f>I92/E182</f>
        <v>0.002868344288</v>
      </c>
      <c r="D92" s="76" t="s">
        <v>143</v>
      </c>
      <c r="E92" s="15" t="s">
        <v>144</v>
      </c>
      <c r="F92" s="17">
        <v>7.7</v>
      </c>
      <c r="G92" s="18">
        <v>20000.0</v>
      </c>
      <c r="H92" s="19">
        <f t="shared" si="39"/>
        <v>84000</v>
      </c>
      <c r="I92" s="19">
        <f t="shared" si="44"/>
        <v>60000</v>
      </c>
      <c r="J92" s="21">
        <v>4.2</v>
      </c>
      <c r="K92" s="22">
        <f>IFERROR(__xludf.DUMMYFUNCTION("GOOGLEFINANCE(E92,""changepct"")"),-2.91)</f>
        <v>-2.91</v>
      </c>
      <c r="L92" s="24">
        <f>IFERROR(__xludf.DUMMYFUNCTION("googlefinance(E92,""price"")"),3.0)</f>
        <v>3</v>
      </c>
      <c r="M92" s="21"/>
      <c r="N92" s="24">
        <f t="shared" si="40"/>
        <v>-1.2</v>
      </c>
      <c r="O92" s="25">
        <f t="shared" si="45"/>
        <v>-0.2857142857</v>
      </c>
      <c r="P92" s="84">
        <f t="shared" si="41"/>
        <v>-24000</v>
      </c>
      <c r="Q92" s="47"/>
      <c r="R92" s="20"/>
      <c r="S92" s="37" t="s">
        <v>399</v>
      </c>
      <c r="T92" s="27">
        <v>26000.0</v>
      </c>
      <c r="U92" s="29"/>
      <c r="V92" s="15"/>
      <c r="W92" s="36"/>
      <c r="X92" s="37"/>
      <c r="Y92" s="27"/>
      <c r="Z92" s="15" t="s">
        <v>144</v>
      </c>
      <c r="AA92" s="41">
        <v>45335.0</v>
      </c>
      <c r="AB92" s="21">
        <v>4.2</v>
      </c>
      <c r="AC92" s="20">
        <v>84000.0</v>
      </c>
    </row>
    <row r="93">
      <c r="A93" s="38"/>
      <c r="B93" s="32"/>
      <c r="C93" s="14">
        <f>I93/E182</f>
        <v>0</v>
      </c>
      <c r="D93" s="76" t="s">
        <v>143</v>
      </c>
      <c r="E93" s="15" t="s">
        <v>144</v>
      </c>
      <c r="F93" s="17">
        <v>7.7</v>
      </c>
      <c r="G93" s="18">
        <v>25000.0</v>
      </c>
      <c r="H93" s="19">
        <f t="shared" si="39"/>
        <v>110250</v>
      </c>
      <c r="I93" s="20">
        <v>0.0</v>
      </c>
      <c r="J93" s="21">
        <v>4.41</v>
      </c>
      <c r="K93" s="22">
        <f>IFERROR(__xludf.DUMMYFUNCTION("GOOGLEFINANCE(E93,""changepct"")"),-2.91)</f>
        <v>-2.91</v>
      </c>
      <c r="L93" s="24">
        <f>IFERROR(__xludf.DUMMYFUNCTION("googlefinance(E93,""price"")"),3.0)</f>
        <v>3</v>
      </c>
      <c r="M93" s="21">
        <v>7.45</v>
      </c>
      <c r="N93" s="24">
        <f t="shared" si="40"/>
        <v>-1.41</v>
      </c>
      <c r="O93" s="25">
        <f>M93/J93-1</f>
        <v>0.6893424036</v>
      </c>
      <c r="P93" s="84">
        <f t="shared" si="41"/>
        <v>76000</v>
      </c>
      <c r="Q93" s="47"/>
      <c r="R93" s="20"/>
      <c r="S93" s="37"/>
      <c r="T93" s="27"/>
      <c r="U93" s="29"/>
      <c r="V93" s="15" t="s">
        <v>144</v>
      </c>
      <c r="W93" s="36">
        <v>45365.0</v>
      </c>
      <c r="X93" s="37">
        <v>7.45</v>
      </c>
      <c r="Y93" s="27">
        <v>186250.0</v>
      </c>
      <c r="Z93" s="15" t="s">
        <v>144</v>
      </c>
      <c r="AA93" s="41">
        <v>45336.0</v>
      </c>
      <c r="AB93" s="21">
        <v>4.41</v>
      </c>
      <c r="AC93" s="20">
        <v>110250.0</v>
      </c>
    </row>
    <row r="94">
      <c r="A94" s="38"/>
      <c r="B94" s="32"/>
      <c r="C94" s="14">
        <f>I94/E182</f>
        <v>0.006973901079</v>
      </c>
      <c r="D94" s="76" t="s">
        <v>145</v>
      </c>
      <c r="E94" s="15" t="s">
        <v>146</v>
      </c>
      <c r="F94" s="17">
        <v>7.8</v>
      </c>
      <c r="G94" s="18">
        <v>4000.0</v>
      </c>
      <c r="H94" s="19">
        <f t="shared" si="39"/>
        <v>175000</v>
      </c>
      <c r="I94" s="19">
        <f t="shared" ref="I94:I95" si="46">H94+P94</f>
        <v>145880</v>
      </c>
      <c r="J94" s="21">
        <v>43.75</v>
      </c>
      <c r="K94" s="22">
        <f>IFERROR(__xludf.DUMMYFUNCTION("GOOGLEFINANCE(E94,""changepct"")"),-2.33)</f>
        <v>-2.33</v>
      </c>
      <c r="L94" s="24">
        <f>IFERROR(__xludf.DUMMYFUNCTION("googlefinance(E94,""price"")"),36.47)</f>
        <v>36.47</v>
      </c>
      <c r="M94" s="21"/>
      <c r="N94" s="24">
        <f t="shared" si="40"/>
        <v>-7.28</v>
      </c>
      <c r="O94" s="25">
        <f t="shared" ref="O94:O95" si="47">L94/J94-1</f>
        <v>-0.1664</v>
      </c>
      <c r="P94" s="84">
        <f t="shared" si="41"/>
        <v>-29120</v>
      </c>
      <c r="Q94" s="47"/>
      <c r="R94" s="20"/>
      <c r="S94" s="37"/>
      <c r="T94" s="27"/>
      <c r="U94" s="29"/>
      <c r="V94" s="15"/>
      <c r="W94" s="36"/>
      <c r="X94" s="37"/>
      <c r="Y94" s="27"/>
      <c r="Z94" s="15" t="s">
        <v>146</v>
      </c>
      <c r="AA94" s="41">
        <v>45348.0</v>
      </c>
      <c r="AB94" s="21">
        <v>43.75</v>
      </c>
      <c r="AC94" s="20">
        <v>175000.0</v>
      </c>
    </row>
    <row r="95">
      <c r="A95" s="38"/>
      <c r="B95" s="32"/>
      <c r="C95" s="14">
        <f>I95/E182</f>
        <v>0.01046085162</v>
      </c>
      <c r="D95" s="76" t="s">
        <v>145</v>
      </c>
      <c r="E95" s="15" t="s">
        <v>146</v>
      </c>
      <c r="F95" s="17">
        <v>7.8</v>
      </c>
      <c r="G95" s="18">
        <v>6000.0</v>
      </c>
      <c r="H95" s="19">
        <f t="shared" si="39"/>
        <v>270480</v>
      </c>
      <c r="I95" s="19">
        <f t="shared" si="46"/>
        <v>218820</v>
      </c>
      <c r="J95" s="21">
        <v>45.08</v>
      </c>
      <c r="K95" s="22">
        <f>IFERROR(__xludf.DUMMYFUNCTION("GOOGLEFINANCE(E95,""changepct"")"),-2.33)</f>
        <v>-2.33</v>
      </c>
      <c r="L95" s="24">
        <f>IFERROR(__xludf.DUMMYFUNCTION("googlefinance(E95,""price"")"),36.47)</f>
        <v>36.47</v>
      </c>
      <c r="M95" s="21"/>
      <c r="N95" s="24">
        <f t="shared" si="40"/>
        <v>-8.61</v>
      </c>
      <c r="O95" s="25">
        <f t="shared" si="47"/>
        <v>-0.1909937888</v>
      </c>
      <c r="P95" s="84">
        <f t="shared" si="41"/>
        <v>-51660</v>
      </c>
      <c r="Q95" s="47"/>
      <c r="R95" s="20"/>
      <c r="S95" s="37"/>
      <c r="T95" s="27"/>
      <c r="U95" s="29"/>
      <c r="V95" s="15"/>
      <c r="W95" s="36"/>
      <c r="X95" s="37"/>
      <c r="Y95" s="27"/>
      <c r="Z95" s="15" t="s">
        <v>146</v>
      </c>
      <c r="AA95" s="41">
        <v>45356.0</v>
      </c>
      <c r="AB95" s="21">
        <v>45.08</v>
      </c>
      <c r="AC95" s="20">
        <v>270480.0</v>
      </c>
    </row>
    <row r="96">
      <c r="A96" s="38"/>
      <c r="B96" s="32"/>
      <c r="C96" s="14">
        <f>I96/E182</f>
        <v>0</v>
      </c>
      <c r="D96" s="76" t="s">
        <v>400</v>
      </c>
      <c r="E96" s="15" t="s">
        <v>136</v>
      </c>
      <c r="F96" s="17">
        <v>7.8</v>
      </c>
      <c r="G96" s="18">
        <v>4500.0</v>
      </c>
      <c r="H96" s="19">
        <f t="shared" si="39"/>
        <v>181620</v>
      </c>
      <c r="I96" s="20">
        <v>0.0</v>
      </c>
      <c r="J96" s="21">
        <v>40.36</v>
      </c>
      <c r="K96" s="22">
        <f>IFERROR(__xludf.DUMMYFUNCTION("GOOGLEFINANCE(E96,""changepct"")"),-2.21)</f>
        <v>-2.21</v>
      </c>
      <c r="L96" s="24">
        <f>IFERROR(__xludf.DUMMYFUNCTION("googlefinance(E96,""price"")"),51.33)</f>
        <v>51.33</v>
      </c>
      <c r="M96" s="21">
        <v>42.25</v>
      </c>
      <c r="N96" s="24">
        <f t="shared" si="40"/>
        <v>10.97</v>
      </c>
      <c r="O96" s="25">
        <f t="shared" ref="O96:O97" si="48">M96/J96-1</f>
        <v>0.04682854311</v>
      </c>
      <c r="P96" s="84">
        <f t="shared" si="41"/>
        <v>8505</v>
      </c>
      <c r="Q96" s="47"/>
      <c r="R96" s="20"/>
      <c r="S96" s="37"/>
      <c r="T96" s="27"/>
      <c r="U96" s="29"/>
      <c r="V96" s="15" t="s">
        <v>136</v>
      </c>
      <c r="W96" s="36">
        <v>45376.0</v>
      </c>
      <c r="X96" s="37">
        <v>42.25</v>
      </c>
      <c r="Y96" s="27">
        <v>190125.0</v>
      </c>
      <c r="Z96" s="15" t="s">
        <v>136</v>
      </c>
      <c r="AA96" s="41">
        <v>45348.0</v>
      </c>
      <c r="AB96" s="21">
        <v>40.36</v>
      </c>
      <c r="AC96" s="20">
        <v>181620.0</v>
      </c>
    </row>
    <row r="97">
      <c r="A97" s="38"/>
      <c r="B97" s="32"/>
      <c r="C97" s="14">
        <f>I97/E182</f>
        <v>0</v>
      </c>
      <c r="D97" s="76" t="s">
        <v>131</v>
      </c>
      <c r="E97" s="15" t="s">
        <v>132</v>
      </c>
      <c r="F97" s="17">
        <v>7.7</v>
      </c>
      <c r="G97" s="18">
        <v>5500.0</v>
      </c>
      <c r="H97" s="19">
        <f t="shared" si="39"/>
        <v>173635</v>
      </c>
      <c r="I97" s="20">
        <v>0.0</v>
      </c>
      <c r="J97" s="21">
        <v>31.57</v>
      </c>
      <c r="K97" s="22">
        <f>IFERROR(__xludf.DUMMYFUNCTION("GOOGLEFINANCE(E97,""changepct"")"),0.54)</f>
        <v>0.54</v>
      </c>
      <c r="L97" s="24">
        <f>IFERROR(__xludf.DUMMYFUNCTION("googlefinance(E97,""price"")"),24.0)</f>
        <v>24</v>
      </c>
      <c r="M97" s="21">
        <v>31.45</v>
      </c>
      <c r="N97" s="24">
        <f t="shared" si="40"/>
        <v>-7.57</v>
      </c>
      <c r="O97" s="25">
        <f t="shared" si="48"/>
        <v>-0.003801076972</v>
      </c>
      <c r="P97" s="84">
        <f t="shared" si="41"/>
        <v>-660</v>
      </c>
      <c r="Q97" s="47">
        <v>0.026</v>
      </c>
      <c r="R97" s="20"/>
      <c r="S97" s="37"/>
      <c r="T97" s="27"/>
      <c r="U97" s="29"/>
      <c r="V97" s="15" t="s">
        <v>132</v>
      </c>
      <c r="W97" s="36">
        <v>45376.0</v>
      </c>
      <c r="X97" s="37">
        <v>31.45</v>
      </c>
      <c r="Y97" s="27">
        <v>172975.0</v>
      </c>
      <c r="Z97" s="15" t="s">
        <v>132</v>
      </c>
      <c r="AA97" s="41">
        <v>45348.0</v>
      </c>
      <c r="AB97" s="21">
        <v>31.57</v>
      </c>
      <c r="AC97" s="20">
        <v>173635.0</v>
      </c>
    </row>
    <row r="98">
      <c r="A98" s="38"/>
      <c r="B98" s="32"/>
      <c r="C98" s="14">
        <f>I98/E182</f>
        <v>0.01647194513</v>
      </c>
      <c r="D98" s="76" t="s">
        <v>147</v>
      </c>
      <c r="E98" s="15" t="s">
        <v>148</v>
      </c>
      <c r="F98" s="17">
        <v>7.9</v>
      </c>
      <c r="G98" s="18">
        <v>4000.0</v>
      </c>
      <c r="H98" s="19">
        <f t="shared" si="39"/>
        <v>577920</v>
      </c>
      <c r="I98" s="19">
        <f>H98+P98</f>
        <v>344560</v>
      </c>
      <c r="J98" s="21">
        <v>144.48</v>
      </c>
      <c r="K98" s="22">
        <f>IFERROR(__xludf.DUMMYFUNCTION("GOOGLEFINANCE(E98,""changepct"")"),-2.44)</f>
        <v>-2.44</v>
      </c>
      <c r="L98" s="24">
        <f>IFERROR(__xludf.DUMMYFUNCTION("googlefinance(E98,""price"")"),86.14)</f>
        <v>86.14</v>
      </c>
      <c r="M98" s="21"/>
      <c r="N98" s="24">
        <f t="shared" si="40"/>
        <v>-58.34</v>
      </c>
      <c r="O98" s="25">
        <f>L98/J98-1</f>
        <v>-0.4037929125</v>
      </c>
      <c r="P98" s="84">
        <f t="shared" si="41"/>
        <v>-233360</v>
      </c>
      <c r="Q98" s="47">
        <v>0.01</v>
      </c>
      <c r="R98" s="20">
        <v>1600.0</v>
      </c>
      <c r="S98" s="37"/>
      <c r="T98" s="27">
        <v>5810.0</v>
      </c>
      <c r="U98" s="29"/>
      <c r="V98" s="15"/>
      <c r="W98" s="36"/>
      <c r="X98" s="37"/>
      <c r="Y98" s="27"/>
      <c r="Z98" s="15"/>
      <c r="AA98" s="41"/>
      <c r="AB98" s="21"/>
      <c r="AC98" s="20"/>
    </row>
    <row r="99">
      <c r="A99" s="38"/>
      <c r="B99" s="32"/>
      <c r="C99" s="14">
        <f>I99/E182</f>
        <v>0</v>
      </c>
      <c r="D99" s="15" t="s">
        <v>354</v>
      </c>
      <c r="E99" s="15" t="s">
        <v>355</v>
      </c>
      <c r="F99" s="17">
        <v>7.8</v>
      </c>
      <c r="G99" s="18">
        <v>1000.0</v>
      </c>
      <c r="H99" s="19">
        <f t="shared" si="39"/>
        <v>200530</v>
      </c>
      <c r="I99" s="20">
        <v>0.0</v>
      </c>
      <c r="J99" s="21">
        <v>200.53</v>
      </c>
      <c r="K99" s="22">
        <f>IFERROR(__xludf.DUMMYFUNCTION("GOOGLEFINANCE(E99,""changepct"")"),-2.31)</f>
        <v>-2.31</v>
      </c>
      <c r="L99" s="24">
        <f>IFERROR(__xludf.DUMMYFUNCTION("googlefinance(E99,""price"")"),176.55)</f>
        <v>176.55</v>
      </c>
      <c r="M99" s="21">
        <v>180.7</v>
      </c>
      <c r="N99" s="24">
        <f t="shared" si="40"/>
        <v>-23.98</v>
      </c>
      <c r="O99" s="25">
        <f>M99/J99-1</f>
        <v>-0.09888794694</v>
      </c>
      <c r="P99" s="84">
        <f t="shared" si="41"/>
        <v>-19830</v>
      </c>
      <c r="Q99" s="261" t="s">
        <v>128</v>
      </c>
      <c r="R99" s="20"/>
      <c r="S99" s="37"/>
      <c r="T99" s="27"/>
      <c r="U99" s="27"/>
      <c r="V99" s="15" t="s">
        <v>355</v>
      </c>
      <c r="W99" s="36">
        <v>45370.0</v>
      </c>
      <c r="X99" s="37">
        <v>180.7</v>
      </c>
      <c r="Y99" s="27">
        <v>180700.0</v>
      </c>
      <c r="Z99" s="15" t="s">
        <v>355</v>
      </c>
      <c r="AA99" s="41">
        <v>45352.0</v>
      </c>
      <c r="AB99" s="21">
        <v>200.53</v>
      </c>
      <c r="AC99" s="20">
        <v>200530.0</v>
      </c>
    </row>
    <row r="100">
      <c r="A100" s="38"/>
      <c r="B100" s="32"/>
      <c r="C100" s="14">
        <f>I100/E182</f>
        <v>0.0126601546</v>
      </c>
      <c r="D100" s="15" t="s">
        <v>354</v>
      </c>
      <c r="E100" s="15" t="s">
        <v>355</v>
      </c>
      <c r="F100" s="17">
        <v>7.8</v>
      </c>
      <c r="G100" s="18">
        <v>1500.0</v>
      </c>
      <c r="H100" s="19">
        <f t="shared" si="39"/>
        <v>286590</v>
      </c>
      <c r="I100" s="19">
        <f t="shared" ref="I100:I101" si="49">H100+P100</f>
        <v>264825</v>
      </c>
      <c r="J100" s="21">
        <v>191.06</v>
      </c>
      <c r="K100" s="22">
        <f>IFERROR(__xludf.DUMMYFUNCTION("GOOGLEFINANCE(E100,""changepct"")"),-2.31)</f>
        <v>-2.31</v>
      </c>
      <c r="L100" s="24">
        <f>IFERROR(__xludf.DUMMYFUNCTION("googlefinance(E100,""price"")"),176.55)</f>
        <v>176.55</v>
      </c>
      <c r="M100" s="21"/>
      <c r="N100" s="24">
        <f t="shared" si="40"/>
        <v>-14.51</v>
      </c>
      <c r="O100" s="25">
        <f t="shared" ref="O100:O101" si="50">L100/J100-1</f>
        <v>-0.0759447294</v>
      </c>
      <c r="P100" s="84">
        <f t="shared" si="41"/>
        <v>-21765</v>
      </c>
      <c r="Q100" s="261" t="s">
        <v>128</v>
      </c>
      <c r="R100" s="20"/>
      <c r="S100" s="37"/>
      <c r="T100" s="27"/>
      <c r="U100" s="27"/>
      <c r="V100" s="15"/>
      <c r="W100" s="36"/>
      <c r="X100" s="37"/>
      <c r="Y100" s="27"/>
      <c r="Z100" s="15" t="s">
        <v>355</v>
      </c>
      <c r="AA100" s="36">
        <v>45366.0</v>
      </c>
      <c r="AB100" s="37">
        <v>191.06</v>
      </c>
      <c r="AC100" s="27">
        <v>286590.0</v>
      </c>
    </row>
    <row r="101">
      <c r="A101" s="38"/>
      <c r="B101" s="32"/>
      <c r="C101" s="14">
        <f>I101/E182</f>
        <v>0.009988530925</v>
      </c>
      <c r="D101" s="15" t="s">
        <v>356</v>
      </c>
      <c r="E101" s="15" t="s">
        <v>122</v>
      </c>
      <c r="F101" s="17">
        <v>7.9</v>
      </c>
      <c r="G101" s="18">
        <v>1000.0</v>
      </c>
      <c r="H101" s="19">
        <f t="shared" si="39"/>
        <v>213400</v>
      </c>
      <c r="I101" s="19">
        <f t="shared" si="49"/>
        <v>208940</v>
      </c>
      <c r="J101" s="21">
        <v>213.4</v>
      </c>
      <c r="K101" s="22">
        <f>IFERROR(__xludf.DUMMYFUNCTION("GOOGLEFINANCE(E101,""changepct"")"),-1.62)</f>
        <v>-1.62</v>
      </c>
      <c r="L101" s="24">
        <f>IFERROR(__xludf.DUMMYFUNCTION("googlefinance(E101,""price"")"),208.94)</f>
        <v>208.94</v>
      </c>
      <c r="M101" s="21"/>
      <c r="N101" s="24">
        <f t="shared" si="40"/>
        <v>-4.46</v>
      </c>
      <c r="O101" s="25">
        <f t="shared" si="50"/>
        <v>-0.02089971884</v>
      </c>
      <c r="P101" s="84">
        <f t="shared" si="41"/>
        <v>-4460</v>
      </c>
      <c r="Q101" s="47">
        <v>0.022</v>
      </c>
      <c r="R101" s="20">
        <v>1160.0</v>
      </c>
      <c r="S101" s="37"/>
      <c r="T101" s="27"/>
      <c r="U101" s="27"/>
      <c r="V101" s="15"/>
      <c r="W101" s="36"/>
      <c r="X101" s="37"/>
      <c r="Y101" s="27"/>
      <c r="Z101" s="15" t="s">
        <v>122</v>
      </c>
      <c r="AA101" s="36">
        <v>45355.0</v>
      </c>
      <c r="AB101" s="37">
        <v>213.4</v>
      </c>
      <c r="AC101" s="27">
        <v>213400.0</v>
      </c>
    </row>
    <row r="102">
      <c r="A102" s="38"/>
      <c r="B102" s="32"/>
      <c r="C102" s="14">
        <f>I102/E182</f>
        <v>0</v>
      </c>
      <c r="D102" s="15" t="s">
        <v>356</v>
      </c>
      <c r="E102" s="15" t="s">
        <v>122</v>
      </c>
      <c r="F102" s="17">
        <v>7.9</v>
      </c>
      <c r="G102" s="18">
        <v>1000.0</v>
      </c>
      <c r="H102" s="19">
        <f t="shared" si="39"/>
        <v>210620</v>
      </c>
      <c r="I102" s="20">
        <v>0.0</v>
      </c>
      <c r="J102" s="21">
        <v>210.62</v>
      </c>
      <c r="K102" s="22">
        <f>IFERROR(__xludf.DUMMYFUNCTION("GOOGLEFINANCE(E102,""changepct"")"),-1.62)</f>
        <v>-1.62</v>
      </c>
      <c r="L102" s="24">
        <f>IFERROR(__xludf.DUMMYFUNCTION("googlefinance(E102,""price"")"),208.94)</f>
        <v>208.94</v>
      </c>
      <c r="M102" s="21">
        <v>205.82</v>
      </c>
      <c r="N102" s="24">
        <f t="shared" si="40"/>
        <v>-1.68</v>
      </c>
      <c r="O102" s="25">
        <f t="shared" ref="O102:O104" si="51">M102/J102-1</f>
        <v>-0.02278985851</v>
      </c>
      <c r="P102" s="84">
        <f t="shared" si="41"/>
        <v>-4800</v>
      </c>
      <c r="Q102" s="47">
        <v>0.022</v>
      </c>
      <c r="R102" s="20"/>
      <c r="S102" s="37"/>
      <c r="T102" s="27"/>
      <c r="U102" s="27"/>
      <c r="V102" s="15" t="s">
        <v>122</v>
      </c>
      <c r="W102" s="36">
        <v>45314.0</v>
      </c>
      <c r="X102" s="37">
        <v>205.82</v>
      </c>
      <c r="Y102" s="27">
        <v>205820.0</v>
      </c>
      <c r="Z102" s="15"/>
      <c r="AA102" s="41"/>
      <c r="AB102" s="21"/>
      <c r="AC102" s="20"/>
    </row>
    <row r="103">
      <c r="A103" s="38"/>
      <c r="B103" s="32"/>
      <c r="C103" s="14">
        <f>I103/E182</f>
        <v>0</v>
      </c>
      <c r="D103" s="15" t="s">
        <v>401</v>
      </c>
      <c r="E103" s="15" t="s">
        <v>402</v>
      </c>
      <c r="F103" s="17">
        <v>7.9</v>
      </c>
      <c r="G103" s="18">
        <v>3000.0</v>
      </c>
      <c r="H103" s="19">
        <f t="shared" si="39"/>
        <v>252420</v>
      </c>
      <c r="I103" s="20">
        <v>0.0</v>
      </c>
      <c r="J103" s="21">
        <v>84.14</v>
      </c>
      <c r="K103" s="22">
        <f>IFERROR(__xludf.DUMMYFUNCTION("GOOGLEFINANCE(E103,""changepct"")"),-1.28)</f>
        <v>-1.28</v>
      </c>
      <c r="L103" s="24">
        <f>IFERROR(__xludf.DUMMYFUNCTION("googlefinance(E103,""price"")"),115.22)</f>
        <v>115.22</v>
      </c>
      <c r="M103" s="21">
        <v>92.16</v>
      </c>
      <c r="N103" s="24">
        <f t="shared" si="40"/>
        <v>31.08</v>
      </c>
      <c r="O103" s="25">
        <f t="shared" si="51"/>
        <v>0.09531732826</v>
      </c>
      <c r="P103" s="84">
        <f t="shared" si="41"/>
        <v>24060</v>
      </c>
      <c r="Q103" s="47">
        <v>0.034</v>
      </c>
      <c r="R103" s="20"/>
      <c r="S103" s="37"/>
      <c r="T103" s="27"/>
      <c r="U103" s="27"/>
      <c r="V103" s="15" t="s">
        <v>402</v>
      </c>
      <c r="W103" s="36">
        <v>45328.0</v>
      </c>
      <c r="X103" s="37">
        <v>92.16</v>
      </c>
      <c r="Y103" s="27">
        <v>276480.0</v>
      </c>
      <c r="Z103" s="15"/>
      <c r="AA103" s="41"/>
      <c r="AB103" s="21"/>
      <c r="AC103" s="20"/>
    </row>
    <row r="104">
      <c r="A104" s="38"/>
      <c r="B104" s="32"/>
      <c r="C104" s="14">
        <f>I104/E182</f>
        <v>0</v>
      </c>
      <c r="D104" s="15" t="s">
        <v>403</v>
      </c>
      <c r="E104" s="15" t="s">
        <v>404</v>
      </c>
      <c r="F104" s="17">
        <v>7.8</v>
      </c>
      <c r="G104" s="18">
        <v>1000.0</v>
      </c>
      <c r="H104" s="19">
        <f t="shared" si="39"/>
        <v>126600</v>
      </c>
      <c r="I104" s="20">
        <v>0.0</v>
      </c>
      <c r="J104" s="21">
        <v>126.6</v>
      </c>
      <c r="K104" s="22">
        <f>IFERROR(__xludf.DUMMYFUNCTION("GOOGLEFINANCE(E104,""changepct"")"),-1.29)</f>
        <v>-1.29</v>
      </c>
      <c r="L104" s="24">
        <f>IFERROR(__xludf.DUMMYFUNCTION("googlefinance(E104,""price"")"),145.71)</f>
        <v>145.71</v>
      </c>
      <c r="M104" s="21">
        <v>122.29</v>
      </c>
      <c r="N104" s="24">
        <f t="shared" si="40"/>
        <v>19.11</v>
      </c>
      <c r="O104" s="25">
        <f t="shared" si="51"/>
        <v>-0.03404423381</v>
      </c>
      <c r="P104" s="84">
        <f t="shared" si="41"/>
        <v>-4310</v>
      </c>
      <c r="Q104" s="47">
        <v>0.009</v>
      </c>
      <c r="R104" s="20"/>
      <c r="S104" s="37"/>
      <c r="T104" s="27"/>
      <c r="U104" s="27"/>
      <c r="V104" s="15" t="s">
        <v>405</v>
      </c>
      <c r="W104" s="36">
        <v>45302.0</v>
      </c>
      <c r="X104" s="37">
        <v>122.29</v>
      </c>
      <c r="Y104" s="27">
        <v>122290.0</v>
      </c>
      <c r="Z104" s="15"/>
      <c r="AA104" s="41"/>
      <c r="AB104" s="21"/>
      <c r="AC104" s="20"/>
    </row>
    <row r="105">
      <c r="A105" s="48"/>
      <c r="B105" s="6"/>
      <c r="C105" s="6" t="s">
        <v>89</v>
      </c>
      <c r="D105" s="6"/>
      <c r="E105" s="6"/>
      <c r="F105" s="6"/>
      <c r="G105" s="69"/>
      <c r="H105" s="49">
        <f t="shared" ref="H105:I105" si="52">SUM(H81:H104)</f>
        <v>4293849.6</v>
      </c>
      <c r="I105" s="50">
        <f t="shared" si="52"/>
        <v>2179025</v>
      </c>
      <c r="J105" s="8"/>
      <c r="K105" s="8"/>
      <c r="L105" s="8"/>
      <c r="M105" s="10"/>
      <c r="N105" s="10"/>
      <c r="O105" s="51">
        <f>(P105+T105+U105+R105)/H105</f>
        <v>0.01310944845</v>
      </c>
      <c r="P105" s="263">
        <v>21720.0</v>
      </c>
      <c r="Q105" s="6"/>
      <c r="R105" s="49">
        <f>SUM(R81:R104)</f>
        <v>2760</v>
      </c>
      <c r="S105" s="10"/>
      <c r="T105" s="11">
        <f t="shared" ref="T105:U105" si="53">SUM(T81:T104)</f>
        <v>31810</v>
      </c>
      <c r="U105" s="11">
        <f t="shared" si="53"/>
        <v>0</v>
      </c>
      <c r="V105" s="6" t="s">
        <v>89</v>
      </c>
      <c r="W105" s="53"/>
      <c r="X105" s="54"/>
      <c r="Y105" s="49">
        <f>SUM(Y81:Y104)</f>
        <v>1643924</v>
      </c>
      <c r="Z105" s="6" t="s">
        <v>89</v>
      </c>
      <c r="AA105" s="53"/>
      <c r="AB105" s="54"/>
      <c r="AC105" s="49">
        <f>SUM(AC81:AC104)</f>
        <v>2586955</v>
      </c>
    </row>
    <row r="106">
      <c r="A106" s="48"/>
      <c r="B106" s="5" t="s">
        <v>406</v>
      </c>
      <c r="C106" s="6" t="s">
        <v>2</v>
      </c>
      <c r="D106" s="5" t="s">
        <v>3</v>
      </c>
      <c r="E106" s="6" t="s">
        <v>4</v>
      </c>
      <c r="F106" s="6" t="s">
        <v>5</v>
      </c>
      <c r="G106" s="6" t="s">
        <v>6</v>
      </c>
      <c r="H106" s="6" t="s">
        <v>7</v>
      </c>
      <c r="I106" s="7" t="s">
        <v>8</v>
      </c>
      <c r="J106" s="7" t="s">
        <v>9</v>
      </c>
      <c r="K106" s="8" t="s">
        <v>10</v>
      </c>
      <c r="L106" s="8" t="s">
        <v>11</v>
      </c>
      <c r="M106" s="9" t="s">
        <v>12</v>
      </c>
      <c r="N106" s="10" t="s">
        <v>13</v>
      </c>
      <c r="O106" s="6" t="s">
        <v>14</v>
      </c>
      <c r="P106" s="10" t="s">
        <v>15</v>
      </c>
      <c r="Q106" s="6" t="s">
        <v>16</v>
      </c>
      <c r="R106" s="6" t="s">
        <v>17</v>
      </c>
      <c r="S106" s="9" t="s">
        <v>18</v>
      </c>
      <c r="T106" s="5" t="s">
        <v>19</v>
      </c>
      <c r="U106" s="5" t="s">
        <v>91</v>
      </c>
      <c r="V106" s="6" t="s">
        <v>21</v>
      </c>
      <c r="W106" s="6" t="s">
        <v>22</v>
      </c>
      <c r="X106" s="12" t="s">
        <v>23</v>
      </c>
      <c r="Y106" s="12" t="s">
        <v>24</v>
      </c>
      <c r="Z106" s="6" t="s">
        <v>25</v>
      </c>
      <c r="AA106" s="6" t="s">
        <v>26</v>
      </c>
      <c r="AB106" s="6" t="s">
        <v>27</v>
      </c>
      <c r="AC106" s="6" t="s">
        <v>28</v>
      </c>
    </row>
    <row r="107">
      <c r="A107" s="56" t="s">
        <v>29</v>
      </c>
      <c r="B107" s="265">
        <f>I111/E182</f>
        <v>0</v>
      </c>
      <c r="C107" s="58">
        <f>I107/E182</f>
        <v>0</v>
      </c>
      <c r="D107" s="42" t="s">
        <v>381</v>
      </c>
      <c r="E107" s="42" t="s">
        <v>382</v>
      </c>
      <c r="F107" s="42">
        <v>6.5</v>
      </c>
      <c r="G107" s="60">
        <v>2000.0</v>
      </c>
      <c r="H107" s="72">
        <f t="shared" ref="H107:H110" si="54">G107*J107</f>
        <v>122820</v>
      </c>
      <c r="I107" s="79">
        <v>0.0</v>
      </c>
      <c r="J107" s="74">
        <v>61.41</v>
      </c>
      <c r="K107" s="266">
        <f>IFERROR(__xludf.DUMMYFUNCTION("GOOGLEFINANCE(E107,""changepct"")"),-1.65)</f>
        <v>-1.65</v>
      </c>
      <c r="L107" s="75">
        <f>IFERROR(__xludf.DUMMYFUNCTION("googlefinance(E107,""price"")"),85.43)</f>
        <v>85.43</v>
      </c>
      <c r="M107" s="61">
        <v>61.47</v>
      </c>
      <c r="N107" s="75">
        <f t="shared" ref="N107:N110" si="55">L107-J107</f>
        <v>24.02</v>
      </c>
      <c r="O107" s="267">
        <f t="shared" ref="O107:O110" si="56">M107/J107-1</f>
        <v>0.0009770395701</v>
      </c>
      <c r="P107" s="73">
        <f t="shared" ref="P107:P110" si="57">H107*O107</f>
        <v>120</v>
      </c>
      <c r="Q107" s="58"/>
      <c r="R107" s="72"/>
      <c r="S107" s="268"/>
      <c r="T107" s="269">
        <v>-10000.0</v>
      </c>
      <c r="U107" s="270"/>
      <c r="V107" s="42" t="s">
        <v>382</v>
      </c>
      <c r="W107" s="67">
        <v>45317.0</v>
      </c>
      <c r="X107" s="39">
        <v>61.47</v>
      </c>
      <c r="Y107" s="66">
        <v>122940.0</v>
      </c>
      <c r="Z107" s="42"/>
      <c r="AA107" s="67"/>
      <c r="AB107" s="39"/>
      <c r="AC107" s="66"/>
    </row>
    <row r="108">
      <c r="A108" s="63"/>
      <c r="B108" s="45"/>
      <c r="C108" s="58">
        <f>I108/E182</f>
        <v>0</v>
      </c>
      <c r="D108" s="42" t="s">
        <v>381</v>
      </c>
      <c r="E108" s="42" t="s">
        <v>382</v>
      </c>
      <c r="F108" s="42">
        <v>6.5</v>
      </c>
      <c r="G108" s="60">
        <v>2000.0</v>
      </c>
      <c r="H108" s="72">
        <f t="shared" si="54"/>
        <v>122820</v>
      </c>
      <c r="I108" s="79">
        <v>0.0</v>
      </c>
      <c r="J108" s="74">
        <v>61.41</v>
      </c>
      <c r="K108" s="266">
        <f>IFERROR(__xludf.DUMMYFUNCTION("GOOGLEFINANCE(E108,""changepct"")"),-1.65)</f>
        <v>-1.65</v>
      </c>
      <c r="L108" s="75">
        <f>IFERROR(__xludf.DUMMYFUNCTION("googlefinance(E108,""price"")"),85.43)</f>
        <v>85.43</v>
      </c>
      <c r="M108" s="61">
        <v>60.8</v>
      </c>
      <c r="N108" s="75">
        <f t="shared" si="55"/>
        <v>24.02</v>
      </c>
      <c r="O108" s="267">
        <f t="shared" si="56"/>
        <v>-0.009933235629</v>
      </c>
      <c r="P108" s="73">
        <f t="shared" si="57"/>
        <v>-1220</v>
      </c>
      <c r="Q108" s="62"/>
      <c r="R108" s="66"/>
      <c r="S108" s="271"/>
      <c r="T108" s="269"/>
      <c r="U108" s="270"/>
      <c r="V108" s="42" t="s">
        <v>382</v>
      </c>
      <c r="W108" s="272">
        <v>45309.0</v>
      </c>
      <c r="X108" s="39">
        <v>60.8</v>
      </c>
      <c r="Y108" s="66">
        <v>121600.0</v>
      </c>
      <c r="Z108" s="42"/>
      <c r="AA108" s="67"/>
      <c r="AB108" s="39"/>
      <c r="AC108" s="66"/>
    </row>
    <row r="109">
      <c r="A109" s="63"/>
      <c r="B109" s="45"/>
      <c r="C109" s="58">
        <f>I109/E182</f>
        <v>0</v>
      </c>
      <c r="D109" s="42" t="s">
        <v>381</v>
      </c>
      <c r="E109" s="42" t="s">
        <v>382</v>
      </c>
      <c r="F109" s="42">
        <v>6.5</v>
      </c>
      <c r="G109" s="60">
        <v>1500.0</v>
      </c>
      <c r="H109" s="72">
        <f t="shared" si="54"/>
        <v>90000</v>
      </c>
      <c r="I109" s="79">
        <v>0.0</v>
      </c>
      <c r="J109" s="74">
        <v>60.0</v>
      </c>
      <c r="K109" s="266">
        <f>IFERROR(__xludf.DUMMYFUNCTION("GOOGLEFINANCE(E109,""changepct"")"),-1.65)</f>
        <v>-1.65</v>
      </c>
      <c r="L109" s="75">
        <f>IFERROR(__xludf.DUMMYFUNCTION("googlefinance(E109,""price"")"),85.43)</f>
        <v>85.43</v>
      </c>
      <c r="M109" s="61">
        <v>58.48</v>
      </c>
      <c r="N109" s="75">
        <f t="shared" si="55"/>
        <v>25.43</v>
      </c>
      <c r="O109" s="267">
        <f t="shared" si="56"/>
        <v>-0.02533333333</v>
      </c>
      <c r="P109" s="73">
        <f t="shared" si="57"/>
        <v>-2280</v>
      </c>
      <c r="Q109" s="62"/>
      <c r="R109" s="66"/>
      <c r="S109" s="271"/>
      <c r="T109" s="269"/>
      <c r="U109" s="270"/>
      <c r="V109" s="42" t="s">
        <v>382</v>
      </c>
      <c r="W109" s="272">
        <v>45307.0</v>
      </c>
      <c r="X109" s="39">
        <v>58.48</v>
      </c>
      <c r="Y109" s="66">
        <v>87720.0</v>
      </c>
      <c r="Z109" s="42"/>
      <c r="AA109" s="67"/>
      <c r="AB109" s="39"/>
      <c r="AC109" s="66"/>
    </row>
    <row r="110">
      <c r="A110" s="63"/>
      <c r="B110" s="45"/>
      <c r="C110" s="58">
        <f>I110/E182</f>
        <v>0</v>
      </c>
      <c r="D110" s="42" t="s">
        <v>407</v>
      </c>
      <c r="E110" s="42" t="s">
        <v>408</v>
      </c>
      <c r="F110" s="42">
        <v>8.0</v>
      </c>
      <c r="G110" s="60">
        <v>3000.0</v>
      </c>
      <c r="H110" s="72">
        <f t="shared" si="54"/>
        <v>296640</v>
      </c>
      <c r="I110" s="79">
        <v>0.0</v>
      </c>
      <c r="J110" s="74">
        <v>98.88</v>
      </c>
      <c r="K110" s="266">
        <f>IFERROR(__xludf.DUMMYFUNCTION("GOOGLEFINANCE(E110,""changepct"")"),0.8)</f>
        <v>0.8</v>
      </c>
      <c r="L110" s="75">
        <f>IFERROR(__xludf.DUMMYFUNCTION("googlefinance(E110,""price"")"),87.8)</f>
        <v>87.8</v>
      </c>
      <c r="M110" s="61">
        <v>94.93</v>
      </c>
      <c r="N110" s="75">
        <f t="shared" si="55"/>
        <v>-11.08</v>
      </c>
      <c r="O110" s="267">
        <f t="shared" si="56"/>
        <v>-0.039947411</v>
      </c>
      <c r="P110" s="73">
        <f t="shared" si="57"/>
        <v>-11850</v>
      </c>
      <c r="Q110" s="62">
        <v>0.036</v>
      </c>
      <c r="R110" s="66"/>
      <c r="S110" s="271"/>
      <c r="T110" s="269"/>
      <c r="U110" s="270"/>
      <c r="V110" s="42" t="s">
        <v>408</v>
      </c>
      <c r="W110" s="272">
        <v>45320.0</v>
      </c>
      <c r="X110" s="39">
        <v>94.93</v>
      </c>
      <c r="Y110" s="66">
        <v>284790.0</v>
      </c>
      <c r="Z110" s="42"/>
      <c r="AA110" s="67"/>
      <c r="AB110" s="39"/>
      <c r="AC110" s="66"/>
    </row>
    <row r="111">
      <c r="A111" s="48"/>
      <c r="B111" s="6"/>
      <c r="C111" s="5" t="s">
        <v>89</v>
      </c>
      <c r="D111" s="6"/>
      <c r="E111" s="6"/>
      <c r="F111" s="6"/>
      <c r="G111" s="6"/>
      <c r="H111" s="11">
        <f t="shared" ref="H111:I111" si="58">SUM(H107:H110)</f>
        <v>632280</v>
      </c>
      <c r="I111" s="70">
        <f t="shared" si="58"/>
        <v>0</v>
      </c>
      <c r="J111" s="7"/>
      <c r="K111" s="8"/>
      <c r="L111" s="8"/>
      <c r="M111" s="10"/>
      <c r="N111" s="10"/>
      <c r="O111" s="71">
        <f>(P111+T111+R111)/H111</f>
        <v>-0.03990320744</v>
      </c>
      <c r="P111" s="273">
        <v>-15230.0</v>
      </c>
      <c r="Q111" s="6"/>
      <c r="R111" s="11">
        <f>SUM(R107:R110)</f>
        <v>0</v>
      </c>
      <c r="S111" s="10"/>
      <c r="T111" s="11">
        <f>SUM(T107:T110)</f>
        <v>-10000</v>
      </c>
      <c r="U111" s="6"/>
      <c r="V111" s="5" t="s">
        <v>89</v>
      </c>
      <c r="W111" s="6"/>
      <c r="X111" s="12"/>
      <c r="Y111" s="192">
        <f>SUM(Y107:Y110)</f>
        <v>617050</v>
      </c>
      <c r="Z111" s="6"/>
      <c r="AA111" s="6"/>
      <c r="AB111" s="6"/>
      <c r="AC111" s="11">
        <f>SUM(AC107:AC110)</f>
        <v>0</v>
      </c>
    </row>
    <row r="112">
      <c r="A112" s="55"/>
      <c r="B112" s="5" t="s">
        <v>312</v>
      </c>
      <c r="C112" s="6" t="s">
        <v>2</v>
      </c>
      <c r="D112" s="5" t="s">
        <v>3</v>
      </c>
      <c r="E112" s="6" t="s">
        <v>4</v>
      </c>
      <c r="F112" s="6" t="s">
        <v>5</v>
      </c>
      <c r="G112" s="6" t="s">
        <v>6</v>
      </c>
      <c r="H112" s="6" t="s">
        <v>7</v>
      </c>
      <c r="I112" s="7" t="s">
        <v>8</v>
      </c>
      <c r="J112" s="7" t="s">
        <v>9</v>
      </c>
      <c r="K112" s="8" t="s">
        <v>10</v>
      </c>
      <c r="L112" s="8" t="s">
        <v>11</v>
      </c>
      <c r="M112" s="9" t="s">
        <v>12</v>
      </c>
      <c r="N112" s="10" t="s">
        <v>13</v>
      </c>
      <c r="O112" s="6" t="s">
        <v>14</v>
      </c>
      <c r="P112" s="10" t="s">
        <v>15</v>
      </c>
      <c r="Q112" s="6" t="s">
        <v>16</v>
      </c>
      <c r="R112" s="6" t="s">
        <v>17</v>
      </c>
      <c r="S112" s="9" t="s">
        <v>18</v>
      </c>
      <c r="T112" s="5" t="s">
        <v>19</v>
      </c>
      <c r="U112" s="5" t="s">
        <v>91</v>
      </c>
      <c r="V112" s="6" t="s">
        <v>21</v>
      </c>
      <c r="W112" s="6" t="s">
        <v>22</v>
      </c>
      <c r="X112" s="12" t="s">
        <v>23</v>
      </c>
      <c r="Y112" s="12" t="s">
        <v>24</v>
      </c>
      <c r="Z112" s="6" t="s">
        <v>25</v>
      </c>
      <c r="AA112" s="6" t="s">
        <v>26</v>
      </c>
      <c r="AB112" s="6" t="s">
        <v>27</v>
      </c>
      <c r="AC112" s="6" t="s">
        <v>28</v>
      </c>
    </row>
    <row r="113">
      <c r="A113" s="56" t="s">
        <v>29</v>
      </c>
      <c r="B113" s="265">
        <f>I124/E182</f>
        <v>0.03953056486</v>
      </c>
      <c r="C113" s="58">
        <f>I113/E182</f>
        <v>0.006315138007</v>
      </c>
      <c r="D113" s="42" t="s">
        <v>313</v>
      </c>
      <c r="E113" s="42" t="s">
        <v>106</v>
      </c>
      <c r="F113" s="42">
        <v>7.6</v>
      </c>
      <c r="G113" s="60">
        <v>5000.0</v>
      </c>
      <c r="H113" s="72">
        <f t="shared" ref="H113:H123" si="59">G113*J113</f>
        <v>143950</v>
      </c>
      <c r="I113" s="73">
        <f>H113+P113</f>
        <v>132100</v>
      </c>
      <c r="J113" s="74">
        <v>28.79</v>
      </c>
      <c r="K113" s="266">
        <f>IFERROR(__xludf.DUMMYFUNCTION("GOOGLEFINANCE(E113,""changepct"")"),-0.75)</f>
        <v>-0.75</v>
      </c>
      <c r="L113" s="75">
        <f>IFERROR(__xludf.DUMMYFUNCTION("googlefinance(E113,""price"")"),26.42)</f>
        <v>26.42</v>
      </c>
      <c r="M113" s="61"/>
      <c r="N113" s="75">
        <f t="shared" ref="N113:N123" si="60">L113-J113</f>
        <v>-2.37</v>
      </c>
      <c r="O113" s="267">
        <f>L113/J113-1</f>
        <v>-0.08232025009</v>
      </c>
      <c r="P113" s="73">
        <f t="shared" ref="P113:P123" si="61">H113*O113</f>
        <v>-11850</v>
      </c>
      <c r="Q113" s="62">
        <v>0.06</v>
      </c>
      <c r="R113" s="66">
        <v>2070.0</v>
      </c>
      <c r="S113" s="268"/>
      <c r="T113" s="269"/>
      <c r="U113" s="270"/>
      <c r="V113" s="42"/>
      <c r="W113" s="67"/>
      <c r="X113" s="39"/>
      <c r="Y113" s="66"/>
      <c r="Z113" s="42"/>
      <c r="AA113" s="67"/>
      <c r="AB113" s="39"/>
      <c r="AC113" s="66"/>
    </row>
    <row r="114">
      <c r="A114" s="78"/>
      <c r="B114" s="45"/>
      <c r="C114" s="58">
        <f>I114/E182</f>
        <v>0</v>
      </c>
      <c r="D114" s="42" t="s">
        <v>313</v>
      </c>
      <c r="E114" s="42" t="s">
        <v>106</v>
      </c>
      <c r="F114" s="42">
        <v>7.6</v>
      </c>
      <c r="G114" s="60">
        <v>5000.0</v>
      </c>
      <c r="H114" s="72">
        <f t="shared" si="59"/>
        <v>143950</v>
      </c>
      <c r="I114" s="79">
        <v>0.0</v>
      </c>
      <c r="J114" s="74">
        <v>28.79</v>
      </c>
      <c r="K114" s="266">
        <f>IFERROR(__xludf.DUMMYFUNCTION("GOOGLEFINANCE(E114,""changepct"")"),-0.75)</f>
        <v>-0.75</v>
      </c>
      <c r="L114" s="75">
        <f>IFERROR(__xludf.DUMMYFUNCTION("googlefinance(E114,""price"")"),26.42)</f>
        <v>26.42</v>
      </c>
      <c r="M114" s="61">
        <v>27.4</v>
      </c>
      <c r="N114" s="75">
        <f t="shared" si="60"/>
        <v>-2.37</v>
      </c>
      <c r="O114" s="267">
        <f t="shared" ref="O114:O115" si="62">M114/J114-1</f>
        <v>-0.048280653</v>
      </c>
      <c r="P114" s="73">
        <f t="shared" si="61"/>
        <v>-6950</v>
      </c>
      <c r="Q114" s="62">
        <v>0.06</v>
      </c>
      <c r="R114" s="66">
        <v>2070.0</v>
      </c>
      <c r="S114" s="271"/>
      <c r="T114" s="269"/>
      <c r="U114" s="270"/>
      <c r="V114" s="42" t="s">
        <v>106</v>
      </c>
      <c r="W114" s="272">
        <v>45377.0</v>
      </c>
      <c r="X114" s="39">
        <v>27.4</v>
      </c>
      <c r="Y114" s="66">
        <v>137000.0</v>
      </c>
      <c r="Z114" s="42"/>
      <c r="AA114" s="67"/>
      <c r="AB114" s="39"/>
      <c r="AC114" s="66"/>
    </row>
    <row r="115">
      <c r="A115" s="78"/>
      <c r="B115" s="45"/>
      <c r="C115" s="58">
        <f>I115/E182</f>
        <v>0</v>
      </c>
      <c r="D115" s="42" t="s">
        <v>313</v>
      </c>
      <c r="E115" s="42" t="s">
        <v>106</v>
      </c>
      <c r="F115" s="42">
        <v>7.6</v>
      </c>
      <c r="G115" s="60">
        <v>5000.0</v>
      </c>
      <c r="H115" s="72">
        <f t="shared" si="59"/>
        <v>143950</v>
      </c>
      <c r="I115" s="79">
        <v>0.0</v>
      </c>
      <c r="J115" s="74">
        <v>28.79</v>
      </c>
      <c r="K115" s="266">
        <f>IFERROR(__xludf.DUMMYFUNCTION("GOOGLEFINANCE(E115,""changepct"")"),-0.75)</f>
        <v>-0.75</v>
      </c>
      <c r="L115" s="75">
        <f>IFERROR(__xludf.DUMMYFUNCTION("googlefinance(E115,""price"")"),26.42)</f>
        <v>26.42</v>
      </c>
      <c r="M115" s="61">
        <v>27.26</v>
      </c>
      <c r="N115" s="75">
        <f t="shared" si="60"/>
        <v>-2.37</v>
      </c>
      <c r="O115" s="267">
        <f t="shared" si="62"/>
        <v>-0.05314345259</v>
      </c>
      <c r="P115" s="73">
        <f t="shared" si="61"/>
        <v>-7650</v>
      </c>
      <c r="Q115" s="62">
        <v>0.06</v>
      </c>
      <c r="R115" s="66">
        <v>2070.0</v>
      </c>
      <c r="S115" s="271"/>
      <c r="T115" s="269"/>
      <c r="U115" s="270"/>
      <c r="V115" s="42" t="s">
        <v>106</v>
      </c>
      <c r="W115" s="272">
        <v>45376.0</v>
      </c>
      <c r="X115" s="39">
        <v>27.26</v>
      </c>
      <c r="Y115" s="66">
        <v>136300.0</v>
      </c>
      <c r="Z115" s="42" t="s">
        <v>106</v>
      </c>
      <c r="AA115" s="67">
        <v>45313.0</v>
      </c>
      <c r="AB115" s="39">
        <v>28.41</v>
      </c>
      <c r="AC115" s="66">
        <v>142050.0</v>
      </c>
    </row>
    <row r="116">
      <c r="A116" s="78"/>
      <c r="B116" s="45"/>
      <c r="C116" s="58">
        <f>I116/E182</f>
        <v>0.006198013949</v>
      </c>
      <c r="D116" s="42" t="s">
        <v>103</v>
      </c>
      <c r="E116" s="42" t="s">
        <v>104</v>
      </c>
      <c r="F116" s="42">
        <v>7.9</v>
      </c>
      <c r="G116" s="60">
        <v>500.0</v>
      </c>
      <c r="H116" s="72">
        <f t="shared" si="59"/>
        <v>144010</v>
      </c>
      <c r="I116" s="73">
        <f t="shared" ref="I116:I118" si="63">H116+P116</f>
        <v>129650</v>
      </c>
      <c r="J116" s="74">
        <v>288.02</v>
      </c>
      <c r="K116" s="266">
        <f>IFERROR(__xludf.DUMMYFUNCTION("GOOGLEFINANCE(E116,""changepct"")"),-1.28)</f>
        <v>-1.28</v>
      </c>
      <c r="L116" s="75">
        <f>IFERROR(__xludf.DUMMYFUNCTION("googlefinance(E116,""price"")"),259.3)</f>
        <v>259.3</v>
      </c>
      <c r="M116" s="61"/>
      <c r="N116" s="75">
        <f t="shared" si="60"/>
        <v>-28.72</v>
      </c>
      <c r="O116" s="267">
        <f t="shared" ref="O116:O118" si="64">L116/J116-1</f>
        <v>-0.09971529755</v>
      </c>
      <c r="P116" s="73">
        <f t="shared" si="61"/>
        <v>-14360</v>
      </c>
      <c r="Q116" s="62">
        <v>0.03</v>
      </c>
      <c r="R116" s="66">
        <v>1065.0</v>
      </c>
      <c r="S116" s="271"/>
      <c r="T116" s="269"/>
      <c r="U116" s="270"/>
      <c r="V116" s="42"/>
      <c r="W116" s="272"/>
      <c r="X116" s="39"/>
      <c r="Y116" s="66"/>
      <c r="Z116" s="42"/>
      <c r="AA116" s="67"/>
      <c r="AB116" s="39"/>
      <c r="AC116" s="66"/>
    </row>
    <row r="117">
      <c r="A117" s="78"/>
      <c r="B117" s="45"/>
      <c r="C117" s="58">
        <f>I117/E182</f>
        <v>0.006198013949</v>
      </c>
      <c r="D117" s="42" t="s">
        <v>103</v>
      </c>
      <c r="E117" s="42" t="s">
        <v>104</v>
      </c>
      <c r="F117" s="42">
        <v>7.9</v>
      </c>
      <c r="G117" s="60">
        <v>500.0</v>
      </c>
      <c r="H117" s="72">
        <f t="shared" si="59"/>
        <v>143795</v>
      </c>
      <c r="I117" s="73">
        <f t="shared" si="63"/>
        <v>129650</v>
      </c>
      <c r="J117" s="74">
        <v>287.59</v>
      </c>
      <c r="K117" s="266">
        <f>IFERROR(__xludf.DUMMYFUNCTION("GOOGLEFINANCE(E117,""changepct"")"),-1.28)</f>
        <v>-1.28</v>
      </c>
      <c r="L117" s="75">
        <f>IFERROR(__xludf.DUMMYFUNCTION("googlefinance(E117,""price"")"),259.3)</f>
        <v>259.3</v>
      </c>
      <c r="M117" s="61"/>
      <c r="N117" s="75">
        <f t="shared" si="60"/>
        <v>-28.29</v>
      </c>
      <c r="O117" s="267">
        <f t="shared" si="64"/>
        <v>-0.09836920616</v>
      </c>
      <c r="P117" s="73">
        <f t="shared" si="61"/>
        <v>-14145</v>
      </c>
      <c r="Q117" s="62">
        <v>0.03</v>
      </c>
      <c r="R117" s="66">
        <v>1065.0</v>
      </c>
      <c r="S117" s="271"/>
      <c r="T117" s="269"/>
      <c r="U117" s="270"/>
      <c r="V117" s="42"/>
      <c r="W117" s="272"/>
      <c r="X117" s="39"/>
      <c r="Y117" s="66"/>
      <c r="Z117" s="42" t="s">
        <v>104</v>
      </c>
      <c r="AA117" s="67">
        <v>45337.0</v>
      </c>
      <c r="AB117" s="39">
        <v>287.59</v>
      </c>
      <c r="AC117" s="66">
        <v>143795.0</v>
      </c>
    </row>
    <row r="118">
      <c r="A118" s="78"/>
      <c r="B118" s="45"/>
      <c r="C118" s="58">
        <f>I118/E182</f>
        <v>0.0123960279</v>
      </c>
      <c r="D118" s="42" t="s">
        <v>103</v>
      </c>
      <c r="E118" s="42" t="s">
        <v>104</v>
      </c>
      <c r="F118" s="42">
        <v>7.9</v>
      </c>
      <c r="G118" s="60">
        <v>1000.0</v>
      </c>
      <c r="H118" s="72">
        <f t="shared" si="59"/>
        <v>283000</v>
      </c>
      <c r="I118" s="73">
        <f t="shared" si="63"/>
        <v>259300</v>
      </c>
      <c r="J118" s="74">
        <v>283.0</v>
      </c>
      <c r="K118" s="266">
        <f>IFERROR(__xludf.DUMMYFUNCTION("GOOGLEFINANCE(E118,""changepct"")"),-1.28)</f>
        <v>-1.28</v>
      </c>
      <c r="L118" s="75">
        <f>IFERROR(__xludf.DUMMYFUNCTION("googlefinance(E118,""price"")"),259.3)</f>
        <v>259.3</v>
      </c>
      <c r="M118" s="61"/>
      <c r="N118" s="75">
        <f t="shared" si="60"/>
        <v>-23.7</v>
      </c>
      <c r="O118" s="267">
        <f t="shared" si="64"/>
        <v>-0.08374558304</v>
      </c>
      <c r="P118" s="73">
        <f t="shared" si="61"/>
        <v>-23700</v>
      </c>
      <c r="Q118" s="62">
        <v>0.03</v>
      </c>
      <c r="R118" s="66">
        <v>2130.0</v>
      </c>
      <c r="S118" s="271"/>
      <c r="T118" s="269"/>
      <c r="U118" s="270"/>
      <c r="V118" s="42"/>
      <c r="W118" s="272"/>
      <c r="X118" s="39"/>
      <c r="Y118" s="66"/>
      <c r="Z118" s="42" t="s">
        <v>104</v>
      </c>
      <c r="AA118" s="67">
        <v>45355.0</v>
      </c>
      <c r="AB118" s="39">
        <v>283.0</v>
      </c>
      <c r="AC118" s="66">
        <v>283000.0</v>
      </c>
    </row>
    <row r="119">
      <c r="A119" s="78"/>
      <c r="B119" s="45"/>
      <c r="C119" s="58">
        <f>I119/E182</f>
        <v>0</v>
      </c>
      <c r="D119" s="42" t="s">
        <v>103</v>
      </c>
      <c r="E119" s="42" t="s">
        <v>104</v>
      </c>
      <c r="F119" s="42">
        <v>7.9</v>
      </c>
      <c r="G119" s="60">
        <v>500.0</v>
      </c>
      <c r="H119" s="72">
        <f t="shared" si="59"/>
        <v>151925</v>
      </c>
      <c r="I119" s="79">
        <v>0.0</v>
      </c>
      <c r="J119" s="74">
        <v>303.85</v>
      </c>
      <c r="K119" s="266">
        <f>IFERROR(__xludf.DUMMYFUNCTION("GOOGLEFINANCE(E119,""changepct"")"),-1.28)</f>
        <v>-1.28</v>
      </c>
      <c r="L119" s="75">
        <f>IFERROR(__xludf.DUMMYFUNCTION("googlefinance(E119,""price"")"),259.3)</f>
        <v>259.3</v>
      </c>
      <c r="M119" s="61">
        <v>302.89</v>
      </c>
      <c r="N119" s="75">
        <f t="shared" si="60"/>
        <v>-44.55</v>
      </c>
      <c r="O119" s="267">
        <f>M119/J119-1</f>
        <v>-0.003159453678</v>
      </c>
      <c r="P119" s="73">
        <f t="shared" si="61"/>
        <v>-480</v>
      </c>
      <c r="Q119" s="62">
        <v>0.03</v>
      </c>
      <c r="R119" s="68" t="s">
        <v>128</v>
      </c>
      <c r="S119" s="271"/>
      <c r="T119" s="269"/>
      <c r="U119" s="270"/>
      <c r="V119" s="42" t="s">
        <v>104</v>
      </c>
      <c r="W119" s="272">
        <v>45298.0</v>
      </c>
      <c r="X119" s="39">
        <v>302.89</v>
      </c>
      <c r="Y119" s="66">
        <v>151445.0</v>
      </c>
      <c r="Z119" s="42" t="s">
        <v>104</v>
      </c>
      <c r="AA119" s="67">
        <v>45299.0</v>
      </c>
      <c r="AB119" s="39">
        <v>303.85</v>
      </c>
      <c r="AC119" s="66">
        <v>151925.0</v>
      </c>
    </row>
    <row r="120">
      <c r="A120" s="78"/>
      <c r="B120" s="45"/>
      <c r="C120" s="58">
        <f>I120/E182</f>
        <v>0.008423371059</v>
      </c>
      <c r="D120" s="42" t="s">
        <v>111</v>
      </c>
      <c r="E120" s="42" t="s">
        <v>112</v>
      </c>
      <c r="F120" s="42">
        <v>7.9</v>
      </c>
      <c r="G120" s="60">
        <v>1000.0</v>
      </c>
      <c r="H120" s="72">
        <f t="shared" si="59"/>
        <v>154970</v>
      </c>
      <c r="I120" s="73">
        <f>H120+P120</f>
        <v>176200</v>
      </c>
      <c r="J120" s="74">
        <v>154.97</v>
      </c>
      <c r="K120" s="266">
        <f>IFERROR(__xludf.DUMMYFUNCTION("GOOGLEFINANCE(E120,""changepct"")"),-1.02)</f>
        <v>-1.02</v>
      </c>
      <c r="L120" s="75">
        <f>IFERROR(__xludf.DUMMYFUNCTION("googlefinance(E120,""price"")"),176.2)</f>
        <v>176.2</v>
      </c>
      <c r="M120" s="61"/>
      <c r="N120" s="75">
        <f t="shared" si="60"/>
        <v>21.23</v>
      </c>
      <c r="O120" s="267">
        <f>L120/J120-1</f>
        <v>0.136994257</v>
      </c>
      <c r="P120" s="73">
        <f t="shared" si="61"/>
        <v>21230</v>
      </c>
      <c r="Q120" s="62">
        <v>0.04</v>
      </c>
      <c r="R120" s="66">
        <v>1820.0</v>
      </c>
      <c r="S120" s="271"/>
      <c r="T120" s="269"/>
      <c r="U120" s="270"/>
      <c r="V120" s="42"/>
      <c r="W120" s="272"/>
      <c r="X120" s="39"/>
      <c r="Y120" s="66"/>
      <c r="Z120" s="42"/>
      <c r="AA120" s="67"/>
      <c r="AB120" s="39"/>
      <c r="AC120" s="66"/>
    </row>
    <row r="121">
      <c r="A121" s="78"/>
      <c r="B121" s="45"/>
      <c r="C121" s="58">
        <f>I121/E182</f>
        <v>0</v>
      </c>
      <c r="D121" s="42" t="s">
        <v>314</v>
      </c>
      <c r="E121" s="42" t="s">
        <v>315</v>
      </c>
      <c r="F121" s="42">
        <v>7.6</v>
      </c>
      <c r="G121" s="60">
        <v>3000.0</v>
      </c>
      <c r="H121" s="72">
        <f t="shared" si="59"/>
        <v>216630</v>
      </c>
      <c r="I121" s="79">
        <v>0.0</v>
      </c>
      <c r="J121" s="74">
        <v>72.21</v>
      </c>
      <c r="K121" s="266">
        <f>IFERROR(__xludf.DUMMYFUNCTION("GOOGLEFINANCE(E121,""changepct"")"),-2.23)</f>
        <v>-2.23</v>
      </c>
      <c r="L121" s="75">
        <f>IFERROR(__xludf.DUMMYFUNCTION("googlefinance(E121,""price"")"),92.01)</f>
        <v>92.01</v>
      </c>
      <c r="M121" s="61">
        <v>73.57</v>
      </c>
      <c r="N121" s="75">
        <f t="shared" si="60"/>
        <v>19.8</v>
      </c>
      <c r="O121" s="267">
        <f t="shared" ref="O121:O123" si="65">M121/J121-1</f>
        <v>0.01883395652</v>
      </c>
      <c r="P121" s="73">
        <f t="shared" si="61"/>
        <v>4080</v>
      </c>
      <c r="Q121" s="62">
        <v>0.043</v>
      </c>
      <c r="R121" s="66"/>
      <c r="S121" s="271"/>
      <c r="T121" s="269"/>
      <c r="U121" s="270"/>
      <c r="V121" s="42" t="s">
        <v>315</v>
      </c>
      <c r="W121" s="272">
        <v>45370.0</v>
      </c>
      <c r="X121" s="39">
        <v>73.57</v>
      </c>
      <c r="Y121" s="66">
        <v>220710.0</v>
      </c>
      <c r="Z121" s="42" t="s">
        <v>315</v>
      </c>
      <c r="AA121" s="67">
        <v>45355.0</v>
      </c>
      <c r="AB121" s="39">
        <v>72.21</v>
      </c>
      <c r="AC121" s="66">
        <v>216630.0</v>
      </c>
    </row>
    <row r="122">
      <c r="A122" s="78"/>
      <c r="B122" s="45"/>
      <c r="C122" s="58">
        <f>I122/E182</f>
        <v>0</v>
      </c>
      <c r="D122" s="42" t="s">
        <v>318</v>
      </c>
      <c r="E122" s="42" t="s">
        <v>319</v>
      </c>
      <c r="F122" s="42">
        <v>7.2</v>
      </c>
      <c r="G122" s="60">
        <v>5000.0</v>
      </c>
      <c r="H122" s="72">
        <f t="shared" si="59"/>
        <v>119950</v>
      </c>
      <c r="I122" s="79">
        <v>0.0</v>
      </c>
      <c r="J122" s="74">
        <v>23.99</v>
      </c>
      <c r="K122" s="266">
        <f>IFERROR(__xludf.DUMMYFUNCTION("GOOGLEFINANCE(E122,""changepct"")"),-0.33)</f>
        <v>-0.33</v>
      </c>
      <c r="L122" s="75">
        <f>IFERROR(__xludf.DUMMYFUNCTION("googlefinance(E122,""price"")"),33.7)</f>
        <v>33.7</v>
      </c>
      <c r="M122" s="61">
        <v>20.76</v>
      </c>
      <c r="N122" s="75">
        <f t="shared" si="60"/>
        <v>9.71</v>
      </c>
      <c r="O122" s="267">
        <f t="shared" si="65"/>
        <v>-0.1346394331</v>
      </c>
      <c r="P122" s="73">
        <f t="shared" si="61"/>
        <v>-16150</v>
      </c>
      <c r="Q122" s="62"/>
      <c r="R122" s="66"/>
      <c r="S122" s="271"/>
      <c r="T122" s="269"/>
      <c r="U122" s="270"/>
      <c r="V122" s="42" t="s">
        <v>319</v>
      </c>
      <c r="W122" s="272">
        <v>45299.0</v>
      </c>
      <c r="X122" s="39">
        <v>20.76</v>
      </c>
      <c r="Y122" s="66">
        <v>103800.0</v>
      </c>
      <c r="Z122" s="42"/>
      <c r="AA122" s="67"/>
      <c r="AB122" s="39"/>
      <c r="AC122" s="66"/>
    </row>
    <row r="123">
      <c r="A123" s="78"/>
      <c r="B123" s="45"/>
      <c r="C123" s="58">
        <f>I123/E182</f>
        <v>0</v>
      </c>
      <c r="D123" s="42" t="s">
        <v>318</v>
      </c>
      <c r="E123" s="42" t="s">
        <v>319</v>
      </c>
      <c r="F123" s="42">
        <v>7.2</v>
      </c>
      <c r="G123" s="60">
        <v>5000.0</v>
      </c>
      <c r="H123" s="72">
        <f t="shared" si="59"/>
        <v>119950</v>
      </c>
      <c r="I123" s="79">
        <v>0.0</v>
      </c>
      <c r="J123" s="74">
        <v>23.99</v>
      </c>
      <c r="K123" s="266">
        <f>IFERROR(__xludf.DUMMYFUNCTION("GOOGLEFINANCE(E123,""changepct"")"),-0.33)</f>
        <v>-0.33</v>
      </c>
      <c r="L123" s="75">
        <f>IFERROR(__xludf.DUMMYFUNCTION("googlefinance(E123,""price"")"),33.7)</f>
        <v>33.7</v>
      </c>
      <c r="M123" s="61">
        <v>22.86</v>
      </c>
      <c r="N123" s="75">
        <f t="shared" si="60"/>
        <v>9.71</v>
      </c>
      <c r="O123" s="267">
        <f t="shared" si="65"/>
        <v>-0.04710295957</v>
      </c>
      <c r="P123" s="73">
        <f t="shared" si="61"/>
        <v>-5650</v>
      </c>
      <c r="Q123" s="62"/>
      <c r="R123" s="66"/>
      <c r="S123" s="271"/>
      <c r="T123" s="269"/>
      <c r="U123" s="270"/>
      <c r="V123" s="42" t="s">
        <v>319</v>
      </c>
      <c r="W123" s="272">
        <v>45301.0</v>
      </c>
      <c r="X123" s="39">
        <v>22.86</v>
      </c>
      <c r="Y123" s="66">
        <v>114300.0</v>
      </c>
      <c r="Z123" s="42"/>
      <c r="AA123" s="67"/>
      <c r="AB123" s="39"/>
      <c r="AC123" s="66"/>
    </row>
    <row r="124">
      <c r="A124" s="55"/>
      <c r="B124" s="6"/>
      <c r="C124" s="6"/>
      <c r="D124" s="6"/>
      <c r="E124" s="6"/>
      <c r="F124" s="6"/>
      <c r="G124" s="6"/>
      <c r="H124" s="11">
        <f t="shared" ref="H124:I124" si="66">SUM(H113:H123)</f>
        <v>1766080</v>
      </c>
      <c r="I124" s="70">
        <f t="shared" si="66"/>
        <v>826900</v>
      </c>
      <c r="J124" s="7"/>
      <c r="K124" s="8"/>
      <c r="L124" s="8"/>
      <c r="M124" s="9"/>
      <c r="N124" s="10"/>
      <c r="O124" s="71">
        <f>P124/H124</f>
        <v>-0.007380752854</v>
      </c>
      <c r="P124" s="273">
        <v>-13035.0</v>
      </c>
      <c r="Q124" s="6"/>
      <c r="R124" s="11">
        <f>SUM(R113:R123)</f>
        <v>12290</v>
      </c>
      <c r="S124" s="9"/>
      <c r="T124" s="5"/>
      <c r="U124" s="5"/>
      <c r="V124" s="5" t="s">
        <v>89</v>
      </c>
      <c r="W124" s="6"/>
      <c r="X124" s="12"/>
      <c r="Y124" s="11">
        <f>SUM(Y113:Y123)</f>
        <v>863555</v>
      </c>
      <c r="Z124" s="6"/>
      <c r="AA124" s="6"/>
      <c r="AB124" s="6"/>
      <c r="AC124" s="11">
        <f>SUM(AC113:AC123)</f>
        <v>937400</v>
      </c>
    </row>
    <row r="125">
      <c r="A125" s="290" t="s">
        <v>409</v>
      </c>
      <c r="B125" s="291" t="s">
        <v>410</v>
      </c>
      <c r="C125" s="6" t="s">
        <v>2</v>
      </c>
      <c r="D125" s="6" t="s">
        <v>150</v>
      </c>
      <c r="E125" s="6" t="s">
        <v>4</v>
      </c>
      <c r="F125" s="6" t="s">
        <v>5</v>
      </c>
      <c r="G125" s="6" t="s">
        <v>6</v>
      </c>
      <c r="H125" s="6" t="s">
        <v>7</v>
      </c>
      <c r="I125" s="7" t="s">
        <v>8</v>
      </c>
      <c r="J125" s="7" t="s">
        <v>9</v>
      </c>
      <c r="K125" s="8" t="s">
        <v>10</v>
      </c>
      <c r="L125" s="8" t="s">
        <v>11</v>
      </c>
      <c r="M125" s="9" t="s">
        <v>12</v>
      </c>
      <c r="N125" s="10" t="s">
        <v>13</v>
      </c>
      <c r="O125" s="6" t="s">
        <v>14</v>
      </c>
      <c r="P125" s="10" t="s">
        <v>15</v>
      </c>
      <c r="Q125" s="6" t="s">
        <v>16</v>
      </c>
      <c r="R125" s="6" t="s">
        <v>17</v>
      </c>
      <c r="S125" s="9" t="s">
        <v>18</v>
      </c>
      <c r="T125" s="5" t="s">
        <v>19</v>
      </c>
      <c r="U125" s="5" t="s">
        <v>91</v>
      </c>
      <c r="V125" s="6" t="s">
        <v>21</v>
      </c>
      <c r="W125" s="6" t="s">
        <v>22</v>
      </c>
      <c r="X125" s="12" t="s">
        <v>23</v>
      </c>
      <c r="Y125" s="12" t="s">
        <v>24</v>
      </c>
      <c r="Z125" s="6" t="s">
        <v>25</v>
      </c>
      <c r="AA125" s="6" t="s">
        <v>26</v>
      </c>
      <c r="AB125" s="6" t="s">
        <v>27</v>
      </c>
      <c r="AC125" s="6" t="s">
        <v>28</v>
      </c>
    </row>
    <row r="126">
      <c r="A126" s="56" t="s">
        <v>29</v>
      </c>
      <c r="B126" s="57">
        <f>I139/E182</f>
        <v>0.2053758413</v>
      </c>
      <c r="C126" s="14">
        <f>I126/E182</f>
        <v>0.02668755331</v>
      </c>
      <c r="D126" s="16" t="s">
        <v>151</v>
      </c>
      <c r="E126" s="16" t="s">
        <v>152</v>
      </c>
      <c r="F126" s="17">
        <v>9.0</v>
      </c>
      <c r="G126" s="85">
        <v>250.0</v>
      </c>
      <c r="H126" s="19">
        <f t="shared" ref="H126:H138" si="67">G126*J126</f>
        <v>515500</v>
      </c>
      <c r="I126" s="19">
        <f t="shared" ref="I126:I138" si="68">H126+P126</f>
        <v>558250</v>
      </c>
      <c r="J126" s="21">
        <v>2062.0</v>
      </c>
      <c r="K126" s="86"/>
      <c r="L126" s="87">
        <v>2233.0</v>
      </c>
      <c r="M126" s="88"/>
      <c r="N126" s="88">
        <f t="shared" ref="N126:N138" si="69">L126-J126</f>
        <v>171</v>
      </c>
      <c r="O126" s="25">
        <f t="shared" ref="O126:O138" si="70">L126/J126-1</f>
        <v>0.08292919496</v>
      </c>
      <c r="P126" s="84">
        <f t="shared" ref="P126:P138" si="71">H126*O126</f>
        <v>42750</v>
      </c>
      <c r="Q126" s="34"/>
      <c r="R126" s="29"/>
      <c r="S126" s="37"/>
      <c r="T126" s="16"/>
      <c r="U126" s="16"/>
      <c r="V126" s="16"/>
      <c r="W126" s="32"/>
      <c r="X126" s="31"/>
      <c r="Y126" s="29"/>
      <c r="Z126" s="16"/>
      <c r="AA126" s="32"/>
      <c r="AB126" s="31"/>
      <c r="AC126" s="29"/>
    </row>
    <row r="127">
      <c r="A127" s="89" t="s">
        <v>153</v>
      </c>
      <c r="B127" s="90">
        <f>I126+I127</f>
        <v>807750</v>
      </c>
      <c r="C127" s="14">
        <f>I127/E182</f>
        <v>0.01192753166</v>
      </c>
      <c r="D127" s="16" t="s">
        <v>154</v>
      </c>
      <c r="E127" s="16" t="s">
        <v>155</v>
      </c>
      <c r="F127" s="17">
        <v>8.8</v>
      </c>
      <c r="G127" s="85">
        <v>10000.0</v>
      </c>
      <c r="H127" s="19">
        <f t="shared" si="67"/>
        <v>238000</v>
      </c>
      <c r="I127" s="19">
        <f t="shared" si="68"/>
        <v>249500</v>
      </c>
      <c r="J127" s="21">
        <v>23.8</v>
      </c>
      <c r="K127" s="86"/>
      <c r="L127" s="91">
        <v>24.95</v>
      </c>
      <c r="M127" s="24"/>
      <c r="N127" s="24">
        <f t="shared" si="69"/>
        <v>1.15</v>
      </c>
      <c r="O127" s="25">
        <f t="shared" si="70"/>
        <v>0.04831932773</v>
      </c>
      <c r="P127" s="19">
        <f t="shared" si="71"/>
        <v>11500</v>
      </c>
      <c r="Q127" s="34"/>
      <c r="R127" s="29"/>
      <c r="S127" s="37"/>
      <c r="T127" s="16"/>
      <c r="U127" s="16"/>
      <c r="V127" s="16"/>
      <c r="W127" s="32"/>
      <c r="X127" s="31"/>
      <c r="Y127" s="29"/>
      <c r="Z127" s="16"/>
      <c r="AA127" s="32"/>
      <c r="AB127" s="31"/>
      <c r="AC127" s="29"/>
    </row>
    <row r="128">
      <c r="A128" s="89" t="s">
        <v>156</v>
      </c>
      <c r="B128" s="92">
        <f>B127/E182</f>
        <v>0.03861508498</v>
      </c>
      <c r="C128" s="14">
        <f>I128/E182</f>
        <v>0.01614399777</v>
      </c>
      <c r="D128" s="15" t="s">
        <v>157</v>
      </c>
      <c r="E128" s="16" t="s">
        <v>158</v>
      </c>
      <c r="F128" s="17">
        <v>8.0</v>
      </c>
      <c r="G128" s="18">
        <v>10000.0</v>
      </c>
      <c r="H128" s="19">
        <f t="shared" si="67"/>
        <v>310100</v>
      </c>
      <c r="I128" s="19">
        <f t="shared" si="68"/>
        <v>337700</v>
      </c>
      <c r="J128" s="21">
        <v>31.01</v>
      </c>
      <c r="K128" s="93">
        <f>IFERROR(__xludf.DUMMYFUNCTION("GOOGLEFINANCE(E128,""changepct"")"),-1.43)</f>
        <v>-1.43</v>
      </c>
      <c r="L128" s="23">
        <f>IFERROR(__xludf.DUMMYFUNCTION("googlefinance(E128,""price"")"),33.77)</f>
        <v>33.77</v>
      </c>
      <c r="M128" s="24"/>
      <c r="N128" s="24">
        <f t="shared" si="69"/>
        <v>2.76</v>
      </c>
      <c r="O128" s="25">
        <f t="shared" si="70"/>
        <v>0.08900354724</v>
      </c>
      <c r="P128" s="19">
        <f t="shared" si="71"/>
        <v>27600</v>
      </c>
      <c r="Q128" s="47">
        <v>0.016</v>
      </c>
      <c r="R128" s="20">
        <v>1264.0</v>
      </c>
      <c r="S128" s="31"/>
      <c r="T128" s="16"/>
      <c r="U128" s="16"/>
      <c r="V128" s="16"/>
      <c r="W128" s="30"/>
      <c r="X128" s="31"/>
      <c r="Y128" s="29"/>
      <c r="Z128" s="16"/>
      <c r="AA128" s="32"/>
      <c r="AB128" s="31"/>
      <c r="AC128" s="29"/>
    </row>
    <row r="129">
      <c r="A129" s="89" t="s">
        <v>159</v>
      </c>
      <c r="B129" s="90">
        <f>I129+I128+I138+I134+I132+I130+I137+I135+I136+I131</f>
        <v>3304900</v>
      </c>
      <c r="C129" s="14">
        <f>I129/E182</f>
        <v>0.01011569419</v>
      </c>
      <c r="D129" s="16" t="s">
        <v>160</v>
      </c>
      <c r="E129" s="16" t="s">
        <v>161</v>
      </c>
      <c r="F129" s="17">
        <v>8.0</v>
      </c>
      <c r="G129" s="18">
        <v>5000.0</v>
      </c>
      <c r="H129" s="19">
        <f t="shared" si="67"/>
        <v>189550</v>
      </c>
      <c r="I129" s="19">
        <f t="shared" si="68"/>
        <v>211600</v>
      </c>
      <c r="J129" s="21">
        <v>37.91</v>
      </c>
      <c r="K129" s="93">
        <f>IFERROR(__xludf.DUMMYFUNCTION("GOOGLEFINANCE(E129,""changepct"")"),-1.7)</f>
        <v>-1.7</v>
      </c>
      <c r="L129" s="23">
        <f>IFERROR(__xludf.DUMMYFUNCTION("googlefinance(E129,""price"")"),42.32)</f>
        <v>42.32</v>
      </c>
      <c r="M129" s="24"/>
      <c r="N129" s="24">
        <f t="shared" si="69"/>
        <v>4.41</v>
      </c>
      <c r="O129" s="25">
        <f t="shared" si="70"/>
        <v>0.1163281456</v>
      </c>
      <c r="P129" s="19">
        <f t="shared" si="71"/>
        <v>22050</v>
      </c>
      <c r="Q129" s="47"/>
      <c r="R129" s="20"/>
      <c r="S129" s="31"/>
      <c r="T129" s="16"/>
      <c r="U129" s="16"/>
      <c r="V129" s="16"/>
      <c r="W129" s="30"/>
      <c r="X129" s="31"/>
      <c r="Y129" s="29"/>
      <c r="Z129" s="16"/>
      <c r="AA129" s="32"/>
      <c r="AB129" s="31"/>
      <c r="AC129" s="29"/>
    </row>
    <row r="130">
      <c r="A130" s="89" t="s">
        <v>162</v>
      </c>
      <c r="B130" s="92">
        <f>B129/E182</f>
        <v>0.157993184</v>
      </c>
      <c r="C130" s="14">
        <f>I130/E182</f>
        <v>0.026051737</v>
      </c>
      <c r="D130" s="15" t="s">
        <v>163</v>
      </c>
      <c r="E130" s="16" t="s">
        <v>164</v>
      </c>
      <c r="F130" s="17">
        <v>8.1</v>
      </c>
      <c r="G130" s="18">
        <v>7000.0</v>
      </c>
      <c r="H130" s="19">
        <f t="shared" si="67"/>
        <v>383950</v>
      </c>
      <c r="I130" s="19">
        <f t="shared" si="68"/>
        <v>544950</v>
      </c>
      <c r="J130" s="21">
        <v>54.85</v>
      </c>
      <c r="K130" s="93">
        <f>IFERROR(__xludf.DUMMYFUNCTION("GOOGLEFINANCE(E130,""changepct"")"),-1.02)</f>
        <v>-1.02</v>
      </c>
      <c r="L130" s="23">
        <f>IFERROR(__xludf.DUMMYFUNCTION("googlefinance(E130,""price"")"),77.85)</f>
        <v>77.85</v>
      </c>
      <c r="M130" s="24"/>
      <c r="N130" s="24">
        <f t="shared" si="69"/>
        <v>23</v>
      </c>
      <c r="O130" s="25">
        <f t="shared" si="70"/>
        <v>0.419325433</v>
      </c>
      <c r="P130" s="19">
        <f t="shared" si="71"/>
        <v>161000</v>
      </c>
      <c r="Q130" s="47">
        <v>0.032</v>
      </c>
      <c r="R130" s="20">
        <v>3240.0</v>
      </c>
      <c r="S130" s="31"/>
      <c r="T130" s="16"/>
      <c r="U130" s="16"/>
      <c r="V130" s="16"/>
      <c r="W130" s="32"/>
      <c r="X130" s="31"/>
      <c r="Y130" s="29"/>
      <c r="Z130" s="15"/>
      <c r="AA130" s="36"/>
      <c r="AB130" s="37"/>
      <c r="AC130" s="27"/>
    </row>
    <row r="131">
      <c r="A131" s="38"/>
      <c r="B131" s="32"/>
      <c r="C131" s="14">
        <f>I131/E182</f>
        <v>0.01116503014</v>
      </c>
      <c r="D131" s="15" t="s">
        <v>165</v>
      </c>
      <c r="E131" s="16" t="s">
        <v>164</v>
      </c>
      <c r="F131" s="17">
        <v>8.1</v>
      </c>
      <c r="G131" s="18">
        <v>3000.0</v>
      </c>
      <c r="H131" s="19">
        <f t="shared" si="67"/>
        <v>139500</v>
      </c>
      <c r="I131" s="19">
        <f t="shared" si="68"/>
        <v>233550</v>
      </c>
      <c r="J131" s="21">
        <v>46.5</v>
      </c>
      <c r="K131" s="93">
        <f>IFERROR(__xludf.DUMMYFUNCTION("GOOGLEFINANCE(E131,""changepct"")"),-1.02)</f>
        <v>-1.02</v>
      </c>
      <c r="L131" s="23">
        <f>IFERROR(__xludf.DUMMYFUNCTION("googlefinance(E131,""price"")"),77.85)</f>
        <v>77.85</v>
      </c>
      <c r="M131" s="24"/>
      <c r="N131" s="24">
        <f t="shared" si="69"/>
        <v>31.35</v>
      </c>
      <c r="O131" s="25">
        <f t="shared" si="70"/>
        <v>0.6741935484</v>
      </c>
      <c r="P131" s="19">
        <f t="shared" si="71"/>
        <v>94050</v>
      </c>
      <c r="Q131" s="47">
        <v>0.032</v>
      </c>
      <c r="R131" s="20">
        <v>1432.0</v>
      </c>
      <c r="S131" s="31"/>
      <c r="T131" s="16"/>
      <c r="U131" s="16"/>
      <c r="V131" s="16"/>
      <c r="W131" s="32"/>
      <c r="X131" s="31"/>
      <c r="Y131" s="29"/>
      <c r="Z131" s="15" t="s">
        <v>164</v>
      </c>
      <c r="AA131" s="36">
        <v>45337.0</v>
      </c>
      <c r="AB131" s="37">
        <v>46.5</v>
      </c>
      <c r="AC131" s="27">
        <v>139500.0</v>
      </c>
    </row>
    <row r="132">
      <c r="A132" s="38"/>
      <c r="B132" s="32"/>
      <c r="C132" s="14">
        <f>I132/E182</f>
        <v>0.01315135856</v>
      </c>
      <c r="D132" s="16" t="s">
        <v>166</v>
      </c>
      <c r="E132" s="16" t="s">
        <v>167</v>
      </c>
      <c r="F132" s="17">
        <v>7.9</v>
      </c>
      <c r="G132" s="18">
        <v>30000.0</v>
      </c>
      <c r="H132" s="19">
        <f t="shared" si="67"/>
        <v>181500</v>
      </c>
      <c r="I132" s="19">
        <f t="shared" si="68"/>
        <v>275100</v>
      </c>
      <c r="J132" s="21">
        <v>6.05</v>
      </c>
      <c r="K132" s="93">
        <f>IFERROR(__xludf.DUMMYFUNCTION("GOOGLEFINANCE(E132,""changepct"")"),-1.5)</f>
        <v>-1.5</v>
      </c>
      <c r="L132" s="23">
        <f>IFERROR(__xludf.DUMMYFUNCTION("googlefinance(E132,""price"")"),9.17)</f>
        <v>9.17</v>
      </c>
      <c r="M132" s="24"/>
      <c r="N132" s="24">
        <f t="shared" si="69"/>
        <v>3.12</v>
      </c>
      <c r="O132" s="25">
        <f t="shared" si="70"/>
        <v>0.5157024793</v>
      </c>
      <c r="P132" s="19">
        <f t="shared" si="71"/>
        <v>93600</v>
      </c>
      <c r="Q132" s="47">
        <v>0.028</v>
      </c>
      <c r="R132" s="20">
        <v>1288.0</v>
      </c>
      <c r="S132" s="31"/>
      <c r="T132" s="16"/>
      <c r="U132" s="16"/>
      <c r="V132" s="16"/>
      <c r="W132" s="32"/>
      <c r="X132" s="31"/>
      <c r="Y132" s="29"/>
      <c r="Z132" s="15"/>
      <c r="AA132" s="36"/>
      <c r="AB132" s="37"/>
      <c r="AC132" s="27"/>
    </row>
    <row r="133">
      <c r="A133" s="38"/>
      <c r="B133" s="32"/>
      <c r="C133" s="14">
        <f>I133/E182</f>
        <v>0.008767572373</v>
      </c>
      <c r="D133" s="16" t="s">
        <v>166</v>
      </c>
      <c r="E133" s="16" t="s">
        <v>167</v>
      </c>
      <c r="F133" s="17">
        <v>7.9</v>
      </c>
      <c r="G133" s="18">
        <v>20000.0</v>
      </c>
      <c r="H133" s="19">
        <f t="shared" si="67"/>
        <v>98000</v>
      </c>
      <c r="I133" s="19">
        <f t="shared" si="68"/>
        <v>183400</v>
      </c>
      <c r="J133" s="21">
        <v>4.9</v>
      </c>
      <c r="K133" s="93">
        <f>IFERROR(__xludf.DUMMYFUNCTION("GOOGLEFINANCE(E133,""changepct"")"),-1.5)</f>
        <v>-1.5</v>
      </c>
      <c r="L133" s="23">
        <f>IFERROR(__xludf.DUMMYFUNCTION("googlefinance(E133,""price"")"),9.17)</f>
        <v>9.17</v>
      </c>
      <c r="M133" s="24"/>
      <c r="N133" s="24">
        <f t="shared" si="69"/>
        <v>4.27</v>
      </c>
      <c r="O133" s="25">
        <f t="shared" si="70"/>
        <v>0.8714285714</v>
      </c>
      <c r="P133" s="19">
        <f t="shared" si="71"/>
        <v>85400</v>
      </c>
      <c r="Q133" s="47">
        <v>0.028</v>
      </c>
      <c r="R133" s="20">
        <v>855.0</v>
      </c>
      <c r="S133" s="31"/>
      <c r="T133" s="16"/>
      <c r="U133" s="16"/>
      <c r="V133" s="16"/>
      <c r="W133" s="30"/>
      <c r="X133" s="31"/>
      <c r="Y133" s="29"/>
      <c r="Z133" s="15" t="s">
        <v>167</v>
      </c>
      <c r="AA133" s="41">
        <v>45351.0</v>
      </c>
      <c r="AB133" s="21">
        <v>4.9</v>
      </c>
      <c r="AC133" s="20">
        <v>98000.0</v>
      </c>
    </row>
    <row r="134">
      <c r="A134" s="38"/>
      <c r="B134" s="32"/>
      <c r="C134" s="14">
        <f>I134/E182</f>
        <v>0.01478153423</v>
      </c>
      <c r="D134" s="15" t="s">
        <v>321</v>
      </c>
      <c r="E134" s="16" t="s">
        <v>172</v>
      </c>
      <c r="F134" s="17">
        <v>8.1</v>
      </c>
      <c r="G134" s="18">
        <v>20000.0</v>
      </c>
      <c r="H134" s="19">
        <f t="shared" si="67"/>
        <v>361800</v>
      </c>
      <c r="I134" s="19">
        <f t="shared" si="68"/>
        <v>309200</v>
      </c>
      <c r="J134" s="21">
        <v>18.09</v>
      </c>
      <c r="K134" s="93">
        <f>IFERROR(__xludf.DUMMYFUNCTION("GOOGLEFINANCE(E134,""changepct"")"),-1.4)</f>
        <v>-1.4</v>
      </c>
      <c r="L134" s="23">
        <f>IFERROR(__xludf.DUMMYFUNCTION("googlefinance(E134,""price"")"),15.46)</f>
        <v>15.46</v>
      </c>
      <c r="M134" s="24"/>
      <c r="N134" s="24">
        <f t="shared" si="69"/>
        <v>-2.63</v>
      </c>
      <c r="O134" s="25">
        <f t="shared" si="70"/>
        <v>-0.1453841902</v>
      </c>
      <c r="P134" s="19">
        <f t="shared" si="71"/>
        <v>-52600</v>
      </c>
      <c r="Q134" s="47">
        <v>0.03</v>
      </c>
      <c r="R134" s="20">
        <v>2108.0</v>
      </c>
      <c r="S134" s="31"/>
      <c r="T134" s="16"/>
      <c r="U134" s="16"/>
      <c r="V134" s="16"/>
      <c r="W134" s="30"/>
      <c r="X134" s="31"/>
      <c r="Y134" s="29"/>
      <c r="Z134" s="15"/>
      <c r="AA134" s="41"/>
      <c r="AB134" s="21"/>
      <c r="AC134" s="20"/>
    </row>
    <row r="135">
      <c r="A135" s="38"/>
      <c r="B135" s="32"/>
      <c r="C135" s="14">
        <f>I135/E182</f>
        <v>0.01478153423</v>
      </c>
      <c r="D135" s="15" t="s">
        <v>171</v>
      </c>
      <c r="E135" s="16" t="s">
        <v>172</v>
      </c>
      <c r="F135" s="17">
        <v>8.1</v>
      </c>
      <c r="G135" s="18">
        <v>20000.0</v>
      </c>
      <c r="H135" s="19">
        <f t="shared" si="67"/>
        <v>281400</v>
      </c>
      <c r="I135" s="19">
        <f t="shared" si="68"/>
        <v>309200</v>
      </c>
      <c r="J135" s="21">
        <v>14.07</v>
      </c>
      <c r="K135" s="93">
        <f>IFERROR(__xludf.DUMMYFUNCTION("GOOGLEFINANCE(E135,""changepct"")"),-1.4)</f>
        <v>-1.4</v>
      </c>
      <c r="L135" s="23">
        <f>IFERROR(__xludf.DUMMYFUNCTION("googlefinance(E135,""price"")"),15.46)</f>
        <v>15.46</v>
      </c>
      <c r="M135" s="24"/>
      <c r="N135" s="24">
        <f t="shared" si="69"/>
        <v>1.39</v>
      </c>
      <c r="O135" s="25">
        <f t="shared" si="70"/>
        <v>0.09879175551</v>
      </c>
      <c r="P135" s="19">
        <f t="shared" si="71"/>
        <v>27800</v>
      </c>
      <c r="Q135" s="47">
        <v>0.03</v>
      </c>
      <c r="R135" s="20">
        <v>2108.0</v>
      </c>
      <c r="S135" s="31"/>
      <c r="T135" s="16"/>
      <c r="U135" s="16"/>
      <c r="V135" s="16"/>
      <c r="W135" s="30"/>
      <c r="X135" s="31"/>
      <c r="Y135" s="29"/>
      <c r="Z135" s="15" t="s">
        <v>172</v>
      </c>
      <c r="AA135" s="41">
        <v>45335.0</v>
      </c>
      <c r="AB135" s="21">
        <v>14.07</v>
      </c>
      <c r="AC135" s="20">
        <v>281400.0</v>
      </c>
    </row>
    <row r="136">
      <c r="A136" s="38"/>
      <c r="B136" s="32"/>
      <c r="C136" s="14">
        <f>I136/E182</f>
        <v>0.01429869628</v>
      </c>
      <c r="D136" s="16" t="s">
        <v>357</v>
      </c>
      <c r="E136" s="16" t="s">
        <v>174</v>
      </c>
      <c r="F136" s="17">
        <v>8.0</v>
      </c>
      <c r="G136" s="18">
        <v>15000.0</v>
      </c>
      <c r="H136" s="19">
        <f t="shared" si="67"/>
        <v>182700</v>
      </c>
      <c r="I136" s="19">
        <f t="shared" si="68"/>
        <v>299100</v>
      </c>
      <c r="J136" s="21">
        <v>12.18</v>
      </c>
      <c r="K136" s="93">
        <f>IFERROR(__xludf.DUMMYFUNCTION("GOOGLEFINANCE(E136,""changepct"")"),-3.11)</f>
        <v>-3.11</v>
      </c>
      <c r="L136" s="23">
        <f>IFERROR(__xludf.DUMMYFUNCTION("googlefinance(E136,""price"")"),19.94)</f>
        <v>19.94</v>
      </c>
      <c r="M136" s="24"/>
      <c r="N136" s="24">
        <f t="shared" si="69"/>
        <v>7.76</v>
      </c>
      <c r="O136" s="25">
        <f t="shared" si="70"/>
        <v>0.6371100164</v>
      </c>
      <c r="P136" s="19">
        <f t="shared" si="71"/>
        <v>116400</v>
      </c>
      <c r="Q136" s="47">
        <v>0.03</v>
      </c>
      <c r="R136" s="20">
        <v>1695.0</v>
      </c>
      <c r="S136" s="31"/>
      <c r="T136" s="16"/>
      <c r="U136" s="16"/>
      <c r="V136" s="16"/>
      <c r="W136" s="30"/>
      <c r="X136" s="31"/>
      <c r="Y136" s="29"/>
      <c r="Z136" s="15" t="s">
        <v>174</v>
      </c>
      <c r="AA136" s="41">
        <v>45335.0</v>
      </c>
      <c r="AB136" s="21">
        <v>12.18</v>
      </c>
      <c r="AC136" s="20">
        <v>182700.0</v>
      </c>
    </row>
    <row r="137">
      <c r="A137" s="38"/>
      <c r="B137" s="32"/>
      <c r="C137" s="14">
        <f>I137/E182</f>
        <v>0.02383116046</v>
      </c>
      <c r="D137" s="15" t="s">
        <v>411</v>
      </c>
      <c r="E137" s="16" t="s">
        <v>174</v>
      </c>
      <c r="F137" s="17">
        <v>8.0</v>
      </c>
      <c r="G137" s="18">
        <v>25000.0</v>
      </c>
      <c r="H137" s="19">
        <f t="shared" si="67"/>
        <v>408250</v>
      </c>
      <c r="I137" s="19">
        <f t="shared" si="68"/>
        <v>498500</v>
      </c>
      <c r="J137" s="21">
        <v>16.33</v>
      </c>
      <c r="K137" s="93">
        <f>IFERROR(__xludf.DUMMYFUNCTION("GOOGLEFINANCE(E137,""changepct"")"),-3.11)</f>
        <v>-3.11</v>
      </c>
      <c r="L137" s="23">
        <f>IFERROR(__xludf.DUMMYFUNCTION("googlefinance(E137,""price"")"),19.94)</f>
        <v>19.94</v>
      </c>
      <c r="M137" s="24"/>
      <c r="N137" s="24">
        <f t="shared" si="69"/>
        <v>3.61</v>
      </c>
      <c r="O137" s="25">
        <f t="shared" si="70"/>
        <v>0.2210655236</v>
      </c>
      <c r="P137" s="19">
        <f t="shared" si="71"/>
        <v>90250</v>
      </c>
      <c r="Q137" s="47">
        <v>0.03</v>
      </c>
      <c r="R137" s="20">
        <v>2828.0</v>
      </c>
      <c r="S137" s="31"/>
      <c r="T137" s="16"/>
      <c r="U137" s="16"/>
      <c r="V137" s="16"/>
      <c r="W137" s="30"/>
      <c r="X137" s="31"/>
      <c r="Y137" s="29"/>
      <c r="Z137" s="15"/>
      <c r="AA137" s="41"/>
      <c r="AB137" s="21"/>
      <c r="AC137" s="20"/>
    </row>
    <row r="138">
      <c r="A138" s="38"/>
      <c r="B138" s="32"/>
      <c r="C138" s="14">
        <f>I138/E182</f>
        <v>0.01367244111</v>
      </c>
      <c r="D138" s="95" t="s">
        <v>179</v>
      </c>
      <c r="E138" s="16" t="s">
        <v>180</v>
      </c>
      <c r="F138" s="17">
        <v>8.0</v>
      </c>
      <c r="G138" s="18">
        <v>25000.0</v>
      </c>
      <c r="H138" s="19">
        <f t="shared" si="67"/>
        <v>254500</v>
      </c>
      <c r="I138" s="19">
        <f t="shared" si="68"/>
        <v>286000</v>
      </c>
      <c r="J138" s="21">
        <v>10.18</v>
      </c>
      <c r="K138" s="93">
        <f>IFERROR(__xludf.DUMMYFUNCTION("GOOGLEFINANCE(E138,""changepct"")"),-2.8)</f>
        <v>-2.8</v>
      </c>
      <c r="L138" s="23">
        <f>IFERROR(__xludf.DUMMYFUNCTION("googlefinance(E138,""price"")"),11.44)</f>
        <v>11.44</v>
      </c>
      <c r="M138" s="24"/>
      <c r="N138" s="24">
        <f t="shared" si="69"/>
        <v>1.26</v>
      </c>
      <c r="O138" s="25">
        <f t="shared" si="70"/>
        <v>0.1237721022</v>
      </c>
      <c r="P138" s="19">
        <f t="shared" si="71"/>
        <v>31500</v>
      </c>
      <c r="Q138" s="47"/>
      <c r="R138" s="20"/>
      <c r="S138" s="31"/>
      <c r="T138" s="16"/>
      <c r="U138" s="16"/>
      <c r="V138" s="16"/>
      <c r="W138" s="30"/>
      <c r="X138" s="31"/>
      <c r="Y138" s="29"/>
      <c r="Z138" s="16"/>
      <c r="AA138" s="94"/>
      <c r="AB138" s="24"/>
      <c r="AC138" s="19"/>
    </row>
    <row r="139">
      <c r="A139" s="55"/>
      <c r="B139" s="53"/>
      <c r="C139" s="6" t="s">
        <v>89</v>
      </c>
      <c r="D139" s="6"/>
      <c r="E139" s="6"/>
      <c r="F139" s="6"/>
      <c r="G139" s="11"/>
      <c r="H139" s="49">
        <f t="shared" ref="H139:I139" si="72">SUM(H126:H138)</f>
        <v>3544750</v>
      </c>
      <c r="I139" s="50">
        <f t="shared" si="72"/>
        <v>4296050</v>
      </c>
      <c r="J139" s="8"/>
      <c r="K139" s="8"/>
      <c r="L139" s="10"/>
      <c r="M139" s="10"/>
      <c r="N139" s="10"/>
      <c r="O139" s="51">
        <f>(P139+R139)/D179</f>
        <v>0.07580254295</v>
      </c>
      <c r="P139" s="263">
        <v>198700.0</v>
      </c>
      <c r="Q139" s="6"/>
      <c r="R139" s="49">
        <f>SUM(R126:R138)</f>
        <v>16818</v>
      </c>
      <c r="S139" s="10"/>
      <c r="T139" s="6"/>
      <c r="U139" s="5"/>
      <c r="V139" s="6" t="s">
        <v>89</v>
      </c>
      <c r="W139" s="53"/>
      <c r="X139" s="54"/>
      <c r="Y139" s="49">
        <f>SUM(Y126:Y138)</f>
        <v>0</v>
      </c>
      <c r="Z139" s="6" t="s">
        <v>89</v>
      </c>
      <c r="AA139" s="53"/>
      <c r="AB139" s="53"/>
      <c r="AC139" s="49">
        <f>SUM(AC126:AC138)</f>
        <v>701600</v>
      </c>
    </row>
    <row r="140">
      <c r="A140" s="55"/>
      <c r="B140" s="291" t="s">
        <v>412</v>
      </c>
      <c r="C140" s="6" t="s">
        <v>2</v>
      </c>
      <c r="D140" s="6" t="s">
        <v>182</v>
      </c>
      <c r="E140" s="6" t="s">
        <v>4</v>
      </c>
      <c r="F140" s="6" t="s">
        <v>5</v>
      </c>
      <c r="G140" s="5" t="s">
        <v>183</v>
      </c>
      <c r="H140" s="6" t="s">
        <v>7</v>
      </c>
      <c r="I140" s="7" t="s">
        <v>8</v>
      </c>
      <c r="J140" s="7" t="s">
        <v>9</v>
      </c>
      <c r="K140" s="8" t="s">
        <v>10</v>
      </c>
      <c r="L140" s="8" t="s">
        <v>11</v>
      </c>
      <c r="M140" s="9" t="s">
        <v>12</v>
      </c>
      <c r="N140" s="10" t="s">
        <v>13</v>
      </c>
      <c r="O140" s="6" t="s">
        <v>14</v>
      </c>
      <c r="P140" s="10" t="s">
        <v>15</v>
      </c>
      <c r="Q140" s="5" t="s">
        <v>128</v>
      </c>
      <c r="R140" s="6" t="s">
        <v>17</v>
      </c>
      <c r="S140" s="9" t="s">
        <v>18</v>
      </c>
      <c r="T140" s="5" t="s">
        <v>19</v>
      </c>
      <c r="U140" s="5" t="s">
        <v>19</v>
      </c>
      <c r="V140" s="6" t="s">
        <v>21</v>
      </c>
      <c r="W140" s="6" t="s">
        <v>22</v>
      </c>
      <c r="X140" s="12" t="s">
        <v>23</v>
      </c>
      <c r="Y140" s="12" t="s">
        <v>24</v>
      </c>
      <c r="Z140" s="6" t="s">
        <v>25</v>
      </c>
      <c r="AA140" s="6" t="s">
        <v>26</v>
      </c>
      <c r="AB140" s="6" t="s">
        <v>27</v>
      </c>
      <c r="AC140" s="6" t="s">
        <v>28</v>
      </c>
    </row>
    <row r="141">
      <c r="A141" s="56" t="s">
        <v>29</v>
      </c>
      <c r="B141" s="57">
        <f>I176/E182</f>
        <v>0.07581990068</v>
      </c>
      <c r="C141" s="14">
        <f>I141/E182</f>
        <v>0.01011091361</v>
      </c>
      <c r="D141" s="96" t="s">
        <v>184</v>
      </c>
      <c r="E141" s="16" t="s">
        <v>185</v>
      </c>
      <c r="F141" s="17">
        <v>7.8</v>
      </c>
      <c r="G141" s="97">
        <v>3.0</v>
      </c>
      <c r="H141" s="19">
        <f t="shared" ref="H141:H175" si="73">G141*J141</f>
        <v>127818</v>
      </c>
      <c r="I141" s="20">
        <f t="shared" ref="I141:I143" si="74">H141+P141</f>
        <v>211500</v>
      </c>
      <c r="J141" s="20">
        <v>42606.0</v>
      </c>
      <c r="K141" s="98"/>
      <c r="L141" s="99">
        <v>70500.0</v>
      </c>
      <c r="M141" s="100"/>
      <c r="N141" s="100">
        <f t="shared" ref="N141:N175" si="75">L141-J141</f>
        <v>27894</v>
      </c>
      <c r="O141" s="101">
        <f t="shared" ref="O141:O143" si="76">L141/J141-1</f>
        <v>0.6546965216</v>
      </c>
      <c r="P141" s="102">
        <f t="shared" ref="P141:P175" si="77">H141*O141</f>
        <v>83682</v>
      </c>
      <c r="Q141" s="32"/>
      <c r="R141" s="32"/>
      <c r="S141" s="103"/>
      <c r="T141" s="15"/>
      <c r="U141" s="15"/>
      <c r="V141" s="15"/>
      <c r="W141" s="41"/>
      <c r="X141" s="20"/>
      <c r="Y141" s="20"/>
      <c r="Z141" s="104"/>
      <c r="AA141" s="105"/>
      <c r="AB141" s="106"/>
      <c r="AC141" s="106"/>
    </row>
    <row r="142">
      <c r="A142" s="38"/>
      <c r="B142" s="32"/>
      <c r="C142" s="14">
        <f>I142/E182</f>
        <v>0.0129075493</v>
      </c>
      <c r="D142" s="15" t="s">
        <v>187</v>
      </c>
      <c r="E142" s="45" t="s">
        <v>188</v>
      </c>
      <c r="F142" s="17">
        <v>7.8</v>
      </c>
      <c r="G142" s="97">
        <v>75.0</v>
      </c>
      <c r="H142" s="19">
        <f t="shared" si="73"/>
        <v>172200</v>
      </c>
      <c r="I142" s="20">
        <f t="shared" si="74"/>
        <v>270000</v>
      </c>
      <c r="J142" s="27">
        <v>2296.0</v>
      </c>
      <c r="K142" s="98"/>
      <c r="L142" s="99">
        <v>3600.0</v>
      </c>
      <c r="M142" s="100"/>
      <c r="N142" s="100">
        <f t="shared" si="75"/>
        <v>1304</v>
      </c>
      <c r="O142" s="101">
        <f t="shared" si="76"/>
        <v>0.5679442509</v>
      </c>
      <c r="P142" s="102">
        <f t="shared" si="77"/>
        <v>97800</v>
      </c>
      <c r="Q142" s="32"/>
      <c r="R142" s="32"/>
      <c r="S142" s="27"/>
      <c r="T142" s="15"/>
      <c r="U142" s="15"/>
      <c r="V142" s="15"/>
      <c r="W142" s="36"/>
      <c r="X142" s="27"/>
      <c r="Y142" s="27"/>
      <c r="Z142" s="104"/>
      <c r="AA142" s="108"/>
      <c r="AB142" s="109"/>
      <c r="AC142" s="20"/>
    </row>
    <row r="143">
      <c r="A143" s="38"/>
      <c r="B143" s="32"/>
      <c r="C143" s="14">
        <f>I143/E182</f>
        <v>0.004302516432</v>
      </c>
      <c r="D143" s="15" t="s">
        <v>187</v>
      </c>
      <c r="E143" s="45" t="s">
        <v>188</v>
      </c>
      <c r="F143" s="17">
        <v>7.8</v>
      </c>
      <c r="G143" s="97">
        <v>25.0</v>
      </c>
      <c r="H143" s="19">
        <f t="shared" si="73"/>
        <v>86500</v>
      </c>
      <c r="I143" s="20">
        <f t="shared" si="74"/>
        <v>90000</v>
      </c>
      <c r="J143" s="20">
        <v>3460.0</v>
      </c>
      <c r="K143" s="98"/>
      <c r="L143" s="99">
        <v>3600.0</v>
      </c>
      <c r="M143" s="103"/>
      <c r="N143" s="100">
        <f t="shared" si="75"/>
        <v>140</v>
      </c>
      <c r="O143" s="101">
        <f t="shared" si="76"/>
        <v>0.04046242775</v>
      </c>
      <c r="P143" s="102">
        <f t="shared" si="77"/>
        <v>3500</v>
      </c>
      <c r="Q143" s="32"/>
      <c r="R143" s="32"/>
      <c r="S143" s="292"/>
      <c r="T143" s="15"/>
      <c r="U143" s="15"/>
      <c r="V143" s="15"/>
      <c r="W143" s="41"/>
      <c r="X143" s="20"/>
      <c r="Y143" s="20"/>
      <c r="Z143" s="104" t="s">
        <v>189</v>
      </c>
      <c r="AA143" s="105">
        <v>45368.0</v>
      </c>
      <c r="AB143" s="106">
        <v>3460.0</v>
      </c>
      <c r="AC143" s="20">
        <v>86500.0</v>
      </c>
    </row>
    <row r="144">
      <c r="A144" s="38"/>
      <c r="B144" s="32"/>
      <c r="C144" s="14">
        <f>I144/E182</f>
        <v>0</v>
      </c>
      <c r="D144" s="293" t="s">
        <v>413</v>
      </c>
      <c r="E144" s="16" t="s">
        <v>185</v>
      </c>
      <c r="F144" s="17">
        <v>7.8</v>
      </c>
      <c r="G144" s="97">
        <v>1.0</v>
      </c>
      <c r="H144" s="19">
        <f t="shared" si="73"/>
        <v>42606</v>
      </c>
      <c r="I144" s="20">
        <v>0.0</v>
      </c>
      <c r="J144" s="20">
        <v>42606.0</v>
      </c>
      <c r="K144" s="98"/>
      <c r="L144" s="99">
        <v>70500.0</v>
      </c>
      <c r="M144" s="103">
        <v>62656.0</v>
      </c>
      <c r="N144" s="100">
        <f t="shared" si="75"/>
        <v>27894</v>
      </c>
      <c r="O144" s="101">
        <f t="shared" ref="O144:O152" si="78">M144/J144-1</f>
        <v>0.4705909966</v>
      </c>
      <c r="P144" s="102">
        <f t="shared" si="77"/>
        <v>20050</v>
      </c>
      <c r="Q144" s="32"/>
      <c r="R144" s="32"/>
      <c r="S144" s="292"/>
      <c r="T144" s="15"/>
      <c r="U144" s="15"/>
      <c r="V144" s="15" t="s">
        <v>186</v>
      </c>
      <c r="W144" s="41">
        <v>45351.0</v>
      </c>
      <c r="X144" s="20">
        <v>62656.0</v>
      </c>
      <c r="Y144" s="20">
        <v>62656.0</v>
      </c>
      <c r="Z144" s="104"/>
      <c r="AA144" s="105"/>
      <c r="AB144" s="294"/>
      <c r="AC144" s="20"/>
    </row>
    <row r="145">
      <c r="A145" s="38"/>
      <c r="B145" s="32"/>
      <c r="C145" s="14">
        <f>I145/E182</f>
        <v>0</v>
      </c>
      <c r="D145" s="293" t="s">
        <v>413</v>
      </c>
      <c r="E145" s="16" t="s">
        <v>185</v>
      </c>
      <c r="F145" s="17">
        <v>7.8</v>
      </c>
      <c r="G145" s="97">
        <v>1.0</v>
      </c>
      <c r="H145" s="19">
        <f t="shared" si="73"/>
        <v>42606</v>
      </c>
      <c r="I145" s="20">
        <v>0.0</v>
      </c>
      <c r="J145" s="20">
        <v>42606.0</v>
      </c>
      <c r="K145" s="98"/>
      <c r="L145" s="99">
        <v>70500.0</v>
      </c>
      <c r="M145" s="103">
        <v>67123.0</v>
      </c>
      <c r="N145" s="100">
        <f t="shared" si="75"/>
        <v>27894</v>
      </c>
      <c r="O145" s="101">
        <f t="shared" si="78"/>
        <v>0.5754353847</v>
      </c>
      <c r="P145" s="102">
        <f t="shared" si="77"/>
        <v>24517</v>
      </c>
      <c r="Q145" s="32"/>
      <c r="R145" s="32"/>
      <c r="S145" s="292"/>
      <c r="T145" s="15"/>
      <c r="U145" s="15"/>
      <c r="V145" s="15" t="s">
        <v>186</v>
      </c>
      <c r="W145" s="41">
        <v>45355.0</v>
      </c>
      <c r="X145" s="20">
        <v>67123.0</v>
      </c>
      <c r="Y145" s="20">
        <v>67123.0</v>
      </c>
      <c r="Z145" s="104"/>
      <c r="AA145" s="105"/>
      <c r="AB145" s="294"/>
      <c r="AC145" s="20"/>
    </row>
    <row r="146">
      <c r="A146" s="38"/>
      <c r="B146" s="32"/>
      <c r="C146" s="14">
        <f>I146/E182</f>
        <v>0</v>
      </c>
      <c r="D146" s="16" t="s">
        <v>414</v>
      </c>
      <c r="E146" s="45" t="s">
        <v>188</v>
      </c>
      <c r="F146" s="17">
        <v>7.8</v>
      </c>
      <c r="G146" s="97">
        <v>25.0</v>
      </c>
      <c r="H146" s="19">
        <f t="shared" si="73"/>
        <v>57400</v>
      </c>
      <c r="I146" s="20">
        <v>0.0</v>
      </c>
      <c r="J146" s="20">
        <v>2296.0</v>
      </c>
      <c r="K146" s="98"/>
      <c r="L146" s="99">
        <v>3600.0</v>
      </c>
      <c r="M146" s="103">
        <v>3375.0</v>
      </c>
      <c r="N146" s="100">
        <f t="shared" si="75"/>
        <v>1304</v>
      </c>
      <c r="O146" s="101">
        <f t="shared" si="78"/>
        <v>0.4699477352</v>
      </c>
      <c r="P146" s="102">
        <f t="shared" si="77"/>
        <v>26975</v>
      </c>
      <c r="Q146" s="32"/>
      <c r="R146" s="32"/>
      <c r="S146" s="292"/>
      <c r="T146" s="15"/>
      <c r="U146" s="15"/>
      <c r="V146" s="15" t="s">
        <v>189</v>
      </c>
      <c r="W146" s="41">
        <v>45351.0</v>
      </c>
      <c r="X146" s="20">
        <v>3375.0</v>
      </c>
      <c r="Y146" s="20">
        <v>84375.0</v>
      </c>
      <c r="Z146" s="104"/>
      <c r="AA146" s="105"/>
      <c r="AB146" s="294"/>
      <c r="AC146" s="20"/>
    </row>
    <row r="147">
      <c r="A147" s="38"/>
      <c r="B147" s="32"/>
      <c r="C147" s="14">
        <f>I147/E182</f>
        <v>0</v>
      </c>
      <c r="D147" s="15" t="s">
        <v>200</v>
      </c>
      <c r="E147" s="42" t="s">
        <v>201</v>
      </c>
      <c r="F147" s="17">
        <v>7.5</v>
      </c>
      <c r="G147" s="97">
        <v>150000.0</v>
      </c>
      <c r="H147" s="19">
        <f t="shared" si="73"/>
        <v>93600</v>
      </c>
      <c r="I147" s="20">
        <v>0.0</v>
      </c>
      <c r="J147" s="111">
        <v>0.624</v>
      </c>
      <c r="K147" s="98"/>
      <c r="L147" s="295">
        <v>0.63</v>
      </c>
      <c r="M147" s="296">
        <v>0.74</v>
      </c>
      <c r="N147" s="100">
        <f t="shared" si="75"/>
        <v>0.006</v>
      </c>
      <c r="O147" s="101">
        <f t="shared" si="78"/>
        <v>0.1858974359</v>
      </c>
      <c r="P147" s="102">
        <f t="shared" si="77"/>
        <v>17400</v>
      </c>
      <c r="Q147" s="32"/>
      <c r="R147" s="32"/>
      <c r="S147" s="292"/>
      <c r="T147" s="15"/>
      <c r="U147" s="15"/>
      <c r="V147" s="15" t="s">
        <v>202</v>
      </c>
      <c r="W147" s="41">
        <v>45362.0</v>
      </c>
      <c r="X147" s="111">
        <v>0.74</v>
      </c>
      <c r="Y147" s="20">
        <v>111000.0</v>
      </c>
      <c r="Z147" s="104"/>
      <c r="AA147" s="105"/>
      <c r="AB147" s="294"/>
      <c r="AC147" s="20"/>
    </row>
    <row r="148">
      <c r="A148" s="38"/>
      <c r="B148" s="32"/>
      <c r="C148" s="14">
        <f>I148/E182</f>
        <v>0</v>
      </c>
      <c r="D148" s="15" t="s">
        <v>200</v>
      </c>
      <c r="E148" s="42" t="s">
        <v>201</v>
      </c>
      <c r="F148" s="17">
        <v>7.5</v>
      </c>
      <c r="G148" s="97">
        <v>100000.0</v>
      </c>
      <c r="H148" s="19">
        <f t="shared" si="73"/>
        <v>61000</v>
      </c>
      <c r="I148" s="20">
        <v>0.0</v>
      </c>
      <c r="J148" s="111">
        <v>0.61</v>
      </c>
      <c r="K148" s="98"/>
      <c r="L148" s="295">
        <v>0.63</v>
      </c>
      <c r="M148" s="296">
        <v>0.6299</v>
      </c>
      <c r="N148" s="100">
        <f t="shared" si="75"/>
        <v>0.02</v>
      </c>
      <c r="O148" s="101">
        <f t="shared" si="78"/>
        <v>0.03262295082</v>
      </c>
      <c r="P148" s="102">
        <f t="shared" si="77"/>
        <v>1990</v>
      </c>
      <c r="Q148" s="32"/>
      <c r="R148" s="32"/>
      <c r="S148" s="21"/>
      <c r="T148" s="15"/>
      <c r="U148" s="15"/>
      <c r="V148" s="15" t="s">
        <v>202</v>
      </c>
      <c r="W148" s="41">
        <v>45380.0</v>
      </c>
      <c r="X148" s="111">
        <v>0.6299</v>
      </c>
      <c r="Y148" s="20">
        <v>62990.0</v>
      </c>
      <c r="Z148" s="104" t="s">
        <v>202</v>
      </c>
      <c r="AA148" s="105">
        <v>45370.0</v>
      </c>
      <c r="AB148" s="294">
        <v>0.61</v>
      </c>
      <c r="AC148" s="20">
        <v>61000.0</v>
      </c>
    </row>
    <row r="149">
      <c r="A149" s="38"/>
      <c r="B149" s="32"/>
      <c r="C149" s="14">
        <f>I149/E182</f>
        <v>0</v>
      </c>
      <c r="D149" s="15" t="s">
        <v>200</v>
      </c>
      <c r="E149" s="42" t="s">
        <v>201</v>
      </c>
      <c r="F149" s="17">
        <v>7.5</v>
      </c>
      <c r="G149" s="97">
        <v>75000.0</v>
      </c>
      <c r="H149" s="19">
        <f t="shared" si="73"/>
        <v>47077.5</v>
      </c>
      <c r="I149" s="20">
        <v>0.0</v>
      </c>
      <c r="J149" s="111">
        <v>0.6277</v>
      </c>
      <c r="K149" s="98"/>
      <c r="L149" s="295">
        <v>0.63</v>
      </c>
      <c r="M149" s="296">
        <v>0.6212</v>
      </c>
      <c r="N149" s="100">
        <f t="shared" si="75"/>
        <v>0.0023</v>
      </c>
      <c r="O149" s="101">
        <f t="shared" si="78"/>
        <v>-0.01035526525</v>
      </c>
      <c r="P149" s="102">
        <f t="shared" si="77"/>
        <v>-487.5</v>
      </c>
      <c r="Q149" s="32"/>
      <c r="R149" s="32"/>
      <c r="S149" s="21"/>
      <c r="T149" s="15"/>
      <c r="U149" s="15"/>
      <c r="V149" s="15" t="s">
        <v>202</v>
      </c>
      <c r="W149" s="41">
        <v>45379.0</v>
      </c>
      <c r="X149" s="111">
        <v>0.6212</v>
      </c>
      <c r="Y149" s="20">
        <v>46590.0</v>
      </c>
      <c r="Z149" s="104" t="s">
        <v>202</v>
      </c>
      <c r="AA149" s="105">
        <v>45354.0</v>
      </c>
      <c r="AB149" s="294">
        <v>0.6277</v>
      </c>
      <c r="AC149" s="20">
        <v>47078.0</v>
      </c>
    </row>
    <row r="150">
      <c r="A150" s="38"/>
      <c r="B150" s="32"/>
      <c r="C150" s="14">
        <f>I150/E182</f>
        <v>0</v>
      </c>
      <c r="D150" s="15" t="s">
        <v>415</v>
      </c>
      <c r="E150" s="15" t="s">
        <v>195</v>
      </c>
      <c r="F150" s="17">
        <v>7.6</v>
      </c>
      <c r="G150" s="97">
        <v>15000.0</v>
      </c>
      <c r="H150" s="19">
        <f t="shared" si="73"/>
        <v>126750</v>
      </c>
      <c r="I150" s="20">
        <v>0.0</v>
      </c>
      <c r="J150" s="21">
        <v>8.45</v>
      </c>
      <c r="K150" s="98"/>
      <c r="L150" s="122">
        <v>9.58</v>
      </c>
      <c r="M150" s="283">
        <v>9.67</v>
      </c>
      <c r="N150" s="100">
        <f t="shared" si="75"/>
        <v>1.13</v>
      </c>
      <c r="O150" s="101">
        <f t="shared" si="78"/>
        <v>0.1443786982</v>
      </c>
      <c r="P150" s="102">
        <f t="shared" si="77"/>
        <v>18300</v>
      </c>
      <c r="Q150" s="32"/>
      <c r="R150" s="32"/>
      <c r="S150" s="21"/>
      <c r="T150" s="15"/>
      <c r="U150" s="15"/>
      <c r="V150" s="15" t="s">
        <v>196</v>
      </c>
      <c r="W150" s="41">
        <v>45354.0</v>
      </c>
      <c r="X150" s="21">
        <v>9.67</v>
      </c>
      <c r="Y150" s="20">
        <v>145050.0</v>
      </c>
      <c r="Z150" s="104"/>
      <c r="AA150" s="105"/>
      <c r="AB150" s="109"/>
      <c r="AC150" s="20"/>
    </row>
    <row r="151">
      <c r="A151" s="38"/>
      <c r="B151" s="32"/>
      <c r="C151" s="14">
        <f>I151/E182</f>
        <v>0</v>
      </c>
      <c r="D151" s="15" t="s">
        <v>415</v>
      </c>
      <c r="E151" s="15" t="s">
        <v>195</v>
      </c>
      <c r="F151" s="17">
        <v>7.6</v>
      </c>
      <c r="G151" s="97">
        <v>10000.0</v>
      </c>
      <c r="H151" s="19">
        <f t="shared" si="73"/>
        <v>64000</v>
      </c>
      <c r="I151" s="20">
        <v>0.0</v>
      </c>
      <c r="J151" s="21">
        <v>6.4</v>
      </c>
      <c r="K151" s="98"/>
      <c r="L151" s="122">
        <v>9.58</v>
      </c>
      <c r="M151" s="296">
        <v>8.037</v>
      </c>
      <c r="N151" s="100">
        <f t="shared" si="75"/>
        <v>3.18</v>
      </c>
      <c r="O151" s="101">
        <f t="shared" si="78"/>
        <v>0.25578125</v>
      </c>
      <c r="P151" s="102">
        <f t="shared" si="77"/>
        <v>16370</v>
      </c>
      <c r="Q151" s="32"/>
      <c r="R151" s="32"/>
      <c r="S151" s="21"/>
      <c r="T151" s="15"/>
      <c r="U151" s="15"/>
      <c r="V151" s="15" t="s">
        <v>196</v>
      </c>
      <c r="W151" s="41">
        <v>45348.0</v>
      </c>
      <c r="X151" s="297">
        <v>8.037</v>
      </c>
      <c r="Y151" s="20">
        <v>80370.0</v>
      </c>
      <c r="Z151" s="104" t="s">
        <v>196</v>
      </c>
      <c r="AA151" s="105">
        <v>45315.0</v>
      </c>
      <c r="AB151" s="109">
        <v>6.4</v>
      </c>
      <c r="AC151" s="20">
        <v>64000.0</v>
      </c>
    </row>
    <row r="152">
      <c r="A152" s="38"/>
      <c r="B152" s="32"/>
      <c r="C152" s="14">
        <f>I152/E182</f>
        <v>0</v>
      </c>
      <c r="D152" s="15" t="s">
        <v>190</v>
      </c>
      <c r="E152" s="15" t="s">
        <v>191</v>
      </c>
      <c r="F152" s="17">
        <v>7.6</v>
      </c>
      <c r="G152" s="97">
        <v>1000000.0</v>
      </c>
      <c r="H152" s="19">
        <f t="shared" si="73"/>
        <v>85500</v>
      </c>
      <c r="I152" s="20">
        <v>0.0</v>
      </c>
      <c r="J152" s="111">
        <v>0.0855</v>
      </c>
      <c r="K152" s="98"/>
      <c r="L152" s="112">
        <v>0.208</v>
      </c>
      <c r="M152" s="296">
        <v>0.13</v>
      </c>
      <c r="N152" s="100">
        <f t="shared" si="75"/>
        <v>0.1225</v>
      </c>
      <c r="O152" s="101">
        <f t="shared" si="78"/>
        <v>0.5204678363</v>
      </c>
      <c r="P152" s="102">
        <f t="shared" si="77"/>
        <v>44500</v>
      </c>
      <c r="Q152" s="32"/>
      <c r="R152" s="32"/>
      <c r="S152" s="21"/>
      <c r="T152" s="15"/>
      <c r="U152" s="15"/>
      <c r="V152" s="15" t="s">
        <v>192</v>
      </c>
      <c r="W152" s="41">
        <v>45351.0</v>
      </c>
      <c r="X152" s="21">
        <v>0.13</v>
      </c>
      <c r="Y152" s="20">
        <v>130000.0</v>
      </c>
      <c r="Z152" s="104" t="s">
        <v>192</v>
      </c>
      <c r="AA152" s="105">
        <v>45336.0</v>
      </c>
      <c r="AB152" s="110">
        <v>0.0855</v>
      </c>
      <c r="AC152" s="20">
        <v>85500.0</v>
      </c>
    </row>
    <row r="153">
      <c r="A153" s="38"/>
      <c r="B153" s="32"/>
      <c r="C153" s="14">
        <f>I153/E182</f>
        <v>0.004971796766</v>
      </c>
      <c r="D153" s="15" t="s">
        <v>190</v>
      </c>
      <c r="E153" s="15" t="s">
        <v>191</v>
      </c>
      <c r="F153" s="17">
        <v>7.6</v>
      </c>
      <c r="G153" s="97">
        <v>500000.0</v>
      </c>
      <c r="H153" s="19">
        <f t="shared" si="73"/>
        <v>70265</v>
      </c>
      <c r="I153" s="20">
        <f t="shared" ref="I153:I154" si="79">H153+P153</f>
        <v>104000</v>
      </c>
      <c r="J153" s="111">
        <v>0.14053</v>
      </c>
      <c r="K153" s="98"/>
      <c r="L153" s="112">
        <v>0.208</v>
      </c>
      <c r="M153" s="283"/>
      <c r="N153" s="100">
        <f t="shared" si="75"/>
        <v>0.06747</v>
      </c>
      <c r="O153" s="101">
        <f t="shared" ref="O153:O154" si="80">L153/J153-1</f>
        <v>0.4801110083</v>
      </c>
      <c r="P153" s="102">
        <f t="shared" si="77"/>
        <v>33735</v>
      </c>
      <c r="Q153" s="32"/>
      <c r="R153" s="32"/>
      <c r="S153" s="21"/>
      <c r="T153" s="15"/>
      <c r="U153" s="15"/>
      <c r="V153" s="15"/>
      <c r="W153" s="41"/>
      <c r="X153" s="21"/>
      <c r="Y153" s="20"/>
      <c r="Z153" s="104" t="s">
        <v>192</v>
      </c>
      <c r="AA153" s="105">
        <v>45368.0</v>
      </c>
      <c r="AB153" s="110">
        <v>0.1405</v>
      </c>
      <c r="AC153" s="20">
        <v>70265.0</v>
      </c>
    </row>
    <row r="154">
      <c r="A154" s="38"/>
      <c r="B154" s="32"/>
      <c r="C154" s="14">
        <f>I154/E182</f>
        <v>0.004971796766</v>
      </c>
      <c r="D154" s="15" t="s">
        <v>190</v>
      </c>
      <c r="E154" s="15" t="s">
        <v>191</v>
      </c>
      <c r="F154" s="17">
        <v>7.6</v>
      </c>
      <c r="G154" s="97">
        <v>500000.0</v>
      </c>
      <c r="H154" s="19">
        <f t="shared" si="73"/>
        <v>73200</v>
      </c>
      <c r="I154" s="20">
        <f t="shared" si="79"/>
        <v>104000</v>
      </c>
      <c r="J154" s="111">
        <v>0.1464</v>
      </c>
      <c r="K154" s="98"/>
      <c r="L154" s="112">
        <v>0.208</v>
      </c>
      <c r="M154" s="283"/>
      <c r="N154" s="100">
        <f t="shared" si="75"/>
        <v>0.0616</v>
      </c>
      <c r="O154" s="101">
        <f t="shared" si="80"/>
        <v>0.4207650273</v>
      </c>
      <c r="P154" s="102">
        <f t="shared" si="77"/>
        <v>30800</v>
      </c>
      <c r="Q154" s="32"/>
      <c r="R154" s="32"/>
      <c r="S154" s="21"/>
      <c r="T154" s="15"/>
      <c r="U154" s="15"/>
      <c r="V154" s="15"/>
      <c r="W154" s="41"/>
      <c r="X154" s="21"/>
      <c r="Y154" s="20"/>
      <c r="Z154" s="104" t="s">
        <v>192</v>
      </c>
      <c r="AA154" s="105">
        <v>45354.0</v>
      </c>
      <c r="AB154" s="110">
        <v>0.1464</v>
      </c>
      <c r="AC154" s="20">
        <v>73200.0</v>
      </c>
    </row>
    <row r="155">
      <c r="A155" s="38"/>
      <c r="B155" s="32"/>
      <c r="C155" s="14">
        <f>I155/E182</f>
        <v>0</v>
      </c>
      <c r="D155" s="15" t="s">
        <v>190</v>
      </c>
      <c r="E155" s="15" t="s">
        <v>191</v>
      </c>
      <c r="F155" s="17">
        <v>7.6</v>
      </c>
      <c r="G155" s="97">
        <v>500000.0</v>
      </c>
      <c r="H155" s="19">
        <f t="shared" si="73"/>
        <v>67650</v>
      </c>
      <c r="I155" s="20">
        <v>0.0</v>
      </c>
      <c r="J155" s="111">
        <v>0.1353</v>
      </c>
      <c r="K155" s="98"/>
      <c r="L155" s="112">
        <v>0.208</v>
      </c>
      <c r="M155" s="296">
        <v>0.218</v>
      </c>
      <c r="N155" s="100">
        <f t="shared" si="75"/>
        <v>0.0727</v>
      </c>
      <c r="O155" s="101">
        <f t="shared" ref="O155:O168" si="81">M155/J155-1</f>
        <v>0.6112342942</v>
      </c>
      <c r="P155" s="102">
        <f t="shared" si="77"/>
        <v>41350</v>
      </c>
      <c r="Q155" s="32"/>
      <c r="R155" s="32"/>
      <c r="S155" s="21"/>
      <c r="T155" s="15"/>
      <c r="U155" s="15"/>
      <c r="V155" s="15" t="s">
        <v>192</v>
      </c>
      <c r="W155" s="41">
        <v>45379.0</v>
      </c>
      <c r="X155" s="297">
        <v>0.218</v>
      </c>
      <c r="Y155" s="20">
        <v>109000.0</v>
      </c>
      <c r="Z155" s="104" t="s">
        <v>192</v>
      </c>
      <c r="AA155" s="105">
        <v>45370.0</v>
      </c>
      <c r="AB155" s="110">
        <v>0.1353</v>
      </c>
      <c r="AC155" s="20">
        <v>67650.0</v>
      </c>
    </row>
    <row r="156">
      <c r="A156" s="38"/>
      <c r="B156" s="32"/>
      <c r="C156" s="14">
        <f>I156/E182</f>
        <v>0</v>
      </c>
      <c r="D156" s="15" t="s">
        <v>190</v>
      </c>
      <c r="E156" s="15" t="s">
        <v>191</v>
      </c>
      <c r="F156" s="17">
        <v>7.6</v>
      </c>
      <c r="G156" s="97">
        <v>500000.0</v>
      </c>
      <c r="H156" s="19">
        <f t="shared" si="73"/>
        <v>44000</v>
      </c>
      <c r="I156" s="20">
        <v>0.0</v>
      </c>
      <c r="J156" s="111">
        <v>0.088</v>
      </c>
      <c r="K156" s="98"/>
      <c r="L156" s="112">
        <v>0.208</v>
      </c>
      <c r="M156" s="296">
        <v>0.179</v>
      </c>
      <c r="N156" s="100">
        <f t="shared" si="75"/>
        <v>0.12</v>
      </c>
      <c r="O156" s="101">
        <f t="shared" si="81"/>
        <v>1.034090909</v>
      </c>
      <c r="P156" s="102">
        <f t="shared" si="77"/>
        <v>45500</v>
      </c>
      <c r="Q156" s="32"/>
      <c r="R156" s="32"/>
      <c r="S156" s="21"/>
      <c r="T156" s="15"/>
      <c r="U156" s="15"/>
      <c r="V156" s="15" t="s">
        <v>192</v>
      </c>
      <c r="W156" s="41">
        <v>45355.0</v>
      </c>
      <c r="X156" s="297">
        <v>0.179</v>
      </c>
      <c r="Y156" s="20">
        <v>89500.0</v>
      </c>
      <c r="Z156" s="104" t="s">
        <v>192</v>
      </c>
      <c r="AA156" s="105">
        <v>45341.0</v>
      </c>
      <c r="AB156" s="110">
        <v>0.088</v>
      </c>
      <c r="AC156" s="20">
        <v>44000.0</v>
      </c>
    </row>
    <row r="157">
      <c r="A157" s="38"/>
      <c r="B157" s="32"/>
      <c r="C157" s="14">
        <f>I157/E182</f>
        <v>0</v>
      </c>
      <c r="D157" s="15" t="s">
        <v>416</v>
      </c>
      <c r="E157" s="15" t="s">
        <v>360</v>
      </c>
      <c r="F157" s="17">
        <v>7.5</v>
      </c>
      <c r="G157" s="97">
        <v>2000.0</v>
      </c>
      <c r="H157" s="19">
        <f t="shared" si="73"/>
        <v>59580</v>
      </c>
      <c r="I157" s="20">
        <v>0.0</v>
      </c>
      <c r="J157" s="21">
        <v>29.79</v>
      </c>
      <c r="K157" s="98"/>
      <c r="L157" s="122">
        <v>39.8</v>
      </c>
      <c r="M157" s="283">
        <v>39.2</v>
      </c>
      <c r="N157" s="100">
        <f t="shared" si="75"/>
        <v>10.01</v>
      </c>
      <c r="O157" s="101">
        <f t="shared" si="81"/>
        <v>0.3158778113</v>
      </c>
      <c r="P157" s="102">
        <f t="shared" si="77"/>
        <v>18820</v>
      </c>
      <c r="Q157" s="32"/>
      <c r="R157" s="32"/>
      <c r="S157" s="21"/>
      <c r="T157" s="15"/>
      <c r="U157" s="15"/>
      <c r="V157" s="15" t="s">
        <v>361</v>
      </c>
      <c r="W157" s="41">
        <v>45380.0</v>
      </c>
      <c r="X157" s="21">
        <v>39.2</v>
      </c>
      <c r="Y157" s="20">
        <v>78400.0</v>
      </c>
      <c r="Z157" s="104" t="s">
        <v>361</v>
      </c>
      <c r="AA157" s="105">
        <v>44611.0</v>
      </c>
      <c r="AB157" s="109">
        <v>29.79</v>
      </c>
      <c r="AC157" s="20">
        <v>59580.0</v>
      </c>
    </row>
    <row r="158">
      <c r="A158" s="38"/>
      <c r="B158" s="32"/>
      <c r="C158" s="14">
        <f>I158/E182</f>
        <v>0</v>
      </c>
      <c r="D158" s="15" t="s">
        <v>416</v>
      </c>
      <c r="E158" s="15" t="s">
        <v>360</v>
      </c>
      <c r="F158" s="17">
        <v>7.5</v>
      </c>
      <c r="G158" s="97">
        <v>3000.0</v>
      </c>
      <c r="H158" s="19">
        <f t="shared" si="73"/>
        <v>91380</v>
      </c>
      <c r="I158" s="20">
        <v>0.0</v>
      </c>
      <c r="J158" s="21">
        <v>30.46</v>
      </c>
      <c r="K158" s="98"/>
      <c r="L158" s="122">
        <v>39.8</v>
      </c>
      <c r="M158" s="283">
        <v>39.13</v>
      </c>
      <c r="N158" s="100">
        <f t="shared" si="75"/>
        <v>9.34</v>
      </c>
      <c r="O158" s="101">
        <f t="shared" si="81"/>
        <v>0.2846355877</v>
      </c>
      <c r="P158" s="102">
        <f t="shared" si="77"/>
        <v>26010</v>
      </c>
      <c r="Q158" s="32"/>
      <c r="R158" s="32"/>
      <c r="S158" s="21"/>
      <c r="T158" s="15"/>
      <c r="U158" s="15"/>
      <c r="V158" s="15" t="s">
        <v>361</v>
      </c>
      <c r="W158" s="41">
        <v>45356.0</v>
      </c>
      <c r="X158" s="21">
        <v>39.13</v>
      </c>
      <c r="Y158" s="20">
        <v>117390.0</v>
      </c>
      <c r="Z158" s="104" t="s">
        <v>361</v>
      </c>
      <c r="AA158" s="105">
        <v>45342.0</v>
      </c>
      <c r="AB158" s="109">
        <v>30.46</v>
      </c>
      <c r="AC158" s="20">
        <v>91380.0</v>
      </c>
    </row>
    <row r="159">
      <c r="A159" s="38"/>
      <c r="B159" s="32"/>
      <c r="C159" s="14">
        <f>I159/E182</f>
        <v>0</v>
      </c>
      <c r="D159" s="15" t="s">
        <v>416</v>
      </c>
      <c r="E159" s="15" t="s">
        <v>360</v>
      </c>
      <c r="F159" s="17">
        <v>7.5</v>
      </c>
      <c r="G159" s="97">
        <v>1000.0</v>
      </c>
      <c r="H159" s="19">
        <f t="shared" si="73"/>
        <v>38230</v>
      </c>
      <c r="I159" s="20">
        <v>0.0</v>
      </c>
      <c r="J159" s="21">
        <v>38.23</v>
      </c>
      <c r="K159" s="98"/>
      <c r="L159" s="122">
        <v>39.8</v>
      </c>
      <c r="M159" s="283">
        <v>39.2</v>
      </c>
      <c r="N159" s="100">
        <f t="shared" si="75"/>
        <v>1.57</v>
      </c>
      <c r="O159" s="101">
        <f t="shared" si="81"/>
        <v>0.02537274392</v>
      </c>
      <c r="P159" s="102">
        <f t="shared" si="77"/>
        <v>970</v>
      </c>
      <c r="Q159" s="32"/>
      <c r="R159" s="32"/>
      <c r="S159" s="21"/>
      <c r="T159" s="15"/>
      <c r="U159" s="15"/>
      <c r="V159" s="15" t="s">
        <v>361</v>
      </c>
      <c r="W159" s="41">
        <v>45380.0</v>
      </c>
      <c r="X159" s="21">
        <v>39.2</v>
      </c>
      <c r="Y159" s="20">
        <v>39200.0</v>
      </c>
      <c r="Z159" s="104" t="s">
        <v>361</v>
      </c>
      <c r="AA159" s="105">
        <v>45354.0</v>
      </c>
      <c r="AB159" s="109">
        <v>38.23</v>
      </c>
      <c r="AC159" s="20">
        <v>38230.0</v>
      </c>
    </row>
    <row r="160">
      <c r="A160" s="38"/>
      <c r="B160" s="32"/>
      <c r="C160" s="14">
        <f>I160/E182</f>
        <v>0</v>
      </c>
      <c r="D160" s="15" t="s">
        <v>416</v>
      </c>
      <c r="E160" s="15" t="s">
        <v>360</v>
      </c>
      <c r="F160" s="17">
        <v>7.5</v>
      </c>
      <c r="G160" s="97">
        <v>3000.0</v>
      </c>
      <c r="H160" s="19">
        <f t="shared" si="73"/>
        <v>97350</v>
      </c>
      <c r="I160" s="20">
        <v>0.0</v>
      </c>
      <c r="J160" s="21">
        <v>32.45</v>
      </c>
      <c r="K160" s="98"/>
      <c r="L160" s="122">
        <v>39.8</v>
      </c>
      <c r="M160" s="283">
        <v>26.4</v>
      </c>
      <c r="N160" s="100">
        <f t="shared" si="75"/>
        <v>7.35</v>
      </c>
      <c r="O160" s="101">
        <f t="shared" si="81"/>
        <v>-0.186440678</v>
      </c>
      <c r="P160" s="102">
        <f t="shared" si="77"/>
        <v>-18150</v>
      </c>
      <c r="Q160" s="32"/>
      <c r="R160" s="32"/>
      <c r="S160" s="21"/>
      <c r="T160" s="15"/>
      <c r="U160" s="15"/>
      <c r="V160" s="15" t="s">
        <v>361</v>
      </c>
      <c r="W160" s="41">
        <v>45299.0</v>
      </c>
      <c r="X160" s="21">
        <v>26.4</v>
      </c>
      <c r="Y160" s="20">
        <v>79200.0</v>
      </c>
      <c r="Z160" s="104"/>
      <c r="AA160" s="105"/>
      <c r="AB160" s="109"/>
      <c r="AC160" s="106"/>
    </row>
    <row r="161">
      <c r="A161" s="38"/>
      <c r="B161" s="32"/>
      <c r="C161" s="14">
        <f>I161/E182</f>
        <v>0</v>
      </c>
      <c r="D161" s="15" t="s">
        <v>416</v>
      </c>
      <c r="E161" s="15" t="s">
        <v>360</v>
      </c>
      <c r="F161" s="17">
        <v>7.5</v>
      </c>
      <c r="G161" s="97">
        <v>2500.0</v>
      </c>
      <c r="H161" s="19">
        <f t="shared" si="73"/>
        <v>66125</v>
      </c>
      <c r="I161" s="20">
        <v>0.0</v>
      </c>
      <c r="J161" s="21">
        <v>26.45</v>
      </c>
      <c r="K161" s="98"/>
      <c r="L161" s="122">
        <v>39.8</v>
      </c>
      <c r="M161" s="283">
        <v>27.0</v>
      </c>
      <c r="N161" s="100">
        <f t="shared" si="75"/>
        <v>13.35</v>
      </c>
      <c r="O161" s="101">
        <f t="shared" si="81"/>
        <v>0.02079395085</v>
      </c>
      <c r="P161" s="102">
        <f t="shared" si="77"/>
        <v>1375</v>
      </c>
      <c r="Q161" s="32"/>
      <c r="R161" s="32"/>
      <c r="S161" s="21"/>
      <c r="T161" s="15"/>
      <c r="U161" s="15"/>
      <c r="V161" s="15" t="s">
        <v>361</v>
      </c>
      <c r="W161" s="41">
        <v>45328.0</v>
      </c>
      <c r="X161" s="21">
        <v>27.0</v>
      </c>
      <c r="Y161" s="20">
        <v>67500.0</v>
      </c>
      <c r="Z161" s="104" t="s">
        <v>361</v>
      </c>
      <c r="AA161" s="105">
        <v>45316.0</v>
      </c>
      <c r="AB161" s="109">
        <v>26.45</v>
      </c>
      <c r="AC161" s="106">
        <v>66125.0</v>
      </c>
    </row>
    <row r="162">
      <c r="A162" s="38"/>
      <c r="B162" s="32"/>
      <c r="C162" s="14">
        <f>I162/E182</f>
        <v>0</v>
      </c>
      <c r="D162" s="15" t="s">
        <v>416</v>
      </c>
      <c r="E162" s="15" t="s">
        <v>360</v>
      </c>
      <c r="F162" s="17">
        <v>7.5</v>
      </c>
      <c r="G162" s="97">
        <v>2000.0</v>
      </c>
      <c r="H162" s="19">
        <f t="shared" si="73"/>
        <v>70020</v>
      </c>
      <c r="I162" s="20">
        <v>0.0</v>
      </c>
      <c r="J162" s="21">
        <v>35.01</v>
      </c>
      <c r="K162" s="98"/>
      <c r="L162" s="122">
        <v>39.8</v>
      </c>
      <c r="M162" s="283">
        <v>38.4</v>
      </c>
      <c r="N162" s="100">
        <f t="shared" si="75"/>
        <v>4.79</v>
      </c>
      <c r="O162" s="101">
        <f t="shared" si="81"/>
        <v>0.09682947729</v>
      </c>
      <c r="P162" s="102">
        <f t="shared" si="77"/>
        <v>6780</v>
      </c>
      <c r="Q162" s="32"/>
      <c r="R162" s="32"/>
      <c r="S162" s="21"/>
      <c r="T162" s="15"/>
      <c r="U162" s="15"/>
      <c r="V162" s="15" t="s">
        <v>361</v>
      </c>
      <c r="W162" s="41">
        <v>45379.0</v>
      </c>
      <c r="X162" s="21">
        <v>38.4</v>
      </c>
      <c r="Y162" s="20">
        <v>76800.0</v>
      </c>
      <c r="Z162" s="104" t="s">
        <v>361</v>
      </c>
      <c r="AA162" s="105">
        <v>45368.0</v>
      </c>
      <c r="AB162" s="109">
        <v>35.01</v>
      </c>
      <c r="AC162" s="106">
        <v>70020.0</v>
      </c>
    </row>
    <row r="163">
      <c r="A163" s="38"/>
      <c r="B163" s="32"/>
      <c r="C163" s="14">
        <f>I163/E182</f>
        <v>0</v>
      </c>
      <c r="D163" s="16" t="s">
        <v>417</v>
      </c>
      <c r="E163" s="16" t="s">
        <v>418</v>
      </c>
      <c r="F163" s="17">
        <v>7.4</v>
      </c>
      <c r="G163" s="97">
        <v>3000.0</v>
      </c>
      <c r="H163" s="19">
        <f t="shared" si="73"/>
        <v>84450</v>
      </c>
      <c r="I163" s="20">
        <v>0.0</v>
      </c>
      <c r="J163" s="21">
        <v>28.15</v>
      </c>
      <c r="K163" s="98"/>
      <c r="L163" s="122">
        <v>30.7</v>
      </c>
      <c r="M163" s="283">
        <v>30.88</v>
      </c>
      <c r="N163" s="100">
        <f t="shared" si="75"/>
        <v>2.55</v>
      </c>
      <c r="O163" s="101">
        <f t="shared" si="81"/>
        <v>0.09698046181</v>
      </c>
      <c r="P163" s="102">
        <f t="shared" si="77"/>
        <v>8190</v>
      </c>
      <c r="Q163" s="32"/>
      <c r="R163" s="32"/>
      <c r="S163" s="21"/>
      <c r="T163" s="15"/>
      <c r="U163" s="15"/>
      <c r="V163" s="15" t="s">
        <v>419</v>
      </c>
      <c r="W163" s="41">
        <v>45379.0</v>
      </c>
      <c r="X163" s="21">
        <v>30.88</v>
      </c>
      <c r="Y163" s="20">
        <v>92640.0</v>
      </c>
      <c r="Z163" s="104" t="s">
        <v>419</v>
      </c>
      <c r="AA163" s="105">
        <v>45368.0</v>
      </c>
      <c r="AB163" s="109">
        <v>28.15</v>
      </c>
      <c r="AC163" s="106">
        <v>84450.0</v>
      </c>
    </row>
    <row r="164">
      <c r="A164" s="38"/>
      <c r="B164" s="32"/>
      <c r="C164" s="14">
        <f>I164/E182</f>
        <v>0</v>
      </c>
      <c r="D164" s="16" t="s">
        <v>417</v>
      </c>
      <c r="E164" s="16" t="s">
        <v>418</v>
      </c>
      <c r="F164" s="17">
        <v>7.4</v>
      </c>
      <c r="G164" s="97">
        <v>3000.0</v>
      </c>
      <c r="H164" s="19">
        <f t="shared" si="73"/>
        <v>65640</v>
      </c>
      <c r="I164" s="20">
        <v>0.0</v>
      </c>
      <c r="J164" s="21">
        <v>21.88</v>
      </c>
      <c r="K164" s="98"/>
      <c r="L164" s="122">
        <v>30.7</v>
      </c>
      <c r="M164" s="283">
        <v>20.69</v>
      </c>
      <c r="N164" s="100">
        <f t="shared" si="75"/>
        <v>8.82</v>
      </c>
      <c r="O164" s="101">
        <f t="shared" si="81"/>
        <v>-0.05438756856</v>
      </c>
      <c r="P164" s="102">
        <f t="shared" si="77"/>
        <v>-3570</v>
      </c>
      <c r="Q164" s="32"/>
      <c r="R164" s="32"/>
      <c r="S164" s="21"/>
      <c r="T164" s="15"/>
      <c r="U164" s="15"/>
      <c r="V164" s="15" t="s">
        <v>419</v>
      </c>
      <c r="W164" s="41">
        <v>45328.0</v>
      </c>
      <c r="X164" s="21">
        <v>20.69</v>
      </c>
      <c r="Y164" s="20">
        <v>62070.0</v>
      </c>
      <c r="Z164" s="104" t="s">
        <v>419</v>
      </c>
      <c r="AA164" s="105">
        <v>45316.0</v>
      </c>
      <c r="AB164" s="109">
        <v>21.88</v>
      </c>
      <c r="AC164" s="106">
        <v>65640.0</v>
      </c>
    </row>
    <row r="165">
      <c r="A165" s="38"/>
      <c r="B165" s="32"/>
      <c r="C165" s="14">
        <f>I165/E182</f>
        <v>0</v>
      </c>
      <c r="D165" s="16" t="s">
        <v>417</v>
      </c>
      <c r="E165" s="16" t="s">
        <v>418</v>
      </c>
      <c r="F165" s="17">
        <v>7.4</v>
      </c>
      <c r="G165" s="97">
        <v>6000.0</v>
      </c>
      <c r="H165" s="19">
        <f t="shared" si="73"/>
        <v>121620</v>
      </c>
      <c r="I165" s="20">
        <v>0.0</v>
      </c>
      <c r="J165" s="21">
        <v>20.27</v>
      </c>
      <c r="K165" s="98"/>
      <c r="L165" s="122">
        <v>30.7</v>
      </c>
      <c r="M165" s="283">
        <v>22.8</v>
      </c>
      <c r="N165" s="100">
        <f t="shared" si="75"/>
        <v>10.43</v>
      </c>
      <c r="O165" s="101">
        <f t="shared" si="81"/>
        <v>0.1248149975</v>
      </c>
      <c r="P165" s="102">
        <f t="shared" si="77"/>
        <v>15180</v>
      </c>
      <c r="Q165" s="32"/>
      <c r="R165" s="32"/>
      <c r="S165" s="21"/>
      <c r="T165" s="15"/>
      <c r="U165" s="15"/>
      <c r="V165" s="15" t="s">
        <v>419</v>
      </c>
      <c r="W165" s="41">
        <v>45309.0</v>
      </c>
      <c r="X165" s="21">
        <v>22.8</v>
      </c>
      <c r="Y165" s="20">
        <v>136800.0</v>
      </c>
      <c r="Z165" s="104" t="s">
        <v>419</v>
      </c>
      <c r="AA165" s="105">
        <v>45301.0</v>
      </c>
      <c r="AB165" s="109">
        <v>20.27</v>
      </c>
      <c r="AC165" s="106">
        <v>121620.0</v>
      </c>
    </row>
    <row r="166">
      <c r="A166" s="38"/>
      <c r="B166" s="32"/>
      <c r="C166" s="14">
        <f>I166/E182</f>
        <v>0</v>
      </c>
      <c r="D166" s="16" t="s">
        <v>417</v>
      </c>
      <c r="E166" s="16" t="s">
        <v>418</v>
      </c>
      <c r="F166" s="17">
        <v>7.4</v>
      </c>
      <c r="G166" s="97">
        <v>3000.0</v>
      </c>
      <c r="H166" s="19">
        <f t="shared" si="73"/>
        <v>85680</v>
      </c>
      <c r="I166" s="20">
        <v>0.0</v>
      </c>
      <c r="J166" s="21">
        <v>28.56</v>
      </c>
      <c r="K166" s="98"/>
      <c r="L166" s="122">
        <v>30.7</v>
      </c>
      <c r="M166" s="283">
        <v>23.15</v>
      </c>
      <c r="N166" s="100">
        <f t="shared" si="75"/>
        <v>2.14</v>
      </c>
      <c r="O166" s="101">
        <f t="shared" si="81"/>
        <v>-0.1894257703</v>
      </c>
      <c r="P166" s="102">
        <f t="shared" si="77"/>
        <v>-16230</v>
      </c>
      <c r="Q166" s="32"/>
      <c r="R166" s="32"/>
      <c r="S166" s="21"/>
      <c r="T166" s="15"/>
      <c r="U166" s="15"/>
      <c r="V166" s="15" t="s">
        <v>419</v>
      </c>
      <c r="W166" s="41">
        <v>45296.0</v>
      </c>
      <c r="X166" s="21">
        <v>23.15</v>
      </c>
      <c r="Y166" s="20">
        <v>69450.0</v>
      </c>
      <c r="Z166" s="104"/>
      <c r="AA166" s="105"/>
      <c r="AB166" s="109"/>
      <c r="AC166" s="106"/>
    </row>
    <row r="167">
      <c r="A167" s="114"/>
      <c r="B167" s="115"/>
      <c r="C167" s="116">
        <f>I167/E182</f>
        <v>0</v>
      </c>
      <c r="D167" s="16" t="s">
        <v>417</v>
      </c>
      <c r="E167" s="16" t="s">
        <v>418</v>
      </c>
      <c r="F167" s="17">
        <v>7.4</v>
      </c>
      <c r="G167" s="119">
        <v>3000.0</v>
      </c>
      <c r="H167" s="19">
        <f t="shared" si="73"/>
        <v>75840</v>
      </c>
      <c r="I167" s="154">
        <v>0.0</v>
      </c>
      <c r="J167" s="141">
        <v>25.28</v>
      </c>
      <c r="K167" s="121"/>
      <c r="L167" s="122">
        <v>30.7</v>
      </c>
      <c r="M167" s="123">
        <v>28.75</v>
      </c>
      <c r="N167" s="100">
        <f t="shared" si="75"/>
        <v>5.42</v>
      </c>
      <c r="O167" s="143">
        <f t="shared" si="81"/>
        <v>0.1372626582</v>
      </c>
      <c r="P167" s="155">
        <f t="shared" si="77"/>
        <v>10410</v>
      </c>
      <c r="Q167" s="124"/>
      <c r="R167" s="125"/>
      <c r="S167" s="126"/>
      <c r="T167" s="125"/>
      <c r="U167" s="125"/>
      <c r="V167" s="127" t="s">
        <v>419</v>
      </c>
      <c r="W167" s="128">
        <v>45351.0</v>
      </c>
      <c r="X167" s="123">
        <v>28.75</v>
      </c>
      <c r="Y167" s="129">
        <v>86250.0</v>
      </c>
      <c r="Z167" s="130" t="s">
        <v>419</v>
      </c>
      <c r="AA167" s="131">
        <v>45342.0</v>
      </c>
      <c r="AB167" s="144">
        <v>25.28</v>
      </c>
      <c r="AC167" s="154">
        <v>75840.0</v>
      </c>
    </row>
    <row r="168">
      <c r="A168" s="114"/>
      <c r="B168" s="115"/>
      <c r="C168" s="116">
        <f>I168/E182</f>
        <v>0</v>
      </c>
      <c r="D168" s="16" t="s">
        <v>417</v>
      </c>
      <c r="E168" s="16" t="s">
        <v>418</v>
      </c>
      <c r="F168" s="17">
        <v>7.4</v>
      </c>
      <c r="G168" s="119">
        <v>2000.0</v>
      </c>
      <c r="H168" s="19">
        <f t="shared" si="73"/>
        <v>51480</v>
      </c>
      <c r="I168" s="154">
        <v>0.0</v>
      </c>
      <c r="J168" s="141">
        <v>25.74</v>
      </c>
      <c r="K168" s="121"/>
      <c r="L168" s="122">
        <v>30.7</v>
      </c>
      <c r="M168" s="123">
        <v>28.75</v>
      </c>
      <c r="N168" s="100">
        <f t="shared" si="75"/>
        <v>4.96</v>
      </c>
      <c r="O168" s="143">
        <f t="shared" si="81"/>
        <v>0.1169386169</v>
      </c>
      <c r="P168" s="155">
        <f t="shared" si="77"/>
        <v>6020</v>
      </c>
      <c r="Q168" s="124"/>
      <c r="R168" s="125"/>
      <c r="S168" s="126"/>
      <c r="T168" s="125"/>
      <c r="U168" s="125"/>
      <c r="V168" s="127" t="s">
        <v>419</v>
      </c>
      <c r="W168" s="128">
        <v>45351.0</v>
      </c>
      <c r="X168" s="123">
        <v>28.75</v>
      </c>
      <c r="Y168" s="129">
        <v>57500.0</v>
      </c>
      <c r="Z168" s="130" t="s">
        <v>419</v>
      </c>
      <c r="AA168" s="131">
        <v>45341.0</v>
      </c>
      <c r="AB168" s="144">
        <v>25.74</v>
      </c>
      <c r="AC168" s="154">
        <v>51480.0</v>
      </c>
    </row>
    <row r="169">
      <c r="A169" s="114"/>
      <c r="B169" s="115"/>
      <c r="C169" s="116">
        <f>I169/E182</f>
        <v>0.0136007325</v>
      </c>
      <c r="D169" s="117" t="s">
        <v>223</v>
      </c>
      <c r="E169" s="117" t="s">
        <v>224</v>
      </c>
      <c r="F169" s="118">
        <v>7.8</v>
      </c>
      <c r="G169" s="119">
        <v>10000.0</v>
      </c>
      <c r="H169" s="19">
        <f t="shared" si="73"/>
        <v>242500</v>
      </c>
      <c r="I169" s="154">
        <f>H169+P169</f>
        <v>284500</v>
      </c>
      <c r="J169" s="141">
        <v>24.25</v>
      </c>
      <c r="K169" s="152">
        <f>IFERROR(__xludf.DUMMYFUNCTION("GOOGLEFINANCE(E169,""changepct"")"),1.75)</f>
        <v>1.75</v>
      </c>
      <c r="L169" s="153">
        <f>IFERROR(__xludf.DUMMYFUNCTION("googlefinance(E169,""price"")"),28.45)</f>
        <v>28.45</v>
      </c>
      <c r="M169" s="123"/>
      <c r="N169" s="100">
        <f t="shared" si="75"/>
        <v>4.2</v>
      </c>
      <c r="O169" s="143">
        <f>L169/J169-1</f>
        <v>0.1731958763</v>
      </c>
      <c r="P169" s="155">
        <f t="shared" si="77"/>
        <v>42000</v>
      </c>
      <c r="Q169" s="124"/>
      <c r="R169" s="125"/>
      <c r="S169" s="126"/>
      <c r="T169" s="125"/>
      <c r="U169" s="125"/>
      <c r="V169" s="127"/>
      <c r="W169" s="128"/>
      <c r="X169" s="123"/>
      <c r="Y169" s="129"/>
      <c r="Z169" s="130" t="s">
        <v>224</v>
      </c>
      <c r="AA169" s="131">
        <v>45370.0</v>
      </c>
      <c r="AB169" s="144">
        <v>24.25</v>
      </c>
      <c r="AC169" s="154">
        <v>242500.0</v>
      </c>
    </row>
    <row r="170">
      <c r="A170" s="114"/>
      <c r="B170" s="115"/>
      <c r="C170" s="116">
        <f>I170/E182</f>
        <v>0</v>
      </c>
      <c r="D170" s="117" t="s">
        <v>223</v>
      </c>
      <c r="E170" s="117" t="s">
        <v>224</v>
      </c>
      <c r="F170" s="118">
        <v>7.8</v>
      </c>
      <c r="G170" s="119">
        <v>5000.0</v>
      </c>
      <c r="H170" s="19">
        <f t="shared" si="73"/>
        <v>112750</v>
      </c>
      <c r="I170" s="154">
        <v>0.0</v>
      </c>
      <c r="J170" s="141">
        <v>22.55</v>
      </c>
      <c r="K170" s="152">
        <f>IFERROR(__xludf.DUMMYFUNCTION("GOOGLEFINANCE(E170,""changepct"")"),1.75)</f>
        <v>1.75</v>
      </c>
      <c r="L170" s="153">
        <f>IFERROR(__xludf.DUMMYFUNCTION("googlefinance(E170,""price"")"),28.45)</f>
        <v>28.45</v>
      </c>
      <c r="M170" s="123">
        <v>28.82</v>
      </c>
      <c r="N170" s="161">
        <f t="shared" si="75"/>
        <v>5.9</v>
      </c>
      <c r="O170" s="143">
        <f t="shared" ref="O170:O175" si="82">M170/J170-1</f>
        <v>0.2780487805</v>
      </c>
      <c r="P170" s="155">
        <f t="shared" si="77"/>
        <v>31350</v>
      </c>
      <c r="Q170" s="124"/>
      <c r="R170" s="125"/>
      <c r="S170" s="126"/>
      <c r="T170" s="125"/>
      <c r="U170" s="125"/>
      <c r="V170" s="127" t="s">
        <v>224</v>
      </c>
      <c r="W170" s="128">
        <v>45351.0</v>
      </c>
      <c r="X170" s="123">
        <v>28.82</v>
      </c>
      <c r="Y170" s="129">
        <v>144100.0</v>
      </c>
      <c r="Z170" s="130"/>
      <c r="AA170" s="131"/>
      <c r="AB170" s="144"/>
      <c r="AC170" s="154"/>
    </row>
    <row r="171">
      <c r="A171" s="114"/>
      <c r="B171" s="115"/>
      <c r="C171" s="116">
        <f>I171/E182</f>
        <v>0</v>
      </c>
      <c r="D171" s="117" t="s">
        <v>223</v>
      </c>
      <c r="E171" s="117" t="s">
        <v>224</v>
      </c>
      <c r="F171" s="118">
        <v>7.8</v>
      </c>
      <c r="G171" s="119">
        <v>5000.0</v>
      </c>
      <c r="H171" s="19">
        <f t="shared" si="73"/>
        <v>112750</v>
      </c>
      <c r="I171" s="154">
        <v>0.0</v>
      </c>
      <c r="J171" s="141">
        <v>22.55</v>
      </c>
      <c r="K171" s="152">
        <f>IFERROR(__xludf.DUMMYFUNCTION("GOOGLEFINANCE(E171,""changepct"")"),1.75)</f>
        <v>1.75</v>
      </c>
      <c r="L171" s="153">
        <f>IFERROR(__xludf.DUMMYFUNCTION("googlefinance(E171,""price"")"),28.45)</f>
        <v>28.45</v>
      </c>
      <c r="M171" s="123">
        <v>30.99</v>
      </c>
      <c r="N171" s="161">
        <f t="shared" si="75"/>
        <v>5.9</v>
      </c>
      <c r="O171" s="143">
        <f t="shared" si="82"/>
        <v>0.3742793792</v>
      </c>
      <c r="P171" s="155">
        <f t="shared" si="77"/>
        <v>42200</v>
      </c>
      <c r="Q171" s="124"/>
      <c r="R171" s="125"/>
      <c r="S171" s="126"/>
      <c r="T171" s="125"/>
      <c r="U171" s="125"/>
      <c r="V171" s="127" t="s">
        <v>224</v>
      </c>
      <c r="W171" s="128">
        <v>45355.0</v>
      </c>
      <c r="X171" s="123">
        <v>30.99</v>
      </c>
      <c r="Y171" s="129">
        <v>154950.0</v>
      </c>
      <c r="Z171" s="130" t="s">
        <v>224</v>
      </c>
      <c r="AA171" s="131">
        <v>45336.0</v>
      </c>
      <c r="AB171" s="144">
        <v>22.55</v>
      </c>
      <c r="AC171" s="154">
        <v>225500.0</v>
      </c>
    </row>
    <row r="172">
      <c r="A172" s="114"/>
      <c r="B172" s="115"/>
      <c r="C172" s="116">
        <f>I172/E182</f>
        <v>0</v>
      </c>
      <c r="D172" s="156" t="s">
        <v>225</v>
      </c>
      <c r="E172" s="156" t="s">
        <v>226</v>
      </c>
      <c r="F172" s="157">
        <v>7.8</v>
      </c>
      <c r="G172" s="119">
        <v>200.0</v>
      </c>
      <c r="H172" s="19">
        <f t="shared" si="73"/>
        <v>116210</v>
      </c>
      <c r="I172" s="154">
        <v>0.0</v>
      </c>
      <c r="J172" s="141">
        <v>581.05</v>
      </c>
      <c r="K172" s="152">
        <f>IFERROR(__xludf.DUMMYFUNCTION("GOOGLEFINANCE(E172,""changepct"")"),-8.19)</f>
        <v>-8.19</v>
      </c>
      <c r="L172" s="153">
        <f>IFERROR(__xludf.DUMMYFUNCTION("googlefinance(E172,""price"")"),302.96)</f>
        <v>302.96</v>
      </c>
      <c r="M172" s="123">
        <v>1293.0</v>
      </c>
      <c r="N172" s="161">
        <f t="shared" si="75"/>
        <v>-278.09</v>
      </c>
      <c r="O172" s="143">
        <f t="shared" si="82"/>
        <v>1.225281817</v>
      </c>
      <c r="P172" s="155">
        <f t="shared" si="77"/>
        <v>142390</v>
      </c>
      <c r="Q172" s="124"/>
      <c r="R172" s="125"/>
      <c r="S172" s="123"/>
      <c r="T172" s="129"/>
      <c r="U172" s="125"/>
      <c r="V172" s="127" t="s">
        <v>226</v>
      </c>
      <c r="W172" s="128">
        <v>45355.0</v>
      </c>
      <c r="X172" s="123">
        <v>1293.0</v>
      </c>
      <c r="Y172" s="129">
        <v>258600.0</v>
      </c>
      <c r="Z172" s="159"/>
      <c r="AA172" s="160"/>
      <c r="AB172" s="161"/>
      <c r="AC172" s="155"/>
    </row>
    <row r="173">
      <c r="A173" s="162"/>
      <c r="B173" s="163"/>
      <c r="C173" s="164">
        <f>I173/E182</f>
        <v>0.01061287387</v>
      </c>
      <c r="D173" s="156" t="s">
        <v>225</v>
      </c>
      <c r="E173" s="156" t="s">
        <v>226</v>
      </c>
      <c r="F173" s="157">
        <v>7.8</v>
      </c>
      <c r="G173" s="165">
        <v>200.0</v>
      </c>
      <c r="H173" s="155">
        <f t="shared" si="73"/>
        <v>116210</v>
      </c>
      <c r="I173" s="155">
        <f t="shared" ref="I173:I174" si="83">H173+P173</f>
        <v>222000</v>
      </c>
      <c r="J173" s="161">
        <v>581.05</v>
      </c>
      <c r="K173" s="152">
        <f>IFERROR(__xludf.DUMMYFUNCTION("GOOGLEFINANCE(E173,""changepct"")"),-8.19)</f>
        <v>-8.19</v>
      </c>
      <c r="L173" s="153">
        <f>IFERROR(__xludf.DUMMYFUNCTION("googlefinance(E173,""price"")"),302.96)</f>
        <v>302.96</v>
      </c>
      <c r="M173" s="166">
        <v>1110.0</v>
      </c>
      <c r="N173" s="161">
        <f t="shared" si="75"/>
        <v>-278.09</v>
      </c>
      <c r="O173" s="143">
        <f t="shared" si="82"/>
        <v>0.9103347388</v>
      </c>
      <c r="P173" s="155">
        <f t="shared" si="77"/>
        <v>105790</v>
      </c>
      <c r="Q173" s="167"/>
      <c r="R173" s="168"/>
      <c r="S173" s="166" t="s">
        <v>420</v>
      </c>
      <c r="T173" s="170">
        <v>16200.0</v>
      </c>
      <c r="U173" s="168"/>
      <c r="V173" s="163"/>
      <c r="W173" s="275"/>
      <c r="X173" s="276"/>
      <c r="Y173" s="168"/>
      <c r="Z173" s="159" t="s">
        <v>226</v>
      </c>
      <c r="AA173" s="160">
        <v>45302.0</v>
      </c>
      <c r="AB173" s="161">
        <v>581.05</v>
      </c>
      <c r="AC173" s="155">
        <v>232420.0</v>
      </c>
    </row>
    <row r="174">
      <c r="A174" s="114"/>
      <c r="B174" s="115"/>
      <c r="C174" s="116">
        <f>I174/E182</f>
        <v>0.01434172144</v>
      </c>
      <c r="D174" s="284" t="s">
        <v>225</v>
      </c>
      <c r="E174" s="284" t="s">
        <v>226</v>
      </c>
      <c r="F174" s="118">
        <v>7.8</v>
      </c>
      <c r="G174" s="119">
        <v>300.0</v>
      </c>
      <c r="H174" s="155">
        <f t="shared" si="73"/>
        <v>144171</v>
      </c>
      <c r="I174" s="155">
        <f t="shared" si="83"/>
        <v>300000</v>
      </c>
      <c r="J174" s="141">
        <v>480.57</v>
      </c>
      <c r="K174" s="152">
        <f>IFERROR(__xludf.DUMMYFUNCTION("GOOGLEFINANCE(E174,""changepct"")"),-8.19)</f>
        <v>-8.19</v>
      </c>
      <c r="L174" s="153">
        <f>IFERROR(__xludf.DUMMYFUNCTION("googlefinance(E174,""price"")"),302.96)</f>
        <v>302.96</v>
      </c>
      <c r="M174" s="123">
        <v>1000.0</v>
      </c>
      <c r="N174" s="161">
        <f t="shared" si="75"/>
        <v>-177.61</v>
      </c>
      <c r="O174" s="143">
        <f t="shared" si="82"/>
        <v>1.080862309</v>
      </c>
      <c r="P174" s="155">
        <f t="shared" si="77"/>
        <v>155829</v>
      </c>
      <c r="Q174" s="124"/>
      <c r="R174" s="125"/>
      <c r="S174" s="285" t="s">
        <v>421</v>
      </c>
      <c r="T174" s="133">
        <v>27695.0</v>
      </c>
      <c r="U174" s="125"/>
      <c r="V174" s="115"/>
      <c r="W174" s="298"/>
      <c r="X174" s="126"/>
      <c r="Y174" s="125"/>
      <c r="Z174" s="286" t="s">
        <v>226</v>
      </c>
      <c r="AA174" s="287">
        <v>45307.0</v>
      </c>
      <c r="AB174" s="141">
        <v>480.57</v>
      </c>
      <c r="AC174" s="133">
        <v>144171.0</v>
      </c>
    </row>
    <row r="175">
      <c r="A175" s="114"/>
      <c r="B175" s="115"/>
      <c r="C175" s="116">
        <f>I175/E182</f>
        <v>0</v>
      </c>
      <c r="D175" s="284" t="s">
        <v>225</v>
      </c>
      <c r="E175" s="284" t="s">
        <v>226</v>
      </c>
      <c r="F175" s="118">
        <v>7.8</v>
      </c>
      <c r="G175" s="299">
        <v>300.0</v>
      </c>
      <c r="H175" s="300">
        <f t="shared" si="73"/>
        <v>169482</v>
      </c>
      <c r="I175" s="133">
        <v>0.0</v>
      </c>
      <c r="J175" s="301">
        <v>564.94</v>
      </c>
      <c r="K175" s="121">
        <f>IFERROR(__xludf.DUMMYFUNCTION("GOOGLEFINANCE(E175,""changepct"")"),-8.19)</f>
        <v>-8.19</v>
      </c>
      <c r="L175" s="302">
        <f>IFERROR(__xludf.DUMMYFUNCTION("googlefinance(E175,""price"")"),302.96)</f>
        <v>302.96</v>
      </c>
      <c r="M175" s="123">
        <v>708.0</v>
      </c>
      <c r="N175" s="301">
        <f t="shared" si="75"/>
        <v>-261.98</v>
      </c>
      <c r="O175" s="139">
        <f t="shared" si="82"/>
        <v>0.2532304316</v>
      </c>
      <c r="P175" s="300">
        <f t="shared" si="77"/>
        <v>42918</v>
      </c>
      <c r="Q175" s="124"/>
      <c r="R175" s="125"/>
      <c r="S175" s="303"/>
      <c r="T175" s="133">
        <v>5574.0</v>
      </c>
      <c r="U175" s="125"/>
      <c r="V175" s="127" t="s">
        <v>226</v>
      </c>
      <c r="W175" s="128">
        <v>45335.0</v>
      </c>
      <c r="X175" s="123">
        <v>708.0</v>
      </c>
      <c r="Y175" s="129">
        <v>212400.0</v>
      </c>
      <c r="Z175" s="304" t="s">
        <v>226</v>
      </c>
      <c r="AA175" s="305">
        <v>45301.0</v>
      </c>
      <c r="AB175" s="301">
        <v>564.94</v>
      </c>
      <c r="AC175" s="300">
        <v>169482.0</v>
      </c>
    </row>
    <row r="176">
      <c r="A176" s="48"/>
      <c r="B176" s="6"/>
      <c r="C176" s="6" t="s">
        <v>89</v>
      </c>
      <c r="D176" s="53"/>
      <c r="E176" s="53"/>
      <c r="F176" s="53"/>
      <c r="G176" s="11"/>
      <c r="H176" s="49">
        <f t="shared" ref="H176:I176" si="84">SUM(H141:H175)</f>
        <v>3183640.5</v>
      </c>
      <c r="I176" s="49">
        <f t="shared" si="84"/>
        <v>1586000</v>
      </c>
      <c r="J176" s="54"/>
      <c r="K176" s="53"/>
      <c r="L176" s="6"/>
      <c r="M176" s="53"/>
      <c r="N176" s="53"/>
      <c r="O176" s="71">
        <f>F180</f>
        <v>0.7045834933</v>
      </c>
      <c r="P176" s="191">
        <v>1101264.0</v>
      </c>
      <c r="Q176" s="53"/>
      <c r="R176" s="53"/>
      <c r="S176" s="173"/>
      <c r="T176" s="11">
        <f>SUM(T141:T175)</f>
        <v>49469</v>
      </c>
      <c r="U176" s="6"/>
      <c r="V176" s="6" t="s">
        <v>89</v>
      </c>
      <c r="W176" s="53"/>
      <c r="X176" s="54"/>
      <c r="Y176" s="49">
        <f>SUM(Y141:Y175)</f>
        <v>2721904</v>
      </c>
      <c r="Z176" s="6" t="s">
        <v>89</v>
      </c>
      <c r="AA176" s="53"/>
      <c r="AB176" s="174"/>
      <c r="AC176" s="49">
        <f>SUM(AC141:AC175)</f>
        <v>2337631</v>
      </c>
    </row>
    <row r="177">
      <c r="A177" s="48" t="s">
        <v>227</v>
      </c>
      <c r="B177" s="6" t="s">
        <v>228</v>
      </c>
      <c r="C177" s="6" t="s">
        <v>229</v>
      </c>
      <c r="D177" s="5" t="s">
        <v>230</v>
      </c>
      <c r="E177" s="5" t="s">
        <v>323</v>
      </c>
      <c r="F177" s="6" t="s">
        <v>14</v>
      </c>
      <c r="G177" s="5" t="s">
        <v>232</v>
      </c>
      <c r="H177" s="6" t="s">
        <v>233</v>
      </c>
      <c r="I177" s="5" t="s">
        <v>422</v>
      </c>
      <c r="J177" s="5" t="s">
        <v>235</v>
      </c>
      <c r="K177" s="6" t="s">
        <v>423</v>
      </c>
      <c r="L177" s="53"/>
      <c r="M177" s="53"/>
      <c r="N177" s="53"/>
      <c r="O177" s="53"/>
      <c r="P177" s="53"/>
      <c r="Q177" s="53"/>
      <c r="R177" s="175"/>
      <c r="S177" s="176"/>
      <c r="T177" s="177"/>
      <c r="U177" s="175"/>
      <c r="V177" s="175"/>
      <c r="W177" s="175"/>
      <c r="X177" s="175"/>
      <c r="Y177" s="175"/>
      <c r="Z177" s="175"/>
      <c r="AA177" s="175"/>
      <c r="AB177" s="175"/>
      <c r="AC177" s="175"/>
    </row>
    <row r="178">
      <c r="A178" s="178" t="s">
        <v>424</v>
      </c>
      <c r="B178" s="14">
        <f>E178/E182</f>
        <v>0.7321246577</v>
      </c>
      <c r="C178" s="20">
        <f>H49+H63+H79+H105+H111+H124</f>
        <v>22700671.6</v>
      </c>
      <c r="D178" s="277">
        <v>1.3261555E7</v>
      </c>
      <c r="E178" s="20">
        <v>1.5314577E7</v>
      </c>
      <c r="F178" s="25">
        <f>G178/D178</f>
        <v>0.1718281152</v>
      </c>
      <c r="G178" s="180">
        <v>2278708.0</v>
      </c>
      <c r="H178" s="180">
        <f>T139+T111+T105+T49+T63+T79+T176</f>
        <v>281111</v>
      </c>
      <c r="I178" s="179">
        <f>R139+R111+R105+R49</f>
        <v>19578</v>
      </c>
      <c r="J178" s="180">
        <f>Y194+AB194</f>
        <v>0</v>
      </c>
      <c r="K178" s="179">
        <f>G178+H178+I178+J178</f>
        <v>2579397</v>
      </c>
      <c r="L178" s="32"/>
      <c r="M178" s="32"/>
      <c r="N178" s="32"/>
      <c r="O178" s="32"/>
      <c r="P178" s="32"/>
      <c r="Q178" s="32"/>
      <c r="R178" s="175"/>
      <c r="S178" s="176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</row>
    <row r="179">
      <c r="A179" s="178" t="s">
        <v>425</v>
      </c>
      <c r="B179" s="14">
        <f>E179/E182</f>
        <v>0.1789583904</v>
      </c>
      <c r="C179" s="20">
        <f>H139</f>
        <v>3544750</v>
      </c>
      <c r="D179" s="20">
        <v>2843150.0</v>
      </c>
      <c r="E179" s="20">
        <v>3743450.0</v>
      </c>
      <c r="F179" s="25">
        <f>O139</f>
        <v>0.07580254295</v>
      </c>
      <c r="G179" s="180">
        <v>198700.0</v>
      </c>
      <c r="H179" s="182"/>
      <c r="I179" s="182"/>
      <c r="J179" s="182"/>
      <c r="K179" s="25">
        <f>K178/D178</f>
        <v>0.1945018514</v>
      </c>
      <c r="L179" s="32"/>
      <c r="M179" s="32"/>
      <c r="N179" s="32"/>
      <c r="O179" s="32"/>
      <c r="P179" s="32"/>
      <c r="Q179" s="32"/>
      <c r="R179" s="175"/>
      <c r="S179" s="176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</row>
    <row r="180">
      <c r="A180" s="89" t="s">
        <v>240</v>
      </c>
      <c r="B180" s="14">
        <f>E180/E182</f>
        <v>0.0747203687</v>
      </c>
      <c r="C180" s="20">
        <f>H176</f>
        <v>3183640.5</v>
      </c>
      <c r="D180" s="20">
        <v>846010.0</v>
      </c>
      <c r="E180" s="20">
        <v>1563000.0</v>
      </c>
      <c r="F180" s="25">
        <f>G180/E180</f>
        <v>0.7045834933</v>
      </c>
      <c r="G180" s="180">
        <v>1101264.0</v>
      </c>
      <c r="H180" s="186"/>
      <c r="I180" s="187"/>
      <c r="J180" s="186"/>
      <c r="K180" s="186"/>
      <c r="L180" s="32"/>
      <c r="M180" s="32"/>
      <c r="N180" s="32"/>
      <c r="O180" s="32"/>
      <c r="P180" s="32"/>
      <c r="Q180" s="32"/>
      <c r="R180" s="175"/>
      <c r="S180" s="176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</row>
    <row r="181">
      <c r="A181" s="178" t="s">
        <v>426</v>
      </c>
      <c r="B181" s="14">
        <f>E181/E182</f>
        <v>0.01419658322</v>
      </c>
      <c r="C181" s="29" t="s">
        <v>128</v>
      </c>
      <c r="D181" s="20">
        <v>84672.0</v>
      </c>
      <c r="E181" s="20">
        <v>296964.0</v>
      </c>
      <c r="F181" s="188" t="s">
        <v>128</v>
      </c>
      <c r="G181" s="180">
        <v>300689.0</v>
      </c>
      <c r="H181" s="189" t="s">
        <v>242</v>
      </c>
      <c r="I181" s="189" t="s">
        <v>243</v>
      </c>
      <c r="J181" s="189" t="s">
        <v>244</v>
      </c>
      <c r="K181" s="189" t="s">
        <v>245</v>
      </c>
      <c r="L181" s="32"/>
      <c r="M181" s="32"/>
      <c r="N181" s="32"/>
      <c r="O181" s="32"/>
      <c r="P181" s="32"/>
      <c r="Q181" s="32"/>
      <c r="R181" s="175"/>
      <c r="S181" s="176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</row>
    <row r="182">
      <c r="A182" s="48" t="s">
        <v>246</v>
      </c>
      <c r="B182" s="190">
        <v>1.0</v>
      </c>
      <c r="C182" s="49" t="s">
        <v>128</v>
      </c>
      <c r="D182" s="191">
        <v>1.7035387E7</v>
      </c>
      <c r="E182" s="191">
        <v>2.0917991E7</v>
      </c>
      <c r="F182" s="25">
        <f>G182/D182</f>
        <v>0.227723679</v>
      </c>
      <c r="G182" s="191">
        <v>3879361.0</v>
      </c>
      <c r="H182" s="192">
        <v>1.7035387E7</v>
      </c>
      <c r="I182" s="193">
        <f>E182</f>
        <v>20917991</v>
      </c>
      <c r="J182" s="11">
        <f>I182-H182</f>
        <v>3882604</v>
      </c>
      <c r="K182" s="182">
        <f>J182/H182</f>
        <v>0.2279140474</v>
      </c>
      <c r="L182" s="53"/>
      <c r="M182" s="53"/>
      <c r="N182" s="53"/>
      <c r="O182" s="53"/>
      <c r="P182" s="53"/>
      <c r="Q182" s="53"/>
      <c r="R182" s="175"/>
      <c r="S182" s="176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</row>
    <row r="183">
      <c r="A183" s="194" t="s">
        <v>247</v>
      </c>
      <c r="B183" s="195"/>
      <c r="C183" s="196"/>
      <c r="D183" s="196"/>
      <c r="E183" s="196"/>
      <c r="F183" s="196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75"/>
    </row>
    <row r="184">
      <c r="A184" s="198" t="s">
        <v>248</v>
      </c>
      <c r="B184" s="199"/>
      <c r="C184" s="200" t="s">
        <v>427</v>
      </c>
      <c r="D184" s="200" t="s">
        <v>428</v>
      </c>
      <c r="E184" s="200" t="s">
        <v>429</v>
      </c>
      <c r="F184" s="201" t="s">
        <v>430</v>
      </c>
      <c r="G184" s="202"/>
      <c r="H184" s="203" t="s">
        <v>253</v>
      </c>
      <c r="I184" s="203" t="s">
        <v>254</v>
      </c>
      <c r="J184" s="203" t="s">
        <v>255</v>
      </c>
      <c r="K184" s="203" t="s">
        <v>256</v>
      </c>
      <c r="L184" s="203" t="s">
        <v>257</v>
      </c>
      <c r="M184" s="203" t="s">
        <v>258</v>
      </c>
      <c r="N184" s="203" t="s">
        <v>259</v>
      </c>
      <c r="O184" s="203" t="s">
        <v>260</v>
      </c>
      <c r="P184" s="203" t="s">
        <v>261</v>
      </c>
      <c r="Q184" s="203" t="s">
        <v>262</v>
      </c>
      <c r="R184" s="175"/>
      <c r="S184" s="203" t="s">
        <v>263</v>
      </c>
      <c r="T184" s="203" t="s">
        <v>254</v>
      </c>
      <c r="U184" s="203" t="s">
        <v>264</v>
      </c>
      <c r="V184" s="203" t="s">
        <v>256</v>
      </c>
      <c r="W184" s="203" t="s">
        <v>257</v>
      </c>
      <c r="X184" s="203" t="s">
        <v>258</v>
      </c>
      <c r="Y184" s="203" t="s">
        <v>259</v>
      </c>
      <c r="Z184" s="203" t="s">
        <v>260</v>
      </c>
      <c r="AA184" s="203" t="s">
        <v>261</v>
      </c>
      <c r="AB184" s="203" t="s">
        <v>262</v>
      </c>
      <c r="AC184" s="175"/>
    </row>
    <row r="185">
      <c r="A185" s="89" t="s">
        <v>265</v>
      </c>
      <c r="B185" s="16" t="s">
        <v>266</v>
      </c>
      <c r="C185" s="204">
        <v>37690.0</v>
      </c>
      <c r="D185" s="204">
        <v>39807.0</v>
      </c>
      <c r="E185" s="206">
        <f t="shared" ref="E185:E189" si="85">D185-C185</f>
        <v>2117</v>
      </c>
      <c r="F185" s="207">
        <f t="shared" ref="F185:F189" si="86">D185/C185-1</f>
        <v>0.05616874503</v>
      </c>
      <c r="G185" s="208"/>
      <c r="H185" s="306">
        <v>2000.0</v>
      </c>
      <c r="I185" s="104" t="s">
        <v>148</v>
      </c>
      <c r="J185" s="108">
        <v>45294.0</v>
      </c>
      <c r="K185" s="108">
        <v>45338.0</v>
      </c>
      <c r="L185" s="216">
        <v>150.0</v>
      </c>
      <c r="M185" s="216">
        <v>7.6</v>
      </c>
      <c r="N185" s="217">
        <v>15200.0</v>
      </c>
      <c r="O185" s="108">
        <v>45296.0</v>
      </c>
      <c r="P185" s="216">
        <v>4.9</v>
      </c>
      <c r="Q185" s="217">
        <v>5400.0</v>
      </c>
      <c r="R185" s="175"/>
      <c r="S185" s="214"/>
      <c r="T185" s="104"/>
      <c r="U185" s="108"/>
      <c r="V185" s="108"/>
      <c r="W185" s="215"/>
      <c r="X185" s="216"/>
      <c r="Y185" s="217"/>
      <c r="Z185" s="108"/>
      <c r="AA185" s="216"/>
      <c r="AB185" s="217"/>
      <c r="AC185" s="175"/>
    </row>
    <row r="186">
      <c r="A186" s="89" t="s">
        <v>267</v>
      </c>
      <c r="B186" s="16" t="s">
        <v>268</v>
      </c>
      <c r="C186" s="204">
        <v>4770.0</v>
      </c>
      <c r="D186" s="204">
        <v>5254.0</v>
      </c>
      <c r="E186" s="206">
        <f t="shared" si="85"/>
        <v>484</v>
      </c>
      <c r="F186" s="207">
        <f t="shared" si="86"/>
        <v>0.1014675052</v>
      </c>
      <c r="G186" s="208"/>
      <c r="H186" s="306">
        <v>1000.0</v>
      </c>
      <c r="I186" s="104" t="s">
        <v>36</v>
      </c>
      <c r="J186" s="108">
        <v>45294.0</v>
      </c>
      <c r="K186" s="108">
        <v>45338.0</v>
      </c>
      <c r="L186" s="216">
        <v>250.0</v>
      </c>
      <c r="M186" s="216">
        <v>13.4</v>
      </c>
      <c r="N186" s="217">
        <v>13400.0</v>
      </c>
      <c r="O186" s="108">
        <v>45302.0</v>
      </c>
      <c r="P186" s="216">
        <v>5.33</v>
      </c>
      <c r="Q186" s="217">
        <v>8070.0</v>
      </c>
      <c r="R186" s="175"/>
      <c r="S186" s="214"/>
      <c r="T186" s="104"/>
      <c r="U186" s="108"/>
      <c r="V186" s="108"/>
      <c r="W186" s="215"/>
      <c r="X186" s="216"/>
      <c r="Y186" s="217"/>
      <c r="Z186" s="108"/>
      <c r="AA186" s="216"/>
      <c r="AB186" s="217"/>
      <c r="AC186" s="175"/>
    </row>
    <row r="187">
      <c r="A187" s="89" t="s">
        <v>269</v>
      </c>
      <c r="B187" s="16" t="s">
        <v>270</v>
      </c>
      <c r="C187" s="204">
        <v>15011.0</v>
      </c>
      <c r="D187" s="204">
        <v>16379.0</v>
      </c>
      <c r="E187" s="206">
        <f t="shared" si="85"/>
        <v>1368</v>
      </c>
      <c r="F187" s="207">
        <f t="shared" si="86"/>
        <v>0.09113316901</v>
      </c>
      <c r="G187" s="208"/>
      <c r="H187" s="225">
        <v>1000.0</v>
      </c>
      <c r="I187" s="104" t="s">
        <v>311</v>
      </c>
      <c r="J187" s="108">
        <v>45294.0</v>
      </c>
      <c r="K187" s="108">
        <v>45338.0</v>
      </c>
      <c r="L187" s="216">
        <v>140.0</v>
      </c>
      <c r="M187" s="216">
        <v>7.5</v>
      </c>
      <c r="N187" s="217">
        <v>7500.0</v>
      </c>
      <c r="O187" s="108">
        <v>45296.0</v>
      </c>
      <c r="P187" s="216">
        <v>4.1</v>
      </c>
      <c r="Q187" s="217">
        <v>3400.0</v>
      </c>
      <c r="R187" s="175"/>
      <c r="S187" s="224"/>
      <c r="T187" s="104"/>
      <c r="U187" s="108"/>
      <c r="V187" s="108"/>
      <c r="W187" s="215"/>
      <c r="X187" s="216"/>
      <c r="Y187" s="217"/>
      <c r="Z187" s="108"/>
      <c r="AA187" s="216"/>
      <c r="AB187" s="217"/>
      <c r="AC187" s="175"/>
    </row>
    <row r="188">
      <c r="A188" s="89" t="s">
        <v>271</v>
      </c>
      <c r="B188" s="16" t="s">
        <v>272</v>
      </c>
      <c r="C188" s="204">
        <v>2027.0</v>
      </c>
      <c r="D188" s="204">
        <v>2125.0</v>
      </c>
      <c r="E188" s="206">
        <f t="shared" si="85"/>
        <v>98</v>
      </c>
      <c r="F188" s="207">
        <f t="shared" si="86"/>
        <v>0.0483473113</v>
      </c>
      <c r="G188" s="208"/>
      <c r="H188" s="225">
        <v>5000.0</v>
      </c>
      <c r="I188" s="104" t="s">
        <v>349</v>
      </c>
      <c r="J188" s="108">
        <v>45294.0</v>
      </c>
      <c r="K188" s="108">
        <v>45338.0</v>
      </c>
      <c r="L188" s="216">
        <v>9.0</v>
      </c>
      <c r="M188" s="216">
        <v>0.6</v>
      </c>
      <c r="N188" s="217">
        <v>3000.0</v>
      </c>
      <c r="O188" s="108">
        <v>45302.0</v>
      </c>
      <c r="P188" s="216">
        <v>0.18</v>
      </c>
      <c r="Q188" s="217">
        <v>2100.0</v>
      </c>
      <c r="R188" s="175"/>
      <c r="S188" s="224"/>
      <c r="T188" s="104"/>
      <c r="U188" s="108"/>
      <c r="V188" s="108"/>
      <c r="W188" s="215"/>
      <c r="X188" s="216"/>
      <c r="Y188" s="217"/>
      <c r="Z188" s="108"/>
      <c r="AA188" s="216"/>
      <c r="AB188" s="217"/>
      <c r="AC188" s="175"/>
    </row>
    <row r="189">
      <c r="A189" s="89" t="s">
        <v>273</v>
      </c>
      <c r="B189" s="16" t="s">
        <v>274</v>
      </c>
      <c r="C189" s="204">
        <v>16853.0</v>
      </c>
      <c r="D189" s="204">
        <v>18313.0</v>
      </c>
      <c r="E189" s="206">
        <f t="shared" si="85"/>
        <v>1460</v>
      </c>
      <c r="F189" s="207">
        <f t="shared" si="86"/>
        <v>0.08663146027</v>
      </c>
      <c r="G189" s="208"/>
      <c r="H189" s="225">
        <v>3500.0</v>
      </c>
      <c r="I189" s="104" t="s">
        <v>336</v>
      </c>
      <c r="J189" s="108">
        <v>45294.0</v>
      </c>
      <c r="K189" s="108">
        <v>45338.0</v>
      </c>
      <c r="L189" s="216">
        <v>40.0</v>
      </c>
      <c r="M189" s="216">
        <v>2.6</v>
      </c>
      <c r="N189" s="217">
        <v>9100.0</v>
      </c>
      <c r="O189" s="108">
        <v>45303.0</v>
      </c>
      <c r="P189" s="216">
        <v>0.98</v>
      </c>
      <c r="Q189" s="217">
        <v>5670.0</v>
      </c>
      <c r="R189" s="175"/>
      <c r="S189" s="224"/>
      <c r="T189" s="104"/>
      <c r="U189" s="108"/>
      <c r="V189" s="108"/>
      <c r="W189" s="215"/>
      <c r="X189" s="216"/>
      <c r="Y189" s="217"/>
      <c r="Z189" s="108"/>
      <c r="AA189" s="216"/>
      <c r="AB189" s="217"/>
      <c r="AC189" s="175"/>
    </row>
    <row r="190">
      <c r="H190" s="225">
        <v>1500.0</v>
      </c>
      <c r="I190" s="104" t="s">
        <v>40</v>
      </c>
      <c r="J190" s="108">
        <v>45294.0</v>
      </c>
      <c r="K190" s="108">
        <v>45338.0</v>
      </c>
      <c r="L190" s="216">
        <v>140.0</v>
      </c>
      <c r="M190" s="216">
        <v>7.3</v>
      </c>
      <c r="N190" s="217">
        <v>10950.0</v>
      </c>
      <c r="O190" s="108">
        <v>45296.0</v>
      </c>
      <c r="P190" s="216">
        <v>8.42</v>
      </c>
      <c r="Q190" s="217">
        <v>-1680.0</v>
      </c>
      <c r="S190" s="224"/>
      <c r="T190" s="104"/>
      <c r="U190" s="108"/>
      <c r="V190" s="108"/>
      <c r="W190" s="215"/>
      <c r="X190" s="216"/>
      <c r="Y190" s="217"/>
      <c r="Z190" s="108"/>
      <c r="AA190" s="216"/>
      <c r="AB190" s="217"/>
    </row>
    <row r="191">
      <c r="A191" s="226" t="s">
        <v>248</v>
      </c>
      <c r="B191" s="227"/>
      <c r="C191" s="228" t="s">
        <v>275</v>
      </c>
      <c r="D191" s="200" t="s">
        <v>428</v>
      </c>
      <c r="E191" s="228" t="s">
        <v>431</v>
      </c>
      <c r="F191" s="228" t="s">
        <v>430</v>
      </c>
      <c r="H191" s="209">
        <v>1500.0</v>
      </c>
      <c r="I191" s="210" t="s">
        <v>40</v>
      </c>
      <c r="J191" s="108">
        <v>45302.0</v>
      </c>
      <c r="K191" s="211">
        <v>45338.0</v>
      </c>
      <c r="L191" s="212">
        <v>150.0</v>
      </c>
      <c r="M191" s="212">
        <v>7.3</v>
      </c>
      <c r="N191" s="213">
        <v>10950.0</v>
      </c>
      <c r="O191" s="108">
        <v>45338.0</v>
      </c>
      <c r="P191" s="212" t="s">
        <v>432</v>
      </c>
      <c r="Q191" s="213">
        <v>10950.0</v>
      </c>
      <c r="S191" s="229"/>
      <c r="T191" s="210"/>
      <c r="U191" s="211"/>
      <c r="V191" s="211"/>
      <c r="W191" s="230"/>
      <c r="X191" s="212"/>
      <c r="Y191" s="213"/>
      <c r="Z191" s="211"/>
      <c r="AA191" s="212"/>
      <c r="AB191" s="213"/>
    </row>
    <row r="192">
      <c r="A192" s="231" t="s">
        <v>265</v>
      </c>
      <c r="B192" s="231" t="s">
        <v>266</v>
      </c>
      <c r="C192" s="232">
        <v>37690.0</v>
      </c>
      <c r="D192" s="204">
        <v>39807.0</v>
      </c>
      <c r="E192" s="234">
        <f t="shared" ref="E192:E196" si="87">D192-C192</f>
        <v>2117</v>
      </c>
      <c r="F192" s="235">
        <f t="shared" ref="F192:F196" si="88">D192/C192-1</f>
        <v>0.05616874503</v>
      </c>
      <c r="H192" s="209">
        <v>300.0</v>
      </c>
      <c r="I192" s="210" t="s">
        <v>226</v>
      </c>
      <c r="J192" s="211">
        <v>45302.0</v>
      </c>
      <c r="K192" s="211">
        <v>45338.0</v>
      </c>
      <c r="L192" s="212">
        <v>600.0</v>
      </c>
      <c r="M192" s="212">
        <v>32.08</v>
      </c>
      <c r="N192" s="213">
        <v>9624.0</v>
      </c>
      <c r="O192" s="211">
        <v>45303.0</v>
      </c>
      <c r="P192" s="212">
        <v>13.5</v>
      </c>
      <c r="Q192" s="213">
        <v>5574.0</v>
      </c>
      <c r="S192" s="229"/>
      <c r="T192" s="210"/>
      <c r="U192" s="211"/>
      <c r="V192" s="211"/>
      <c r="W192" s="230"/>
      <c r="X192" s="212"/>
      <c r="Y192" s="213"/>
      <c r="Z192" s="211"/>
      <c r="AA192" s="212"/>
      <c r="AB192" s="213"/>
    </row>
    <row r="193">
      <c r="A193" s="231" t="s">
        <v>267</v>
      </c>
      <c r="B193" s="231" t="s">
        <v>268</v>
      </c>
      <c r="C193" s="232">
        <v>4770.0</v>
      </c>
      <c r="D193" s="204">
        <v>5254.0</v>
      </c>
      <c r="E193" s="234">
        <f t="shared" si="87"/>
        <v>484</v>
      </c>
      <c r="F193" s="235">
        <f t="shared" si="88"/>
        <v>0.1014675052</v>
      </c>
      <c r="H193" s="209">
        <v>1000.0</v>
      </c>
      <c r="I193" s="210" t="s">
        <v>311</v>
      </c>
      <c r="J193" s="211">
        <v>45302.0</v>
      </c>
      <c r="K193" s="211">
        <v>45338.0</v>
      </c>
      <c r="L193" s="212">
        <v>130.0</v>
      </c>
      <c r="M193" s="212">
        <v>5.5</v>
      </c>
      <c r="N193" s="213">
        <v>5500.0</v>
      </c>
      <c r="O193" s="211">
        <v>45307.0</v>
      </c>
      <c r="P193" s="212">
        <v>3.1</v>
      </c>
      <c r="Q193" s="213">
        <v>2400.0</v>
      </c>
      <c r="S193" s="229"/>
      <c r="T193" s="210"/>
      <c r="U193" s="211"/>
      <c r="V193" s="211"/>
      <c r="W193" s="230"/>
      <c r="X193" s="212"/>
      <c r="Y193" s="213"/>
      <c r="Z193" s="211"/>
      <c r="AA193" s="212"/>
      <c r="AB193" s="213"/>
    </row>
    <row r="194">
      <c r="A194" s="231" t="s">
        <v>269</v>
      </c>
      <c r="B194" s="231" t="s">
        <v>270</v>
      </c>
      <c r="C194" s="232">
        <v>15011.0</v>
      </c>
      <c r="D194" s="204">
        <v>16379.0</v>
      </c>
      <c r="E194" s="234">
        <f t="shared" si="87"/>
        <v>1368</v>
      </c>
      <c r="F194" s="235">
        <f t="shared" si="88"/>
        <v>0.09113316901</v>
      </c>
      <c r="H194" s="209">
        <v>2000.0</v>
      </c>
      <c r="I194" s="237" t="s">
        <v>299</v>
      </c>
      <c r="J194" s="220">
        <v>45302.0</v>
      </c>
      <c r="K194" s="211">
        <v>45338.0</v>
      </c>
      <c r="L194" s="221">
        <v>70.0</v>
      </c>
      <c r="M194" s="221">
        <v>2.75</v>
      </c>
      <c r="N194" s="222">
        <v>5500.0</v>
      </c>
      <c r="O194" s="220">
        <v>45308.0</v>
      </c>
      <c r="P194" s="221">
        <v>1.15</v>
      </c>
      <c r="Q194" s="222">
        <v>3200.0</v>
      </c>
      <c r="S194" s="238" t="s">
        <v>89</v>
      </c>
      <c r="T194" s="239"/>
      <c r="U194" s="239"/>
      <c r="V194" s="239"/>
      <c r="W194" s="239"/>
      <c r="X194" s="239"/>
      <c r="Y194" s="240">
        <f>SUM(Y185:Y193)</f>
        <v>0</v>
      </c>
      <c r="Z194" s="239"/>
      <c r="AA194" s="241"/>
      <c r="AB194" s="240">
        <f>SUM(AB185:AB193)</f>
        <v>0</v>
      </c>
    </row>
    <row r="195">
      <c r="A195" s="231" t="s">
        <v>271</v>
      </c>
      <c r="B195" s="231" t="s">
        <v>272</v>
      </c>
      <c r="C195" s="232">
        <v>2027.0</v>
      </c>
      <c r="D195" s="204">
        <v>2125.0</v>
      </c>
      <c r="E195" s="234">
        <f t="shared" si="87"/>
        <v>98</v>
      </c>
      <c r="F195" s="235">
        <f t="shared" si="88"/>
        <v>0.0483473113</v>
      </c>
      <c r="H195" s="209">
        <v>500.0</v>
      </c>
      <c r="I195" s="210" t="s">
        <v>291</v>
      </c>
      <c r="J195" s="211">
        <v>45302.0</v>
      </c>
      <c r="K195" s="211">
        <v>45338.0</v>
      </c>
      <c r="L195" s="212">
        <v>360.0</v>
      </c>
      <c r="M195" s="212">
        <v>25.1</v>
      </c>
      <c r="N195" s="213">
        <v>12550.0</v>
      </c>
      <c r="O195" s="211">
        <v>45307.0</v>
      </c>
      <c r="P195" s="212">
        <v>25.68</v>
      </c>
      <c r="Q195" s="213">
        <v>-290.0</v>
      </c>
    </row>
    <row r="196">
      <c r="A196" s="231" t="s">
        <v>273</v>
      </c>
      <c r="B196" s="231" t="s">
        <v>274</v>
      </c>
      <c r="C196" s="232">
        <v>16853.0</v>
      </c>
      <c r="D196" s="204">
        <v>18313.0</v>
      </c>
      <c r="E196" s="234">
        <f t="shared" si="87"/>
        <v>1460</v>
      </c>
      <c r="F196" s="235">
        <f t="shared" si="88"/>
        <v>0.08663146027</v>
      </c>
      <c r="H196" s="209">
        <v>2000.0</v>
      </c>
      <c r="I196" s="210" t="s">
        <v>385</v>
      </c>
      <c r="J196" s="211">
        <v>45308.0</v>
      </c>
      <c r="K196" s="211">
        <v>45338.0</v>
      </c>
      <c r="L196" s="212">
        <v>75.0</v>
      </c>
      <c r="M196" s="212">
        <v>3.4</v>
      </c>
      <c r="N196" s="213">
        <v>6800.0</v>
      </c>
      <c r="O196" s="211">
        <v>45320.0</v>
      </c>
      <c r="P196" s="212">
        <v>3.62</v>
      </c>
      <c r="Q196" s="213">
        <v>-240.0</v>
      </c>
    </row>
    <row r="197">
      <c r="H197" s="209">
        <v>500.0</v>
      </c>
      <c r="I197" s="210" t="s">
        <v>291</v>
      </c>
      <c r="J197" s="211">
        <v>45310.0</v>
      </c>
      <c r="K197" s="211">
        <v>45338.0</v>
      </c>
      <c r="L197" s="212">
        <v>450.0</v>
      </c>
      <c r="M197" s="212">
        <v>28.4</v>
      </c>
      <c r="N197" s="213">
        <v>14200.0</v>
      </c>
      <c r="O197" s="211">
        <v>45315.0</v>
      </c>
      <c r="P197" s="212">
        <v>51.39</v>
      </c>
      <c r="Q197" s="213">
        <v>-11495.0</v>
      </c>
    </row>
    <row r="198">
      <c r="A198" s="242" t="s">
        <v>278</v>
      </c>
      <c r="B198" s="243" t="s">
        <v>279</v>
      </c>
      <c r="C198" s="244"/>
      <c r="D198" s="244"/>
      <c r="H198" s="255">
        <v>500.0</v>
      </c>
      <c r="I198" s="210" t="s">
        <v>291</v>
      </c>
      <c r="J198" s="211">
        <v>45315.0</v>
      </c>
      <c r="K198" s="211">
        <v>45338.0</v>
      </c>
      <c r="L198" s="212">
        <v>500.0</v>
      </c>
      <c r="M198" s="212">
        <v>36.4</v>
      </c>
      <c r="N198" s="213">
        <v>18200.0</v>
      </c>
      <c r="O198" s="211">
        <v>45338.0</v>
      </c>
      <c r="P198" s="212" t="s">
        <v>433</v>
      </c>
      <c r="Q198" s="213">
        <v>18200.0</v>
      </c>
    </row>
    <row r="199">
      <c r="A199" s="242" t="s">
        <v>280</v>
      </c>
      <c r="B199" s="243" t="s">
        <v>281</v>
      </c>
      <c r="C199" s="244"/>
      <c r="D199" s="244"/>
      <c r="H199" s="209">
        <v>500.0</v>
      </c>
      <c r="I199" s="210" t="s">
        <v>291</v>
      </c>
      <c r="J199" s="211">
        <v>45321.0</v>
      </c>
      <c r="K199" s="211">
        <v>45366.0</v>
      </c>
      <c r="L199" s="212">
        <v>580.0</v>
      </c>
      <c r="M199" s="212">
        <v>30.0</v>
      </c>
      <c r="N199" s="213">
        <v>15000.0</v>
      </c>
      <c r="O199" s="307" t="s">
        <v>434</v>
      </c>
      <c r="P199" s="212">
        <v>31.0</v>
      </c>
      <c r="Q199" s="213">
        <v>-500.0</v>
      </c>
    </row>
    <row r="200">
      <c r="A200" s="242" t="s">
        <v>282</v>
      </c>
      <c r="B200" s="246" t="s">
        <v>283</v>
      </c>
      <c r="C200" s="244"/>
      <c r="D200" s="244"/>
      <c r="H200" s="209">
        <v>500.0</v>
      </c>
      <c r="I200" s="210" t="s">
        <v>291</v>
      </c>
      <c r="J200" s="211">
        <v>45327.0</v>
      </c>
      <c r="K200" s="211">
        <v>45366.0</v>
      </c>
      <c r="L200" s="212">
        <v>700.0</v>
      </c>
      <c r="M200" s="212">
        <v>48.3</v>
      </c>
      <c r="N200" s="213">
        <v>24150.0</v>
      </c>
      <c r="O200" s="211">
        <v>45342.0</v>
      </c>
      <c r="P200" s="212">
        <v>83.78</v>
      </c>
      <c r="Q200" s="213">
        <v>-17740.0</v>
      </c>
    </row>
    <row r="201">
      <c r="H201" s="209">
        <v>500.0</v>
      </c>
      <c r="I201" s="210" t="s">
        <v>53</v>
      </c>
      <c r="J201" s="211">
        <v>45327.0</v>
      </c>
      <c r="K201" s="211">
        <v>45366.0</v>
      </c>
      <c r="L201" s="212">
        <v>720.0</v>
      </c>
      <c r="M201" s="212">
        <v>33.7</v>
      </c>
      <c r="N201" s="213">
        <v>16850.0</v>
      </c>
      <c r="O201" s="211">
        <v>45328.0</v>
      </c>
      <c r="P201" s="212">
        <v>33.45</v>
      </c>
      <c r="Q201" s="213">
        <v>125.0</v>
      </c>
    </row>
    <row r="202">
      <c r="H202" s="209">
        <v>20000.0</v>
      </c>
      <c r="I202" s="210" t="s">
        <v>46</v>
      </c>
      <c r="J202" s="211">
        <v>45328.0</v>
      </c>
      <c r="K202" s="211">
        <v>45366.0</v>
      </c>
      <c r="L202" s="212">
        <v>22.0</v>
      </c>
      <c r="M202" s="212">
        <v>1.05</v>
      </c>
      <c r="N202" s="213">
        <v>21000.0</v>
      </c>
      <c r="O202" s="211">
        <v>45328.0</v>
      </c>
      <c r="P202" s="212">
        <v>1.3</v>
      </c>
      <c r="Q202" s="213">
        <v>-5000.0</v>
      </c>
    </row>
    <row r="203">
      <c r="H203" s="209">
        <v>15000.0</v>
      </c>
      <c r="I203" s="210" t="s">
        <v>46</v>
      </c>
      <c r="J203" s="211">
        <v>45328.0</v>
      </c>
      <c r="K203" s="211">
        <v>45366.0</v>
      </c>
      <c r="L203" s="212">
        <v>22.0</v>
      </c>
      <c r="M203" s="212">
        <v>1.05</v>
      </c>
      <c r="N203" s="213">
        <v>15750.0</v>
      </c>
      <c r="O203" s="211">
        <v>45342.0</v>
      </c>
      <c r="P203" s="212">
        <v>1.83</v>
      </c>
      <c r="Q203" s="213">
        <v>-11700.0</v>
      </c>
    </row>
    <row r="204">
      <c r="H204" s="209">
        <v>20000.0</v>
      </c>
      <c r="I204" s="237" t="s">
        <v>46</v>
      </c>
      <c r="J204" s="211">
        <v>45330.0</v>
      </c>
      <c r="K204" s="211">
        <v>45366.0</v>
      </c>
      <c r="L204" s="221">
        <v>26.0</v>
      </c>
      <c r="M204" s="221">
        <v>1.3</v>
      </c>
      <c r="N204" s="222">
        <v>26000.0</v>
      </c>
      <c r="O204" s="220">
        <v>45334.0</v>
      </c>
      <c r="P204" s="221">
        <v>1.2</v>
      </c>
      <c r="Q204" s="222">
        <v>2000.0</v>
      </c>
    </row>
    <row r="205">
      <c r="H205" s="209">
        <v>1000.0</v>
      </c>
      <c r="I205" s="210" t="s">
        <v>311</v>
      </c>
      <c r="J205" s="211">
        <v>45334.0</v>
      </c>
      <c r="K205" s="211">
        <v>45366.0</v>
      </c>
      <c r="L205" s="212">
        <v>140.0</v>
      </c>
      <c r="M205" s="212">
        <v>5.8</v>
      </c>
      <c r="N205" s="213">
        <v>5800.0</v>
      </c>
      <c r="O205" s="211">
        <v>45336.0</v>
      </c>
      <c r="P205" s="212">
        <v>3.6</v>
      </c>
      <c r="Q205" s="213">
        <v>2200.0</v>
      </c>
    </row>
    <row r="206">
      <c r="A206" s="249"/>
      <c r="B206" s="250"/>
      <c r="H206" s="251">
        <v>300.0</v>
      </c>
      <c r="I206" s="210" t="s">
        <v>226</v>
      </c>
      <c r="J206" s="211">
        <v>45334.0</v>
      </c>
      <c r="K206" s="211">
        <v>45366.0</v>
      </c>
      <c r="L206" s="212">
        <v>800.0</v>
      </c>
      <c r="M206" s="212">
        <v>42.32</v>
      </c>
      <c r="N206" s="213">
        <v>12700.0</v>
      </c>
      <c r="O206" s="211">
        <v>45336.0</v>
      </c>
      <c r="P206" s="212">
        <v>56.15</v>
      </c>
      <c r="Q206" s="213">
        <v>-4145.0</v>
      </c>
    </row>
    <row r="207">
      <c r="H207" s="252">
        <v>300.0</v>
      </c>
      <c r="I207" s="210" t="s">
        <v>53</v>
      </c>
      <c r="J207" s="211">
        <v>45334.0</v>
      </c>
      <c r="K207" s="211">
        <v>45366.0</v>
      </c>
      <c r="L207" s="212">
        <v>800.0</v>
      </c>
      <c r="M207" s="212">
        <v>32.25</v>
      </c>
      <c r="N207" s="213">
        <v>9675.0</v>
      </c>
      <c r="O207" s="211">
        <v>45335.0</v>
      </c>
      <c r="P207" s="212">
        <v>22.85</v>
      </c>
      <c r="Q207" s="213">
        <v>2820.0</v>
      </c>
    </row>
    <row r="208">
      <c r="H208" s="253">
        <v>200.0</v>
      </c>
      <c r="I208" s="210" t="s">
        <v>53</v>
      </c>
      <c r="J208" s="211">
        <v>45335.0</v>
      </c>
      <c r="K208" s="211">
        <v>45366.0</v>
      </c>
      <c r="L208" s="212">
        <v>750.0</v>
      </c>
      <c r="M208" s="212">
        <v>36.0</v>
      </c>
      <c r="N208" s="213">
        <v>7200.0</v>
      </c>
      <c r="O208" s="211">
        <v>45335.0</v>
      </c>
      <c r="P208" s="212">
        <v>37.0</v>
      </c>
      <c r="Q208" s="213">
        <v>-200.0</v>
      </c>
    </row>
    <row r="209">
      <c r="H209" s="252">
        <v>20000.0</v>
      </c>
      <c r="I209" s="210" t="s">
        <v>46</v>
      </c>
      <c r="J209" s="211">
        <v>45335.0</v>
      </c>
      <c r="K209" s="211">
        <v>45366.0</v>
      </c>
      <c r="L209" s="212">
        <v>25.0</v>
      </c>
      <c r="M209" s="212">
        <v>1.34</v>
      </c>
      <c r="N209" s="213">
        <v>26800.0</v>
      </c>
      <c r="O209" s="211">
        <v>45335.0</v>
      </c>
      <c r="P209" s="212">
        <v>1.3</v>
      </c>
      <c r="Q209" s="213">
        <v>800.0</v>
      </c>
    </row>
    <row r="210">
      <c r="H210" s="252">
        <v>4000.0</v>
      </c>
      <c r="I210" s="210" t="s">
        <v>390</v>
      </c>
      <c r="J210" s="211">
        <v>45335.0</v>
      </c>
      <c r="K210" s="211">
        <v>45366.0</v>
      </c>
      <c r="L210" s="212">
        <v>24.0</v>
      </c>
      <c r="M210" s="212">
        <v>0.95</v>
      </c>
      <c r="N210" s="213">
        <v>3800.0</v>
      </c>
      <c r="O210" s="211">
        <v>45336.0</v>
      </c>
      <c r="P210" s="212">
        <v>0.95</v>
      </c>
      <c r="Q210" s="213">
        <v>0.0</v>
      </c>
    </row>
    <row r="211">
      <c r="H211" s="209">
        <v>1000.0</v>
      </c>
      <c r="I211" s="237" t="s">
        <v>36</v>
      </c>
      <c r="J211" s="220">
        <v>45335.0</v>
      </c>
      <c r="K211" s="211">
        <v>45366.0</v>
      </c>
      <c r="L211" s="222">
        <v>190.0</v>
      </c>
      <c r="M211" s="223">
        <v>8.09</v>
      </c>
      <c r="N211" s="222">
        <v>8090.0</v>
      </c>
      <c r="O211" s="220">
        <v>45336.0</v>
      </c>
      <c r="P211" s="221">
        <v>8.0</v>
      </c>
      <c r="Q211" s="222">
        <v>90.0</v>
      </c>
    </row>
    <row r="212">
      <c r="H212" s="209">
        <v>1000.0</v>
      </c>
      <c r="I212" s="210" t="s">
        <v>148</v>
      </c>
      <c r="J212" s="211">
        <v>45335.0</v>
      </c>
      <c r="K212" s="211">
        <v>45366.0</v>
      </c>
      <c r="L212" s="213">
        <v>120.0</v>
      </c>
      <c r="M212" s="212">
        <v>6.11</v>
      </c>
      <c r="N212" s="213">
        <v>6110.0</v>
      </c>
      <c r="O212" s="211">
        <v>45336.0</v>
      </c>
      <c r="P212" s="212">
        <v>5.7</v>
      </c>
      <c r="Q212" s="213">
        <v>410.0</v>
      </c>
    </row>
    <row r="213">
      <c r="H213" s="251">
        <v>1000.0</v>
      </c>
      <c r="I213" s="210" t="s">
        <v>311</v>
      </c>
      <c r="J213" s="211">
        <v>45342.0</v>
      </c>
      <c r="K213" s="211">
        <v>45401.0</v>
      </c>
      <c r="L213" s="212">
        <v>130.0</v>
      </c>
      <c r="M213" s="212">
        <v>11.5</v>
      </c>
      <c r="N213" s="213">
        <v>11500.0</v>
      </c>
      <c r="O213" s="211">
        <v>45344.0</v>
      </c>
      <c r="P213" s="212">
        <v>9.5</v>
      </c>
      <c r="Q213" s="213">
        <v>2000.0</v>
      </c>
    </row>
    <row r="214">
      <c r="H214" s="209">
        <v>15000.0</v>
      </c>
      <c r="I214" s="210" t="s">
        <v>46</v>
      </c>
      <c r="J214" s="211">
        <v>45342.0</v>
      </c>
      <c r="K214" s="211">
        <v>45401.0</v>
      </c>
      <c r="L214" s="212">
        <v>25.0</v>
      </c>
      <c r="M214" s="212">
        <v>1.45</v>
      </c>
      <c r="N214" s="213">
        <v>21750.0</v>
      </c>
      <c r="O214" s="211">
        <v>45343.0</v>
      </c>
      <c r="P214" s="212">
        <v>1.14</v>
      </c>
      <c r="Q214" s="213">
        <v>4650.0</v>
      </c>
    </row>
    <row r="215">
      <c r="H215" s="255">
        <v>200.0</v>
      </c>
      <c r="I215" s="210" t="s">
        <v>226</v>
      </c>
      <c r="J215" s="211">
        <v>45342.0</v>
      </c>
      <c r="K215" s="211">
        <v>45401.0</v>
      </c>
      <c r="L215" s="212">
        <v>800.0</v>
      </c>
      <c r="M215" s="212">
        <v>63.0</v>
      </c>
      <c r="N215" s="213">
        <v>12600.0</v>
      </c>
      <c r="O215" s="211">
        <v>45344.0</v>
      </c>
      <c r="P215" s="212">
        <v>55.0</v>
      </c>
      <c r="Q215" s="213">
        <v>1600.0</v>
      </c>
    </row>
    <row r="216">
      <c r="H216" s="209">
        <v>1000.0</v>
      </c>
      <c r="I216" s="210" t="s">
        <v>36</v>
      </c>
      <c r="J216" s="211">
        <v>45342.0</v>
      </c>
      <c r="K216" s="211">
        <v>45401.0</v>
      </c>
      <c r="L216" s="212">
        <v>205.0</v>
      </c>
      <c r="M216" s="212">
        <v>10.8</v>
      </c>
      <c r="N216" s="213">
        <v>10800.0</v>
      </c>
      <c r="O216" s="211">
        <v>45344.0</v>
      </c>
      <c r="P216" s="212">
        <v>9.8</v>
      </c>
      <c r="Q216" s="213">
        <v>1000.0</v>
      </c>
      <c r="S216" s="254" t="s">
        <v>286</v>
      </c>
    </row>
    <row r="217">
      <c r="H217" s="209">
        <v>1000.0</v>
      </c>
      <c r="I217" s="210" t="s">
        <v>351</v>
      </c>
      <c r="J217" s="211">
        <v>45343.0</v>
      </c>
      <c r="K217" s="211">
        <v>45401.0</v>
      </c>
      <c r="L217" s="212">
        <v>155.0</v>
      </c>
      <c r="M217" s="212">
        <v>11.0</v>
      </c>
      <c r="N217" s="213">
        <v>11000.0</v>
      </c>
      <c r="O217" s="211">
        <v>45344.0</v>
      </c>
      <c r="P217" s="212">
        <v>10.0</v>
      </c>
      <c r="Q217" s="213">
        <v>1000.0</v>
      </c>
    </row>
    <row r="218">
      <c r="H218" s="209">
        <v>3000.0</v>
      </c>
      <c r="I218" s="210" t="s">
        <v>43</v>
      </c>
      <c r="J218" s="211">
        <v>45343.0</v>
      </c>
      <c r="K218" s="211">
        <v>45401.0</v>
      </c>
      <c r="L218" s="212">
        <v>175.0</v>
      </c>
      <c r="M218" s="212">
        <v>4.7</v>
      </c>
      <c r="N218" s="213">
        <v>14100.0</v>
      </c>
      <c r="O218" s="211">
        <v>45344.0</v>
      </c>
      <c r="P218" s="212">
        <v>6.3</v>
      </c>
      <c r="Q218" s="213">
        <v>-4800.0</v>
      </c>
    </row>
    <row r="219">
      <c r="H219" s="209">
        <v>1000.0</v>
      </c>
      <c r="I219" s="210" t="s">
        <v>40</v>
      </c>
      <c r="J219" s="211">
        <v>45343.0</v>
      </c>
      <c r="K219" s="211">
        <v>45401.0</v>
      </c>
      <c r="L219" s="212">
        <v>170.0</v>
      </c>
      <c r="M219" s="212">
        <v>9.66</v>
      </c>
      <c r="N219" s="213">
        <v>9660.0</v>
      </c>
      <c r="O219" s="211">
        <v>45344.0</v>
      </c>
      <c r="P219" s="212">
        <v>14.55</v>
      </c>
      <c r="Q219" s="213">
        <v>-4890.0</v>
      </c>
    </row>
    <row r="220">
      <c r="H220" s="209">
        <v>500.0</v>
      </c>
      <c r="I220" s="210" t="s">
        <v>291</v>
      </c>
      <c r="J220" s="211">
        <v>45344.0</v>
      </c>
      <c r="K220" s="211">
        <v>45401.0</v>
      </c>
      <c r="L220" s="212">
        <v>1000.0</v>
      </c>
      <c r="M220" s="212">
        <v>93.0</v>
      </c>
      <c r="N220" s="213">
        <v>46500.0</v>
      </c>
      <c r="O220" s="211">
        <v>45350.0</v>
      </c>
      <c r="P220" s="212">
        <v>50.0</v>
      </c>
      <c r="Q220" s="213">
        <v>21500.0</v>
      </c>
    </row>
    <row r="221">
      <c r="H221" s="209">
        <v>15000.0</v>
      </c>
      <c r="I221" s="210" t="s">
        <v>46</v>
      </c>
      <c r="J221" s="211">
        <v>45344.0</v>
      </c>
      <c r="K221" s="211">
        <v>45401.0</v>
      </c>
      <c r="L221" s="212">
        <v>25.0</v>
      </c>
      <c r="M221" s="212">
        <v>1.4</v>
      </c>
      <c r="N221" s="213">
        <v>21000.0</v>
      </c>
      <c r="O221" s="245">
        <v>45348.0</v>
      </c>
      <c r="P221" s="212">
        <v>1.45</v>
      </c>
      <c r="Q221" s="213">
        <v>-750.0</v>
      </c>
    </row>
    <row r="222">
      <c r="H222" s="209">
        <v>200.0</v>
      </c>
      <c r="I222" s="237" t="s">
        <v>226</v>
      </c>
      <c r="J222" s="220">
        <v>45345.0</v>
      </c>
      <c r="K222" s="220">
        <v>45401.0</v>
      </c>
      <c r="L222" s="221">
        <v>800.0</v>
      </c>
      <c r="M222" s="221">
        <v>60.0</v>
      </c>
      <c r="N222" s="222">
        <v>12000.0</v>
      </c>
      <c r="O222" s="220">
        <v>45348.0</v>
      </c>
      <c r="P222" s="221">
        <v>95.0</v>
      </c>
      <c r="Q222" s="222">
        <v>-7000.0</v>
      </c>
    </row>
    <row r="223">
      <c r="H223" s="251">
        <v>300.0</v>
      </c>
      <c r="I223" s="237" t="s">
        <v>53</v>
      </c>
      <c r="J223" s="220">
        <v>45345.0</v>
      </c>
      <c r="K223" s="220">
        <v>45401.0</v>
      </c>
      <c r="L223" s="221">
        <v>880.0</v>
      </c>
      <c r="M223" s="221">
        <v>37.0</v>
      </c>
      <c r="N223" s="222">
        <v>11100.0</v>
      </c>
      <c r="O223" s="220">
        <v>45351.0</v>
      </c>
      <c r="P223" s="221">
        <v>21.46</v>
      </c>
      <c r="Q223" s="222">
        <v>4662.0</v>
      </c>
    </row>
    <row r="224">
      <c r="H224" s="209">
        <v>50000.0</v>
      </c>
      <c r="I224" s="210" t="s">
        <v>57</v>
      </c>
      <c r="J224" s="211">
        <v>45348.0</v>
      </c>
      <c r="K224" s="211">
        <v>45401.0</v>
      </c>
      <c r="L224" s="212">
        <v>5.5</v>
      </c>
      <c r="M224" s="212">
        <v>1.3</v>
      </c>
      <c r="N224" s="213">
        <v>65000.0</v>
      </c>
      <c r="O224" s="211">
        <v>45356.0</v>
      </c>
      <c r="P224" s="212">
        <v>0.65</v>
      </c>
      <c r="Q224" s="213">
        <v>32500.0</v>
      </c>
    </row>
    <row r="225">
      <c r="H225" s="209">
        <v>8000.0</v>
      </c>
      <c r="I225" s="210" t="s">
        <v>390</v>
      </c>
      <c r="J225" s="211">
        <v>45348.0</v>
      </c>
      <c r="K225" s="211">
        <v>45401.0</v>
      </c>
      <c r="L225" s="212">
        <v>22.0</v>
      </c>
      <c r="M225" s="212">
        <v>1.65</v>
      </c>
      <c r="N225" s="213">
        <v>13200.0</v>
      </c>
      <c r="O225" s="211">
        <v>45351.0</v>
      </c>
      <c r="P225" s="212">
        <v>1.6</v>
      </c>
      <c r="Q225" s="213">
        <v>400.0</v>
      </c>
    </row>
    <row r="226">
      <c r="H226" s="209">
        <v>22000.0</v>
      </c>
      <c r="I226" s="210" t="s">
        <v>87</v>
      </c>
      <c r="J226" s="211">
        <v>45348.0</v>
      </c>
      <c r="K226" s="211">
        <v>45401.0</v>
      </c>
      <c r="L226" s="212">
        <v>11.0</v>
      </c>
      <c r="M226" s="212">
        <v>0.75</v>
      </c>
      <c r="N226" s="213">
        <v>16500.0</v>
      </c>
      <c r="O226" s="211">
        <v>45351.0</v>
      </c>
      <c r="P226" s="212">
        <v>0.92</v>
      </c>
      <c r="Q226" s="213">
        <v>-3740.0</v>
      </c>
    </row>
    <row r="227">
      <c r="H227" s="255">
        <v>300.0</v>
      </c>
      <c r="I227" s="210" t="s">
        <v>226</v>
      </c>
      <c r="J227" s="211">
        <v>45349.0</v>
      </c>
      <c r="K227" s="211">
        <v>45492.0</v>
      </c>
      <c r="L227" s="212">
        <v>1000.0</v>
      </c>
      <c r="M227" s="212">
        <v>163.0</v>
      </c>
      <c r="N227" s="213">
        <v>48900.0</v>
      </c>
      <c r="O227" s="211">
        <v>45349.0</v>
      </c>
      <c r="P227" s="212">
        <v>152.0</v>
      </c>
      <c r="Q227" s="213">
        <v>3300.0</v>
      </c>
    </row>
    <row r="228">
      <c r="H228" s="209">
        <v>300.0</v>
      </c>
      <c r="I228" s="210" t="s">
        <v>226</v>
      </c>
      <c r="J228" s="211">
        <v>45349.0</v>
      </c>
      <c r="K228" s="211">
        <v>45401.0</v>
      </c>
      <c r="L228" s="212">
        <v>1000.0</v>
      </c>
      <c r="M228" s="212">
        <v>89.5</v>
      </c>
      <c r="N228" s="213">
        <v>26850.0</v>
      </c>
      <c r="O228" s="211"/>
      <c r="P228" s="212"/>
      <c r="Q228" s="213">
        <v>26850.0</v>
      </c>
    </row>
    <row r="229">
      <c r="H229" s="209">
        <v>15000.0</v>
      </c>
      <c r="I229" s="210" t="s">
        <v>46</v>
      </c>
      <c r="J229" s="211">
        <v>45350.0</v>
      </c>
      <c r="K229" s="211">
        <v>45401.0</v>
      </c>
      <c r="L229" s="212">
        <v>27.0</v>
      </c>
      <c r="M229" s="212">
        <v>1.09</v>
      </c>
      <c r="N229" s="213">
        <v>16350.0</v>
      </c>
      <c r="O229" s="211">
        <v>45351.0</v>
      </c>
      <c r="P229" s="212">
        <v>1.18</v>
      </c>
      <c r="Q229" s="213">
        <v>-1350.0</v>
      </c>
    </row>
    <row r="230">
      <c r="H230" s="255">
        <v>500.0</v>
      </c>
      <c r="I230" s="210" t="s">
        <v>291</v>
      </c>
      <c r="J230" s="211">
        <v>45350.0</v>
      </c>
      <c r="K230" s="211">
        <v>45401.0</v>
      </c>
      <c r="L230" s="212">
        <v>900.0</v>
      </c>
      <c r="M230" s="212">
        <v>75.0</v>
      </c>
      <c r="N230" s="213">
        <v>37500.0</v>
      </c>
      <c r="O230" s="211">
        <v>45351.0</v>
      </c>
      <c r="P230" s="212">
        <v>92.0</v>
      </c>
      <c r="Q230" s="213">
        <v>-8500.0</v>
      </c>
    </row>
    <row r="231">
      <c r="H231" s="209">
        <v>200.0</v>
      </c>
      <c r="I231" s="210" t="s">
        <v>226</v>
      </c>
      <c r="J231" s="211">
        <v>45350.0</v>
      </c>
      <c r="K231" s="211">
        <v>45401.0</v>
      </c>
      <c r="L231" s="212">
        <v>1110.0</v>
      </c>
      <c r="M231" s="212">
        <v>108.0</v>
      </c>
      <c r="N231" s="213">
        <v>21600.0</v>
      </c>
      <c r="O231" s="211"/>
      <c r="P231" s="212"/>
      <c r="Q231" s="213">
        <v>21600.0</v>
      </c>
    </row>
    <row r="232">
      <c r="H232" s="209">
        <v>50000.0</v>
      </c>
      <c r="I232" s="210" t="s">
        <v>57</v>
      </c>
      <c r="J232" s="211">
        <v>45351.0</v>
      </c>
      <c r="K232" s="211">
        <v>45401.0</v>
      </c>
      <c r="L232" s="212">
        <v>9.0</v>
      </c>
      <c r="M232" s="212">
        <v>1.95</v>
      </c>
      <c r="N232" s="213">
        <v>97500.0</v>
      </c>
      <c r="O232" s="211">
        <v>45352.0</v>
      </c>
      <c r="P232" s="212">
        <v>0.85</v>
      </c>
      <c r="Q232" s="213">
        <v>55000.0</v>
      </c>
    </row>
    <row r="233">
      <c r="H233" s="218">
        <v>500.0</v>
      </c>
      <c r="I233" s="219" t="s">
        <v>291</v>
      </c>
      <c r="J233" s="220">
        <v>45351.0</v>
      </c>
      <c r="K233" s="220">
        <v>45401.0</v>
      </c>
      <c r="L233" s="221">
        <v>950.0</v>
      </c>
      <c r="M233" s="221">
        <v>78.0</v>
      </c>
      <c r="N233" s="222">
        <v>39000.0</v>
      </c>
      <c r="O233" s="220">
        <v>45370.0</v>
      </c>
      <c r="P233" s="221">
        <v>69.0</v>
      </c>
      <c r="Q233" s="222">
        <v>4500.0</v>
      </c>
    </row>
    <row r="234">
      <c r="H234" s="218">
        <v>20000.0</v>
      </c>
      <c r="I234" s="219" t="s">
        <v>46</v>
      </c>
      <c r="J234" s="220">
        <v>45355.0</v>
      </c>
      <c r="K234" s="220">
        <v>45401.0</v>
      </c>
      <c r="L234" s="223">
        <v>27.0</v>
      </c>
      <c r="M234" s="221">
        <v>0.87</v>
      </c>
      <c r="N234" s="222">
        <v>17400.0</v>
      </c>
      <c r="O234" s="220">
        <v>45357.0</v>
      </c>
      <c r="P234" s="221">
        <v>1.35</v>
      </c>
      <c r="Q234" s="222">
        <v>-9600.0</v>
      </c>
    </row>
    <row r="235">
      <c r="H235" s="251">
        <v>1000.0</v>
      </c>
      <c r="I235" s="219" t="s">
        <v>36</v>
      </c>
      <c r="J235" s="220">
        <v>45355.0</v>
      </c>
      <c r="K235" s="220">
        <v>45401.0</v>
      </c>
      <c r="L235" s="221">
        <v>210.0</v>
      </c>
      <c r="M235" s="221">
        <v>8.77</v>
      </c>
      <c r="N235" s="222">
        <v>8770.0</v>
      </c>
      <c r="O235" s="220">
        <v>45356.0</v>
      </c>
      <c r="P235" s="223">
        <v>3.6</v>
      </c>
      <c r="Q235" s="222">
        <v>5170.0</v>
      </c>
    </row>
    <row r="236">
      <c r="H236" s="218">
        <v>1000.0</v>
      </c>
      <c r="I236" s="219" t="s">
        <v>311</v>
      </c>
      <c r="J236" s="220">
        <v>45355.0</v>
      </c>
      <c r="K236" s="220">
        <v>45401.0</v>
      </c>
      <c r="L236" s="221">
        <v>140.0</v>
      </c>
      <c r="M236" s="221">
        <v>6.42</v>
      </c>
      <c r="N236" s="222">
        <v>6420.0</v>
      </c>
      <c r="O236" s="220">
        <v>45356.0</v>
      </c>
      <c r="P236" s="223">
        <v>4.1</v>
      </c>
      <c r="Q236" s="222">
        <v>2320.0</v>
      </c>
    </row>
    <row r="237">
      <c r="H237" s="218">
        <v>50000.0</v>
      </c>
      <c r="I237" s="219" t="s">
        <v>57</v>
      </c>
      <c r="J237" s="220">
        <v>45356.0</v>
      </c>
      <c r="K237" s="220">
        <v>45401.0</v>
      </c>
      <c r="L237" s="221">
        <v>5.0</v>
      </c>
      <c r="M237" s="221">
        <v>0.8</v>
      </c>
      <c r="N237" s="222">
        <v>40000.0</v>
      </c>
      <c r="O237" s="220"/>
      <c r="P237" s="223"/>
      <c r="Q237" s="222">
        <v>40000.0</v>
      </c>
    </row>
    <row r="238">
      <c r="H238" s="218">
        <v>1000.0</v>
      </c>
      <c r="I238" s="219" t="s">
        <v>40</v>
      </c>
      <c r="J238" s="220">
        <v>45357.0</v>
      </c>
      <c r="K238" s="220">
        <v>45401.0</v>
      </c>
      <c r="L238" s="221">
        <v>220.0</v>
      </c>
      <c r="M238" s="221">
        <v>12.0</v>
      </c>
      <c r="N238" s="222">
        <v>12000.0</v>
      </c>
      <c r="O238" s="220">
        <v>45363.0</v>
      </c>
      <c r="P238" s="223">
        <v>5.6</v>
      </c>
      <c r="Q238" s="222">
        <v>6400.0</v>
      </c>
    </row>
    <row r="239">
      <c r="H239" s="218">
        <v>200.0</v>
      </c>
      <c r="I239" s="219" t="s">
        <v>53</v>
      </c>
      <c r="J239" s="220">
        <v>45357.0</v>
      </c>
      <c r="K239" s="220">
        <v>45401.0</v>
      </c>
      <c r="L239" s="221">
        <v>900.0</v>
      </c>
      <c r="M239" s="221">
        <v>53.2</v>
      </c>
      <c r="N239" s="222">
        <v>10640.0</v>
      </c>
      <c r="O239" s="220">
        <v>45363.0</v>
      </c>
      <c r="P239" s="223">
        <v>50.5</v>
      </c>
      <c r="Q239" s="222">
        <v>540.0</v>
      </c>
    </row>
    <row r="240">
      <c r="H240" s="218">
        <v>20000.0</v>
      </c>
      <c r="I240" s="219" t="s">
        <v>46</v>
      </c>
      <c r="J240" s="220">
        <v>45357.0</v>
      </c>
      <c r="K240" s="220">
        <v>45401.0</v>
      </c>
      <c r="L240" s="221">
        <v>28.0</v>
      </c>
      <c r="M240" s="221">
        <v>1.37</v>
      </c>
      <c r="N240" s="222">
        <v>27400.0</v>
      </c>
      <c r="O240" s="220">
        <v>45363.0</v>
      </c>
      <c r="P240" s="223">
        <v>0.76</v>
      </c>
      <c r="Q240" s="222">
        <v>12200.0</v>
      </c>
    </row>
    <row r="241">
      <c r="H241" s="218">
        <v>50000.0</v>
      </c>
      <c r="I241" s="219" t="s">
        <v>57</v>
      </c>
      <c r="J241" s="220">
        <v>45358.0</v>
      </c>
      <c r="K241" s="220">
        <v>45401.0</v>
      </c>
      <c r="L241" s="221">
        <v>7.0</v>
      </c>
      <c r="M241" s="221">
        <v>0.7</v>
      </c>
      <c r="N241" s="222">
        <v>35000.0</v>
      </c>
      <c r="O241" s="220">
        <v>45366.0</v>
      </c>
      <c r="P241" s="223">
        <v>0.5</v>
      </c>
      <c r="Q241" s="222">
        <v>10000.0</v>
      </c>
    </row>
    <row r="242">
      <c r="H242" s="218">
        <v>1000.0</v>
      </c>
      <c r="I242" s="219" t="s">
        <v>311</v>
      </c>
      <c r="J242" s="220">
        <v>45363.0</v>
      </c>
      <c r="K242" s="220">
        <v>45401.0</v>
      </c>
      <c r="L242" s="221">
        <v>125.0</v>
      </c>
      <c r="M242" s="221">
        <v>7.55</v>
      </c>
      <c r="N242" s="222">
        <v>7550.0</v>
      </c>
      <c r="O242" s="220">
        <v>45369.0</v>
      </c>
      <c r="P242" s="223">
        <v>2.63</v>
      </c>
      <c r="Q242" s="222">
        <v>4920.0</v>
      </c>
    </row>
    <row r="243">
      <c r="H243" s="218">
        <v>1000.0</v>
      </c>
      <c r="I243" s="219" t="s">
        <v>351</v>
      </c>
      <c r="J243" s="220">
        <v>45363.0</v>
      </c>
      <c r="K243" s="220">
        <v>45401.0</v>
      </c>
      <c r="L243" s="221">
        <v>160.0</v>
      </c>
      <c r="M243" s="221">
        <v>9.4</v>
      </c>
      <c r="N243" s="222">
        <v>9400.0</v>
      </c>
      <c r="O243" s="220">
        <v>45369.0</v>
      </c>
      <c r="P243" s="221">
        <v>3.3</v>
      </c>
      <c r="Q243" s="222">
        <v>6100.0</v>
      </c>
    </row>
    <row r="244">
      <c r="H244" s="218">
        <v>20000.0</v>
      </c>
      <c r="I244" s="219" t="s">
        <v>144</v>
      </c>
      <c r="J244" s="220">
        <v>45365.0</v>
      </c>
      <c r="K244" s="220">
        <v>45401.0</v>
      </c>
      <c r="L244" s="221">
        <v>7.5</v>
      </c>
      <c r="M244" s="221">
        <v>0.85</v>
      </c>
      <c r="N244" s="222">
        <v>17000.0</v>
      </c>
      <c r="O244" s="220">
        <v>45365.0</v>
      </c>
      <c r="P244" s="221">
        <v>0.2</v>
      </c>
      <c r="Q244" s="222">
        <v>13000.0</v>
      </c>
    </row>
    <row r="245">
      <c r="H245" s="218">
        <v>25000.0</v>
      </c>
      <c r="I245" s="219" t="s">
        <v>87</v>
      </c>
      <c r="J245" s="220">
        <v>45370.0</v>
      </c>
      <c r="K245" s="220">
        <v>45401.0</v>
      </c>
      <c r="L245" s="221">
        <v>11.0</v>
      </c>
      <c r="M245" s="221">
        <v>0.65</v>
      </c>
      <c r="N245" s="222">
        <v>16250.0</v>
      </c>
      <c r="O245" s="220">
        <v>45370.0</v>
      </c>
      <c r="P245" s="221">
        <v>0.72</v>
      </c>
      <c r="Q245" s="222">
        <v>-1750.0</v>
      </c>
    </row>
    <row r="246">
      <c r="H246" s="218">
        <v>20000.0</v>
      </c>
      <c r="I246" s="219" t="s">
        <v>144</v>
      </c>
      <c r="J246" s="220">
        <v>45376.0</v>
      </c>
      <c r="K246" s="220">
        <v>45429.0</v>
      </c>
      <c r="L246" s="221">
        <v>7.5</v>
      </c>
      <c r="M246" s="221">
        <v>0.65</v>
      </c>
      <c r="N246" s="222">
        <v>13000.0</v>
      </c>
      <c r="O246" s="220"/>
      <c r="P246" s="221"/>
      <c r="Q246" s="222">
        <v>13000.0</v>
      </c>
    </row>
    <row r="247">
      <c r="H247" s="218"/>
      <c r="I247" s="219"/>
      <c r="J247" s="220"/>
      <c r="K247" s="220"/>
      <c r="L247" s="221"/>
      <c r="M247" s="221"/>
      <c r="N247" s="222"/>
      <c r="O247" s="220"/>
      <c r="P247" s="221"/>
      <c r="Q247" s="222"/>
    </row>
    <row r="248">
      <c r="H248" s="209"/>
      <c r="I248" s="237"/>
      <c r="J248" s="220"/>
      <c r="K248" s="220"/>
      <c r="L248" s="221"/>
      <c r="M248" s="221"/>
      <c r="N248" s="222"/>
      <c r="O248" s="220"/>
      <c r="P248" s="221"/>
      <c r="Q248" s="222"/>
    </row>
    <row r="249">
      <c r="H249" s="256"/>
      <c r="I249" s="257"/>
      <c r="J249" s="257"/>
      <c r="K249" s="257"/>
      <c r="L249" s="258"/>
      <c r="M249" s="258"/>
      <c r="N249" s="258"/>
      <c r="O249" s="257"/>
      <c r="P249" s="258"/>
      <c r="Q249" s="258"/>
    </row>
    <row r="250">
      <c r="H250" s="259"/>
      <c r="I250" s="257"/>
      <c r="J250" s="257"/>
      <c r="K250" s="257"/>
      <c r="L250" s="258"/>
      <c r="M250" s="258"/>
      <c r="N250" s="258"/>
      <c r="O250" s="257"/>
      <c r="P250" s="258"/>
      <c r="Q250" s="258"/>
    </row>
    <row r="251">
      <c r="H251" s="259"/>
      <c r="I251" s="257"/>
      <c r="J251" s="257"/>
      <c r="K251" s="257"/>
      <c r="L251" s="258"/>
      <c r="M251" s="258"/>
      <c r="N251" s="258"/>
      <c r="O251" s="257"/>
      <c r="P251" s="258"/>
      <c r="Q251" s="258"/>
    </row>
    <row r="252">
      <c r="H252" s="259"/>
      <c r="I252" s="257"/>
      <c r="J252" s="257"/>
      <c r="K252" s="257"/>
      <c r="L252" s="258"/>
      <c r="M252" s="258"/>
      <c r="N252" s="258"/>
      <c r="O252" s="257"/>
      <c r="P252" s="258"/>
      <c r="Q252" s="258"/>
    </row>
    <row r="253">
      <c r="H253" s="259"/>
      <c r="I253" s="257"/>
      <c r="J253" s="257"/>
      <c r="K253" s="257"/>
      <c r="L253" s="258"/>
      <c r="M253" s="258"/>
      <c r="N253" s="258"/>
      <c r="O253" s="257"/>
      <c r="P253" s="258"/>
      <c r="Q253" s="258"/>
    </row>
    <row r="254">
      <c r="H254" s="259"/>
      <c r="I254" s="257"/>
      <c r="J254" s="257"/>
      <c r="K254" s="257"/>
      <c r="L254" s="258"/>
      <c r="M254" s="258"/>
      <c r="N254" s="258"/>
      <c r="O254" s="257"/>
      <c r="P254" s="258"/>
      <c r="Q254" s="258"/>
    </row>
    <row r="255">
      <c r="H255" s="259"/>
      <c r="I255" s="257"/>
      <c r="J255" s="257"/>
      <c r="K255" s="257"/>
      <c r="L255" s="258"/>
      <c r="M255" s="258"/>
      <c r="N255" s="258"/>
      <c r="O255" s="257"/>
      <c r="P255" s="258"/>
      <c r="Q255" s="258"/>
    </row>
    <row r="256">
      <c r="H256" s="229"/>
      <c r="I256" s="257"/>
      <c r="J256" s="257"/>
      <c r="K256" s="257"/>
      <c r="L256" s="258"/>
      <c r="M256" s="258"/>
      <c r="N256" s="258"/>
      <c r="O256" s="257"/>
      <c r="P256" s="258"/>
      <c r="Q256" s="258"/>
    </row>
    <row r="257">
      <c r="H257" s="229"/>
      <c r="I257" s="257"/>
      <c r="J257" s="257"/>
      <c r="K257" s="257"/>
      <c r="L257" s="258"/>
      <c r="M257" s="258"/>
      <c r="N257" s="258"/>
      <c r="O257" s="257"/>
      <c r="P257" s="258"/>
      <c r="Q257" s="258"/>
    </row>
    <row r="258">
      <c r="H258" s="238" t="s">
        <v>113</v>
      </c>
      <c r="I258" s="239"/>
      <c r="J258" s="239"/>
      <c r="K258" s="239"/>
      <c r="L258" s="239"/>
      <c r="M258" s="239"/>
      <c r="N258" s="260"/>
      <c r="O258" s="239"/>
      <c r="P258" s="239"/>
      <c r="Q258" s="240">
        <f>SUM(Q185:Q257)</f>
        <v>272251</v>
      </c>
    </row>
  </sheetData>
  <hyperlinks>
    <hyperlink r:id="rId1" ref="B198"/>
    <hyperlink r:id="rId2" ref="B199"/>
    <hyperlink r:id="rId3" ref="B200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8.63"/>
    <col customWidth="1" min="3" max="3" width="20.38"/>
    <col customWidth="1" min="4" max="4" width="20.5"/>
    <col customWidth="1" min="5" max="5" width="24.75"/>
    <col customWidth="1" min="6" max="6" width="11.13"/>
    <col customWidth="1" min="7" max="7" width="9.88"/>
    <col customWidth="1" min="8" max="8" width="23.25"/>
    <col customWidth="1" min="9" max="9" width="24.38"/>
    <col customWidth="1" min="10" max="10" width="15.38"/>
    <col customWidth="1" min="11" max="11" width="18.5"/>
    <col customWidth="1" min="12" max="12" width="11.5"/>
    <col customWidth="1" min="13" max="13" width="18.25"/>
    <col customWidth="1" min="14" max="14" width="13.5"/>
    <col customWidth="1" min="15" max="15" width="10.88"/>
    <col customWidth="1" min="16" max="16" width="14.25"/>
    <col customWidth="1" min="17" max="17" width="10.0"/>
    <col customWidth="1" min="18" max="18" width="9.88"/>
    <col customWidth="1" min="19" max="19" width="26.13"/>
    <col customWidth="1" min="20" max="20" width="10.88"/>
    <col customWidth="1" min="21" max="21" width="17.5"/>
    <col customWidth="1" min="22" max="22" width="14.25"/>
    <col customWidth="1" min="23" max="23" width="11.0"/>
    <col customWidth="1" min="24" max="24" width="15.13"/>
    <col customWidth="1" min="25" max="25" width="13.5"/>
    <col customWidth="1" min="26" max="26" width="13.38"/>
    <col customWidth="1" min="27" max="27" width="14.25"/>
    <col customWidth="1" min="28" max="28" width="10.5"/>
    <col customWidth="1" min="29" max="29" width="11.13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8" t="s">
        <v>374</v>
      </c>
      <c r="B2" s="6" t="s">
        <v>435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308" t="s">
        <v>436</v>
      </c>
      <c r="J2" s="7" t="s">
        <v>9</v>
      </c>
      <c r="K2" s="8" t="s">
        <v>10</v>
      </c>
      <c r="L2" s="8" t="s">
        <v>11</v>
      </c>
      <c r="M2" s="9" t="s">
        <v>12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18</v>
      </c>
      <c r="T2" s="5" t="s">
        <v>19</v>
      </c>
      <c r="U2" s="5" t="s">
        <v>20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13" t="s">
        <v>29</v>
      </c>
      <c r="B3" s="13" t="s">
        <v>29</v>
      </c>
      <c r="C3" s="14">
        <f>I3/E116</f>
        <v>0.04524464281</v>
      </c>
      <c r="D3" s="15" t="s">
        <v>331</v>
      </c>
      <c r="E3" s="16" t="s">
        <v>31</v>
      </c>
      <c r="F3" s="17">
        <v>8.1</v>
      </c>
      <c r="G3" s="18">
        <v>4000.0</v>
      </c>
      <c r="H3" s="19">
        <f t="shared" ref="H3:H34" si="1">G3*J3</f>
        <v>527400</v>
      </c>
      <c r="I3" s="20">
        <f>H3+P3</f>
        <v>770760</v>
      </c>
      <c r="J3" s="21">
        <v>131.85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34" si="2">L3-J3</f>
        <v>60.84</v>
      </c>
      <c r="O3" s="25">
        <f>L3/J3-1</f>
        <v>0.4614334471</v>
      </c>
      <c r="P3" s="19">
        <f t="shared" ref="P3:P34" si="3">H3*O3</f>
        <v>243360</v>
      </c>
      <c r="Q3" s="34"/>
      <c r="R3" s="29"/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3">
        <f>B112</f>
        <v>0.7784710145</v>
      </c>
      <c r="B4" s="33">
        <f>I35/E116</f>
        <v>0.4622099281</v>
      </c>
      <c r="C4" s="14">
        <f>I4/E116</f>
        <v>0</v>
      </c>
      <c r="D4" s="15" t="s">
        <v>30</v>
      </c>
      <c r="E4" s="16" t="s">
        <v>31</v>
      </c>
      <c r="F4" s="44">
        <v>8.1</v>
      </c>
      <c r="G4" s="18">
        <v>1000.0</v>
      </c>
      <c r="H4" s="19">
        <f t="shared" si="1"/>
        <v>131850</v>
      </c>
      <c r="I4" s="20">
        <v>0.0</v>
      </c>
      <c r="J4" s="21">
        <v>131.85</v>
      </c>
      <c r="K4" s="22">
        <f>IFERROR(__xludf.DUMMYFUNCTION("GOOGLEFINANCE(E4,""changepct"")"),-0.7)</f>
        <v>-0.7</v>
      </c>
      <c r="L4" s="23">
        <f>IFERROR(__xludf.DUMMYFUNCTION("googlefinance(E4,""price"")"),192.69)</f>
        <v>192.69</v>
      </c>
      <c r="M4" s="21">
        <v>141.46</v>
      </c>
      <c r="N4" s="24">
        <f t="shared" si="2"/>
        <v>60.84</v>
      </c>
      <c r="O4" s="25">
        <f t="shared" ref="O4:O6" si="4">M4/J4-1</f>
        <v>0.07288585514</v>
      </c>
      <c r="P4" s="19">
        <f t="shared" si="3"/>
        <v>9610</v>
      </c>
      <c r="Q4" s="34"/>
      <c r="R4" s="29"/>
      <c r="S4" s="282"/>
      <c r="T4" s="27"/>
      <c r="U4" s="27"/>
      <c r="V4" s="15" t="s">
        <v>31</v>
      </c>
      <c r="W4" s="36">
        <v>45280.0</v>
      </c>
      <c r="X4" s="37">
        <v>141.46</v>
      </c>
      <c r="Y4" s="27">
        <v>141460.0</v>
      </c>
      <c r="Z4" s="16"/>
      <c r="AA4" s="32"/>
      <c r="AB4" s="31"/>
      <c r="AC4" s="29"/>
    </row>
    <row r="5">
      <c r="A5" s="309"/>
      <c r="B5" s="309"/>
      <c r="C5" s="14">
        <f>I5/E116</f>
        <v>0.01144676079</v>
      </c>
      <c r="D5" s="42" t="s">
        <v>332</v>
      </c>
      <c r="E5" s="45" t="s">
        <v>299</v>
      </c>
      <c r="F5" s="44">
        <v>8.0</v>
      </c>
      <c r="G5" s="18">
        <v>3000.0</v>
      </c>
      <c r="H5" s="19">
        <f t="shared" si="1"/>
        <v>132780</v>
      </c>
      <c r="I5" s="20">
        <f>H5+P5</f>
        <v>195000</v>
      </c>
      <c r="J5" s="21">
        <v>44.26</v>
      </c>
      <c r="K5" s="22">
        <f>IFERROR(__xludf.DUMMYFUNCTION("GOOGLEFINANCE(E5,""changepct"")"),-1.67)</f>
        <v>-1.67</v>
      </c>
      <c r="L5" s="23">
        <f>IFERROR(__xludf.DUMMYFUNCTION("googlefinance(E5,""price"")"),87.48)</f>
        <v>87.48</v>
      </c>
      <c r="M5" s="21">
        <v>65.0</v>
      </c>
      <c r="N5" s="24">
        <f t="shared" si="2"/>
        <v>43.22</v>
      </c>
      <c r="O5" s="25">
        <f t="shared" si="4"/>
        <v>0.4685946679</v>
      </c>
      <c r="P5" s="19">
        <f t="shared" si="3"/>
        <v>62220</v>
      </c>
      <c r="Q5" s="34"/>
      <c r="R5" s="29"/>
      <c r="S5" s="35" t="s">
        <v>437</v>
      </c>
      <c r="T5" s="27">
        <v>13450.0</v>
      </c>
      <c r="U5" s="27"/>
      <c r="V5" s="15"/>
      <c r="W5" s="36"/>
      <c r="X5" s="37"/>
      <c r="Y5" s="27"/>
      <c r="Z5" s="16"/>
      <c r="AA5" s="32"/>
      <c r="AB5" s="31"/>
      <c r="AC5" s="29"/>
    </row>
    <row r="6">
      <c r="A6" s="38"/>
      <c r="B6" s="32"/>
      <c r="C6" s="47">
        <v>0.0</v>
      </c>
      <c r="D6" s="42" t="s">
        <v>332</v>
      </c>
      <c r="E6" s="45" t="s">
        <v>299</v>
      </c>
      <c r="F6" s="44">
        <v>8.0</v>
      </c>
      <c r="G6" s="18">
        <v>1000.0</v>
      </c>
      <c r="H6" s="19">
        <f t="shared" si="1"/>
        <v>44260</v>
      </c>
      <c r="I6" s="20">
        <v>0.0</v>
      </c>
      <c r="J6" s="21">
        <v>44.26</v>
      </c>
      <c r="K6" s="22">
        <f>IFERROR(__xludf.DUMMYFUNCTION("GOOGLEFINANCE(E6,""changepct"")"),-1.67)</f>
        <v>-1.67</v>
      </c>
      <c r="L6" s="23">
        <f>IFERROR(__xludf.DUMMYFUNCTION("googlefinance(E6,""price"")"),87.48)</f>
        <v>87.48</v>
      </c>
      <c r="M6" s="21">
        <v>76.94</v>
      </c>
      <c r="N6" s="24">
        <f t="shared" si="2"/>
        <v>43.22</v>
      </c>
      <c r="O6" s="25">
        <f t="shared" si="4"/>
        <v>0.7383642115</v>
      </c>
      <c r="P6" s="19">
        <f t="shared" si="3"/>
        <v>32680</v>
      </c>
      <c r="Q6" s="34"/>
      <c r="R6" s="29"/>
      <c r="S6" s="39"/>
      <c r="T6" s="27"/>
      <c r="U6" s="40"/>
      <c r="V6" s="15"/>
      <c r="W6" s="36"/>
      <c r="X6" s="37"/>
      <c r="Y6" s="27"/>
      <c r="Z6" s="15"/>
      <c r="AA6" s="41"/>
      <c r="AB6" s="21"/>
      <c r="AC6" s="20"/>
    </row>
    <row r="7">
      <c r="A7" s="38"/>
      <c r="B7" s="32"/>
      <c r="C7" s="14">
        <f>I7/E116</f>
        <v>0.03081115797</v>
      </c>
      <c r="D7" s="42" t="s">
        <v>332</v>
      </c>
      <c r="E7" s="45" t="s">
        <v>299</v>
      </c>
      <c r="F7" s="44">
        <v>8.0</v>
      </c>
      <c r="G7" s="18">
        <v>6000.0</v>
      </c>
      <c r="H7" s="19">
        <f t="shared" si="1"/>
        <v>265560</v>
      </c>
      <c r="I7" s="20">
        <f t="shared" ref="I7:I8" si="5">H7+P7</f>
        <v>524880</v>
      </c>
      <c r="J7" s="21">
        <v>44.26</v>
      </c>
      <c r="K7" s="22">
        <f>IFERROR(__xludf.DUMMYFUNCTION("GOOGLEFINANCE(E7,""changepct"")"),-1.67)</f>
        <v>-1.67</v>
      </c>
      <c r="L7" s="23">
        <f>IFERROR(__xludf.DUMMYFUNCTION("googlefinance(E7,""price"")"),87.48)</f>
        <v>87.48</v>
      </c>
      <c r="M7" s="24"/>
      <c r="N7" s="24">
        <f t="shared" si="2"/>
        <v>43.22</v>
      </c>
      <c r="O7" s="25">
        <f t="shared" ref="O7:O8" si="6">L7/J7-1</f>
        <v>0.9765024853</v>
      </c>
      <c r="P7" s="19">
        <f t="shared" si="3"/>
        <v>259320</v>
      </c>
      <c r="Q7" s="34"/>
      <c r="R7" s="29"/>
      <c r="S7" s="39"/>
      <c r="T7" s="27"/>
      <c r="U7" s="40"/>
      <c r="V7" s="15" t="s">
        <v>299</v>
      </c>
      <c r="W7" s="36">
        <v>45281.0</v>
      </c>
      <c r="X7" s="37">
        <v>76.94</v>
      </c>
      <c r="Y7" s="27">
        <v>76940.0</v>
      </c>
      <c r="Z7" s="15"/>
      <c r="AA7" s="41"/>
      <c r="AB7" s="21"/>
      <c r="AC7" s="20"/>
    </row>
    <row r="8">
      <c r="A8" s="38"/>
      <c r="B8" s="32"/>
      <c r="C8" s="14">
        <f>I8/E116</f>
        <v>0.04900505049</v>
      </c>
      <c r="D8" s="15" t="s">
        <v>35</v>
      </c>
      <c r="E8" s="15" t="s">
        <v>36</v>
      </c>
      <c r="F8" s="17">
        <v>7.8</v>
      </c>
      <c r="G8" s="18">
        <v>2000.0</v>
      </c>
      <c r="H8" s="19">
        <f t="shared" si="1"/>
        <v>500440</v>
      </c>
      <c r="I8" s="20">
        <f t="shared" si="5"/>
        <v>834820</v>
      </c>
      <c r="J8" s="21">
        <v>250.22</v>
      </c>
      <c r="K8" s="22">
        <f>IFERROR(__xludf.DUMMYFUNCTION("GOOGLEFINANCE(E8,""changepct"")"),-3.3)</f>
        <v>-3.3</v>
      </c>
      <c r="L8" s="23">
        <f>IFERROR(__xludf.DUMMYFUNCTION("googlefinance(E8,""price"")"),417.41)</f>
        <v>417.41</v>
      </c>
      <c r="M8" s="24"/>
      <c r="N8" s="24">
        <f t="shared" si="2"/>
        <v>167.19</v>
      </c>
      <c r="O8" s="25">
        <f t="shared" si="6"/>
        <v>0.6681720086</v>
      </c>
      <c r="P8" s="19">
        <f t="shared" si="3"/>
        <v>334380</v>
      </c>
      <c r="Q8" s="34"/>
      <c r="R8" s="29"/>
      <c r="S8" s="39"/>
      <c r="T8" s="27">
        <v>23225.0</v>
      </c>
      <c r="U8" s="40"/>
      <c r="V8" s="15"/>
      <c r="W8" s="36"/>
      <c r="X8" s="37"/>
      <c r="Y8" s="27"/>
      <c r="Z8" s="15"/>
      <c r="AA8" s="41"/>
      <c r="AB8" s="21"/>
      <c r="AC8" s="20"/>
    </row>
    <row r="9">
      <c r="A9" s="38"/>
      <c r="B9" s="32"/>
      <c r="C9" s="14">
        <f>I9/E116</f>
        <v>0</v>
      </c>
      <c r="D9" s="42" t="s">
        <v>438</v>
      </c>
      <c r="E9" s="42" t="s">
        <v>439</v>
      </c>
      <c r="F9" s="44">
        <v>6.7</v>
      </c>
      <c r="G9" s="18">
        <v>15000.0</v>
      </c>
      <c r="H9" s="19">
        <f t="shared" si="1"/>
        <v>169050</v>
      </c>
      <c r="I9" s="20">
        <v>0.0</v>
      </c>
      <c r="J9" s="21">
        <v>11.27</v>
      </c>
      <c r="K9" s="22">
        <f>IFERROR(__xludf.DUMMYFUNCTION("GOOGLEFINANCE(E9,""changepct"")"),-0.32)</f>
        <v>-0.32</v>
      </c>
      <c r="L9" s="23">
        <f>IFERROR(__xludf.DUMMYFUNCTION("googlefinance(E9,""price"")"),18.91)</f>
        <v>18.91</v>
      </c>
      <c r="M9" s="21">
        <v>10.76</v>
      </c>
      <c r="N9" s="24">
        <f t="shared" si="2"/>
        <v>7.64</v>
      </c>
      <c r="O9" s="25">
        <f>M9/J9-1</f>
        <v>-0.04525288376</v>
      </c>
      <c r="P9" s="19">
        <f t="shared" si="3"/>
        <v>-7650</v>
      </c>
      <c r="Q9" s="26">
        <v>0.055</v>
      </c>
      <c r="R9" s="27"/>
      <c r="S9" s="43"/>
      <c r="T9" s="27"/>
      <c r="U9" s="40"/>
      <c r="V9" s="15" t="s">
        <v>439</v>
      </c>
      <c r="W9" s="41">
        <v>45203.0</v>
      </c>
      <c r="X9" s="21">
        <v>10.76</v>
      </c>
      <c r="Y9" s="20">
        <v>161400.0</v>
      </c>
      <c r="Z9" s="42"/>
      <c r="AA9" s="36"/>
      <c r="AB9" s="37"/>
      <c r="AC9" s="27"/>
    </row>
    <row r="10">
      <c r="A10" s="38"/>
      <c r="B10" s="32"/>
      <c r="C10" s="14">
        <f>I10/E116</f>
        <v>0</v>
      </c>
      <c r="D10" s="42" t="s">
        <v>41</v>
      </c>
      <c r="E10" s="42" t="s">
        <v>40</v>
      </c>
      <c r="F10" s="44">
        <v>8.1</v>
      </c>
      <c r="G10" s="18">
        <v>1000.0</v>
      </c>
      <c r="H10" s="19">
        <f t="shared" si="1"/>
        <v>102820</v>
      </c>
      <c r="I10" s="20">
        <v>0.0</v>
      </c>
      <c r="J10" s="21">
        <v>102.82</v>
      </c>
      <c r="K10" s="22">
        <f>IFERROR(__xludf.DUMMYFUNCTION("GOOGLEFINANCE(E10,""changepct"")"),-2.2)</f>
        <v>-2.2</v>
      </c>
      <c r="L10" s="23">
        <f>IFERROR(__xludf.DUMMYFUNCTION("googlefinance(E10,""price"")"),122.44)</f>
        <v>122.44</v>
      </c>
      <c r="M10" s="21">
        <v>138.92</v>
      </c>
      <c r="N10" s="24">
        <f t="shared" si="2"/>
        <v>19.62</v>
      </c>
      <c r="O10" s="25">
        <f t="shared" ref="O10:O12" si="7">L10/J10-1</f>
        <v>0.1908189068</v>
      </c>
      <c r="P10" s="19">
        <f t="shared" si="3"/>
        <v>19620</v>
      </c>
      <c r="Q10" s="34"/>
      <c r="R10" s="29"/>
      <c r="S10" s="43"/>
      <c r="T10" s="27">
        <v>10390.0</v>
      </c>
      <c r="U10" s="40"/>
      <c r="V10" s="15" t="s">
        <v>40</v>
      </c>
      <c r="W10" s="41">
        <v>45281.0</v>
      </c>
      <c r="X10" s="21">
        <v>138.92</v>
      </c>
      <c r="Y10" s="20">
        <v>138920.0</v>
      </c>
      <c r="Z10" s="42"/>
      <c r="AA10" s="36"/>
      <c r="AB10" s="37"/>
      <c r="AC10" s="27"/>
    </row>
    <row r="11">
      <c r="A11" s="38"/>
      <c r="B11" s="32"/>
      <c r="C11" s="14">
        <f>I11/E116</f>
        <v>0.04671804638</v>
      </c>
      <c r="D11" s="42" t="s">
        <v>39</v>
      </c>
      <c r="E11" s="42" t="s">
        <v>40</v>
      </c>
      <c r="F11" s="44">
        <v>8.1</v>
      </c>
      <c r="G11" s="18">
        <v>6500.0</v>
      </c>
      <c r="H11" s="19">
        <f t="shared" si="1"/>
        <v>668330</v>
      </c>
      <c r="I11" s="20">
        <f t="shared" ref="I11:I12" si="8">H11+P11</f>
        <v>795860</v>
      </c>
      <c r="J11" s="21">
        <v>102.82</v>
      </c>
      <c r="K11" s="22">
        <f>IFERROR(__xludf.DUMMYFUNCTION("GOOGLEFINANCE(E11,""changepct"")"),-2.2)</f>
        <v>-2.2</v>
      </c>
      <c r="L11" s="23">
        <f>IFERROR(__xludf.DUMMYFUNCTION("googlefinance(E11,""price"")"),122.44)</f>
        <v>122.44</v>
      </c>
      <c r="M11" s="24"/>
      <c r="N11" s="24">
        <f t="shared" si="2"/>
        <v>19.62</v>
      </c>
      <c r="O11" s="25">
        <f t="shared" si="7"/>
        <v>0.1908189068</v>
      </c>
      <c r="P11" s="19">
        <f t="shared" si="3"/>
        <v>127530</v>
      </c>
      <c r="Q11" s="34"/>
      <c r="R11" s="29"/>
      <c r="S11" s="43"/>
      <c r="T11" s="27"/>
      <c r="U11" s="40"/>
      <c r="V11" s="15"/>
      <c r="W11" s="41"/>
      <c r="X11" s="21"/>
      <c r="Y11" s="20"/>
      <c r="Z11" s="42"/>
      <c r="AA11" s="36"/>
      <c r="AB11" s="37"/>
      <c r="AC11" s="27"/>
    </row>
    <row r="12">
      <c r="A12" s="38"/>
      <c r="B12" s="32"/>
      <c r="C12" s="14">
        <f>I12/E116</f>
        <v>0.05196242387</v>
      </c>
      <c r="D12" s="42" t="s">
        <v>42</v>
      </c>
      <c r="E12" s="45" t="s">
        <v>43</v>
      </c>
      <c r="F12" s="44">
        <v>8.1</v>
      </c>
      <c r="G12" s="18">
        <v>4000.0</v>
      </c>
      <c r="H12" s="19">
        <f t="shared" si="1"/>
        <v>508480</v>
      </c>
      <c r="I12" s="20">
        <f t="shared" si="8"/>
        <v>885200</v>
      </c>
      <c r="J12" s="21">
        <v>127.12</v>
      </c>
      <c r="K12" s="22">
        <f>IFERROR(__xludf.DUMMYFUNCTION("GOOGLEFINANCE(E12,""changepct"")"),-1.09)</f>
        <v>-1.09</v>
      </c>
      <c r="L12" s="23">
        <f>IFERROR(__xludf.DUMMYFUNCTION("googlefinance(E12,""price"")"),221.3)</f>
        <v>221.3</v>
      </c>
      <c r="M12" s="24"/>
      <c r="N12" s="24">
        <f t="shared" si="2"/>
        <v>94.18</v>
      </c>
      <c r="O12" s="25">
        <f t="shared" si="7"/>
        <v>0.740874764</v>
      </c>
      <c r="P12" s="19">
        <f t="shared" si="3"/>
        <v>376720</v>
      </c>
      <c r="Q12" s="34"/>
      <c r="R12" s="29"/>
      <c r="S12" s="310"/>
      <c r="T12" s="27"/>
      <c r="U12" s="40"/>
      <c r="V12" s="15"/>
      <c r="W12" s="41"/>
      <c r="X12" s="21"/>
      <c r="Y12" s="20"/>
      <c r="Z12" s="42"/>
      <c r="AA12" s="36"/>
      <c r="AB12" s="37"/>
      <c r="AC12" s="27"/>
    </row>
    <row r="13">
      <c r="A13" s="38"/>
      <c r="B13" s="32"/>
      <c r="C13" s="14">
        <f>I13/E116</f>
        <v>0</v>
      </c>
      <c r="D13" s="42" t="s">
        <v>44</v>
      </c>
      <c r="E13" s="45" t="s">
        <v>43</v>
      </c>
      <c r="F13" s="44">
        <v>8.1</v>
      </c>
      <c r="G13" s="18">
        <v>1000.0</v>
      </c>
      <c r="H13" s="19">
        <f t="shared" si="1"/>
        <v>127120</v>
      </c>
      <c r="I13" s="20">
        <v>0.0</v>
      </c>
      <c r="J13" s="21">
        <v>127.12</v>
      </c>
      <c r="K13" s="22">
        <f>IFERROR(__xludf.DUMMYFUNCTION("GOOGLEFINANCE(E13,""changepct"")"),-1.09)</f>
        <v>-1.09</v>
      </c>
      <c r="L13" s="23">
        <f>IFERROR(__xludf.DUMMYFUNCTION("googlefinance(E13,""price"")"),221.3)</f>
        <v>221.3</v>
      </c>
      <c r="M13" s="21">
        <v>154.1</v>
      </c>
      <c r="N13" s="24">
        <f t="shared" si="2"/>
        <v>94.18</v>
      </c>
      <c r="O13" s="25">
        <f>M13/J13-1</f>
        <v>0.2122404028</v>
      </c>
      <c r="P13" s="19">
        <f t="shared" si="3"/>
        <v>26980</v>
      </c>
      <c r="Q13" s="34"/>
      <c r="R13" s="29"/>
      <c r="S13" s="282"/>
      <c r="T13" s="27"/>
      <c r="U13" s="40"/>
      <c r="V13" s="15" t="s">
        <v>43</v>
      </c>
      <c r="W13" s="36">
        <v>45282.0</v>
      </c>
      <c r="X13" s="37">
        <v>154.1</v>
      </c>
      <c r="Y13" s="27">
        <v>154100.0</v>
      </c>
      <c r="Z13" s="42"/>
      <c r="AA13" s="41"/>
      <c r="AB13" s="21"/>
      <c r="AC13" s="20"/>
    </row>
    <row r="14">
      <c r="A14" s="38"/>
      <c r="B14" s="32"/>
      <c r="C14" s="14">
        <f>I14/E116</f>
        <v>0.453056922</v>
      </c>
      <c r="D14" s="42" t="s">
        <v>45</v>
      </c>
      <c r="E14" s="45" t="s">
        <v>46</v>
      </c>
      <c r="F14" s="44">
        <v>8.2</v>
      </c>
      <c r="G14" s="18">
        <v>100000.0</v>
      </c>
      <c r="H14" s="19">
        <f t="shared" si="1"/>
        <v>1600000</v>
      </c>
      <c r="I14" s="20">
        <f>H14+P14</f>
        <v>7718000</v>
      </c>
      <c r="J14" s="21">
        <v>16.0</v>
      </c>
      <c r="K14" s="22">
        <f>IFERROR(__xludf.DUMMYFUNCTION("GOOGLEFINANCE(E14,""changepct"")"),-2.4)</f>
        <v>-2.4</v>
      </c>
      <c r="L14" s="23">
        <f>IFERROR(__xludf.DUMMYFUNCTION("googlefinance(E14,""price"")"),77.18)</f>
        <v>77.18</v>
      </c>
      <c r="M14" s="24"/>
      <c r="N14" s="24">
        <f t="shared" si="2"/>
        <v>61.18</v>
      </c>
      <c r="O14" s="25">
        <f>L14/J14-1</f>
        <v>3.82375</v>
      </c>
      <c r="P14" s="19">
        <f t="shared" si="3"/>
        <v>6118000</v>
      </c>
      <c r="Q14" s="34"/>
      <c r="R14" s="29"/>
      <c r="S14" s="35"/>
      <c r="T14" s="27">
        <v>28900.0</v>
      </c>
      <c r="U14" s="40"/>
      <c r="V14" s="15"/>
      <c r="W14" s="36"/>
      <c r="X14" s="37"/>
      <c r="Y14" s="27"/>
      <c r="Z14" s="42"/>
      <c r="AA14" s="41"/>
      <c r="AB14" s="21"/>
      <c r="AC14" s="20"/>
    </row>
    <row r="15">
      <c r="A15" s="38"/>
      <c r="B15" s="32"/>
      <c r="C15" s="14">
        <f>I15/E116</f>
        <v>0</v>
      </c>
      <c r="D15" s="45" t="s">
        <v>440</v>
      </c>
      <c r="E15" s="45" t="s">
        <v>77</v>
      </c>
      <c r="F15" s="44">
        <v>8.0</v>
      </c>
      <c r="G15" s="18">
        <v>2000.0</v>
      </c>
      <c r="H15" s="19">
        <f t="shared" si="1"/>
        <v>222120</v>
      </c>
      <c r="I15" s="20">
        <v>0.0</v>
      </c>
      <c r="J15" s="21">
        <v>111.06</v>
      </c>
      <c r="K15" s="22">
        <f>IFERROR(__xludf.DUMMYFUNCTION("GOOGLEFINANCE(E15,""changepct"")"),-1.69)</f>
        <v>-1.69</v>
      </c>
      <c r="L15" s="23">
        <f>IFERROR(__xludf.DUMMYFUNCTION("googlefinance(E15,""price"")"),154.58)</f>
        <v>154.58</v>
      </c>
      <c r="M15" s="21">
        <v>110.28</v>
      </c>
      <c r="N15" s="24">
        <f t="shared" si="2"/>
        <v>43.52</v>
      </c>
      <c r="O15" s="25">
        <f t="shared" ref="O15:O17" si="9">M15/J15-1</f>
        <v>-0.007023230686</v>
      </c>
      <c r="P15" s="19">
        <f t="shared" si="3"/>
        <v>-1560</v>
      </c>
      <c r="Q15" s="47">
        <v>0.027</v>
      </c>
      <c r="R15" s="27"/>
      <c r="S15" s="35"/>
      <c r="T15" s="27"/>
      <c r="U15" s="40"/>
      <c r="V15" s="15" t="s">
        <v>77</v>
      </c>
      <c r="W15" s="41">
        <v>45208.0</v>
      </c>
      <c r="X15" s="21">
        <v>110.28</v>
      </c>
      <c r="Y15" s="20">
        <v>220560.0</v>
      </c>
      <c r="Z15" s="15"/>
      <c r="AA15" s="41"/>
      <c r="AB15" s="21"/>
      <c r="AC15" s="20"/>
    </row>
    <row r="16">
      <c r="A16" s="38"/>
      <c r="B16" s="32"/>
      <c r="C16" s="14">
        <f>I16/E116</f>
        <v>0</v>
      </c>
      <c r="D16" s="42" t="s">
        <v>441</v>
      </c>
      <c r="E16" s="42" t="s">
        <v>340</v>
      </c>
      <c r="F16" s="44">
        <v>7.9</v>
      </c>
      <c r="G16" s="18">
        <v>2500.0</v>
      </c>
      <c r="H16" s="19">
        <f t="shared" si="1"/>
        <v>174850</v>
      </c>
      <c r="I16" s="20">
        <v>0.0</v>
      </c>
      <c r="J16" s="21">
        <v>69.94</v>
      </c>
      <c r="K16" s="22">
        <f>IFERROR(__xludf.DUMMYFUNCTION("GOOGLEFINANCE(E16,""changepct"")"),-1.3)</f>
        <v>-1.3</v>
      </c>
      <c r="L16" s="23">
        <f>IFERROR(__xludf.DUMMYFUNCTION("googlefinance(E16,""price"")"),82.73)</f>
        <v>82.73</v>
      </c>
      <c r="M16" s="21">
        <v>71.2</v>
      </c>
      <c r="N16" s="24">
        <f t="shared" si="2"/>
        <v>12.79</v>
      </c>
      <c r="O16" s="25">
        <f t="shared" si="9"/>
        <v>0.01801544181</v>
      </c>
      <c r="P16" s="19">
        <f t="shared" si="3"/>
        <v>3150</v>
      </c>
      <c r="Q16" s="34"/>
      <c r="R16" s="29"/>
      <c r="S16" s="311"/>
      <c r="T16" s="27"/>
      <c r="U16" s="40"/>
      <c r="V16" s="15" t="s">
        <v>340</v>
      </c>
      <c r="W16" s="41">
        <v>45280.0</v>
      </c>
      <c r="X16" s="21">
        <v>71.2</v>
      </c>
      <c r="Y16" s="20">
        <v>178000.0</v>
      </c>
      <c r="Z16" s="15"/>
      <c r="AA16" s="36"/>
      <c r="AB16" s="37"/>
      <c r="AC16" s="27"/>
    </row>
    <row r="17">
      <c r="A17" s="38"/>
      <c r="B17" s="32"/>
      <c r="C17" s="14">
        <f>I17/E116</f>
        <v>0</v>
      </c>
      <c r="D17" s="42" t="s">
        <v>441</v>
      </c>
      <c r="E17" s="42" t="s">
        <v>340</v>
      </c>
      <c r="F17" s="44">
        <v>7.9</v>
      </c>
      <c r="G17" s="18">
        <v>2500.0</v>
      </c>
      <c r="H17" s="19">
        <f t="shared" si="1"/>
        <v>174850</v>
      </c>
      <c r="I17" s="20">
        <v>0.0</v>
      </c>
      <c r="J17" s="21">
        <v>69.94</v>
      </c>
      <c r="K17" s="22">
        <f>IFERROR(__xludf.DUMMYFUNCTION("GOOGLEFINANCE(E17,""changepct"")"),-1.3)</f>
        <v>-1.3</v>
      </c>
      <c r="L17" s="23">
        <f>IFERROR(__xludf.DUMMYFUNCTION("googlefinance(E17,""price"")"),82.73)</f>
        <v>82.73</v>
      </c>
      <c r="M17" s="21">
        <v>73.7</v>
      </c>
      <c r="N17" s="24">
        <f t="shared" si="2"/>
        <v>12.79</v>
      </c>
      <c r="O17" s="25">
        <f t="shared" si="9"/>
        <v>0.05376036603</v>
      </c>
      <c r="P17" s="19">
        <f t="shared" si="3"/>
        <v>9400</v>
      </c>
      <c r="Q17" s="34"/>
      <c r="R17" s="29"/>
      <c r="S17" s="311"/>
      <c r="T17" s="27">
        <v>-6250.0</v>
      </c>
      <c r="U17" s="40"/>
      <c r="V17" s="15" t="s">
        <v>340</v>
      </c>
      <c r="W17" s="41">
        <v>45288.0</v>
      </c>
      <c r="X17" s="21">
        <v>73.7</v>
      </c>
      <c r="Y17" s="20">
        <v>184250.0</v>
      </c>
      <c r="Z17" s="15"/>
      <c r="AA17" s="36"/>
      <c r="AB17" s="37"/>
      <c r="AC17" s="27"/>
    </row>
    <row r="18">
      <c r="A18" s="38"/>
      <c r="B18" s="32"/>
      <c r="C18" s="14">
        <f>I18/E116</f>
        <v>0.01383297016</v>
      </c>
      <c r="D18" s="15" t="s">
        <v>376</v>
      </c>
      <c r="E18" s="15" t="s">
        <v>377</v>
      </c>
      <c r="F18" s="17">
        <v>8.0</v>
      </c>
      <c r="G18" s="18">
        <v>3000.0</v>
      </c>
      <c r="H18" s="19">
        <f t="shared" si="1"/>
        <v>157380</v>
      </c>
      <c r="I18" s="20">
        <f t="shared" ref="I18:I22" si="10">H18+P18</f>
        <v>235650</v>
      </c>
      <c r="J18" s="21">
        <v>52.46</v>
      </c>
      <c r="K18" s="22">
        <f>IFERROR(__xludf.DUMMYFUNCTION("GOOGLEFINANCE(E18,""changepct"")"),-2.29)</f>
        <v>-2.29</v>
      </c>
      <c r="L18" s="23">
        <f>IFERROR(__xludf.DUMMYFUNCTION("googlefinance(E18,""price"")"),78.55)</f>
        <v>78.55</v>
      </c>
      <c r="M18" s="24"/>
      <c r="N18" s="24">
        <f t="shared" si="2"/>
        <v>26.09</v>
      </c>
      <c r="O18" s="25">
        <f t="shared" ref="O18:O22" si="11">L18/J18-1</f>
        <v>0.4973313</v>
      </c>
      <c r="P18" s="19">
        <f t="shared" si="3"/>
        <v>78270</v>
      </c>
      <c r="Q18" s="14"/>
      <c r="R18" s="19"/>
      <c r="S18" s="37"/>
      <c r="T18" s="27"/>
      <c r="U18" s="40"/>
      <c r="V18" s="15"/>
      <c r="W18" s="36"/>
      <c r="X18" s="37"/>
      <c r="Y18" s="27"/>
      <c r="Z18" s="15"/>
      <c r="AA18" s="36"/>
      <c r="AB18" s="37"/>
      <c r="AC18" s="27"/>
    </row>
    <row r="19">
      <c r="A19" s="38"/>
      <c r="B19" s="32"/>
      <c r="C19" s="14">
        <f>I19/E116</f>
        <v>0.01014535214</v>
      </c>
      <c r="D19" s="15" t="s">
        <v>378</v>
      </c>
      <c r="E19" s="15" t="s">
        <v>379</v>
      </c>
      <c r="F19" s="17">
        <v>7.9</v>
      </c>
      <c r="G19" s="18">
        <v>3000.0</v>
      </c>
      <c r="H19" s="19">
        <f t="shared" si="1"/>
        <v>119010</v>
      </c>
      <c r="I19" s="20">
        <f t="shared" si="10"/>
        <v>172830</v>
      </c>
      <c r="J19" s="21">
        <v>39.67</v>
      </c>
      <c r="K19" s="22">
        <f>IFERROR(__xludf.DUMMYFUNCTION("GOOGLEFINANCE(E19,""changepct"")"),-2.8)</f>
        <v>-2.8</v>
      </c>
      <c r="L19" s="23">
        <f>IFERROR(__xludf.DUMMYFUNCTION("googlefinance(E19,""price"")"),57.61)</f>
        <v>57.61</v>
      </c>
      <c r="M19" s="24"/>
      <c r="N19" s="24">
        <f t="shared" si="2"/>
        <v>17.94</v>
      </c>
      <c r="O19" s="25">
        <f t="shared" si="11"/>
        <v>0.452230905</v>
      </c>
      <c r="P19" s="19">
        <f t="shared" si="3"/>
        <v>53820</v>
      </c>
      <c r="Q19" s="14"/>
      <c r="R19" s="19"/>
      <c r="S19" s="37"/>
      <c r="T19" s="27"/>
      <c r="U19" s="40"/>
      <c r="V19" s="15"/>
      <c r="W19" s="36"/>
      <c r="X19" s="288"/>
      <c r="Y19" s="27"/>
      <c r="Z19" s="15"/>
      <c r="AA19" s="36"/>
      <c r="AB19" s="37"/>
      <c r="AC19" s="27"/>
    </row>
    <row r="20">
      <c r="A20" s="38"/>
      <c r="B20" s="32"/>
      <c r="C20" s="14">
        <f>I20/E116</f>
        <v>0.01932037118</v>
      </c>
      <c r="D20" s="104" t="s">
        <v>333</v>
      </c>
      <c r="E20" s="278" t="s">
        <v>334</v>
      </c>
      <c r="F20" s="279">
        <v>8.0</v>
      </c>
      <c r="G20" s="18">
        <v>3000.0</v>
      </c>
      <c r="H20" s="19">
        <f t="shared" si="1"/>
        <v>162480</v>
      </c>
      <c r="I20" s="20">
        <f t="shared" si="10"/>
        <v>329130</v>
      </c>
      <c r="J20" s="21">
        <v>54.16</v>
      </c>
      <c r="K20" s="22">
        <f>IFERROR(__xludf.DUMMYFUNCTION("GOOGLEFINANCE(E20,""changepct"")"),-1.76)</f>
        <v>-1.76</v>
      </c>
      <c r="L20" s="23">
        <f>IFERROR(__xludf.DUMMYFUNCTION("googlefinance(E20,""price"")"),109.71)</f>
        <v>109.71</v>
      </c>
      <c r="M20" s="24"/>
      <c r="N20" s="24">
        <f t="shared" si="2"/>
        <v>55.55</v>
      </c>
      <c r="O20" s="25">
        <f t="shared" si="11"/>
        <v>1.025664697</v>
      </c>
      <c r="P20" s="19">
        <f t="shared" si="3"/>
        <v>166650</v>
      </c>
      <c r="Q20" s="14"/>
      <c r="R20" s="19"/>
      <c r="S20" s="37"/>
      <c r="T20" s="27"/>
      <c r="U20" s="27"/>
      <c r="V20" s="15"/>
      <c r="W20" s="36"/>
      <c r="X20" s="37"/>
      <c r="Y20" s="27"/>
      <c r="Z20" s="15"/>
      <c r="AA20" s="36"/>
      <c r="AB20" s="37"/>
      <c r="AC20" s="27"/>
    </row>
    <row r="21">
      <c r="A21" s="38"/>
      <c r="B21" s="32"/>
      <c r="C21" s="14">
        <f>I21/E116</f>
        <v>0.009627019333</v>
      </c>
      <c r="D21" s="42" t="s">
        <v>288</v>
      </c>
      <c r="E21" s="42" t="s">
        <v>289</v>
      </c>
      <c r="F21" s="44">
        <v>8.1</v>
      </c>
      <c r="G21" s="18">
        <v>5000.0</v>
      </c>
      <c r="H21" s="19">
        <f t="shared" si="1"/>
        <v>171200</v>
      </c>
      <c r="I21" s="20">
        <f t="shared" si="10"/>
        <v>164000</v>
      </c>
      <c r="J21" s="21">
        <v>34.24</v>
      </c>
      <c r="K21" s="22">
        <f>IFERROR(__xludf.DUMMYFUNCTION("GOOGLEFINANCE(E21,""changepct"")"),-1.12)</f>
        <v>-1.12</v>
      </c>
      <c r="L21" s="23">
        <f>IFERROR(__xludf.DUMMYFUNCTION("googlefinance(E21,""price"")"),32.8)</f>
        <v>32.8</v>
      </c>
      <c r="M21" s="24"/>
      <c r="N21" s="24">
        <f t="shared" si="2"/>
        <v>-1.44</v>
      </c>
      <c r="O21" s="25">
        <f t="shared" si="11"/>
        <v>-0.04205607477</v>
      </c>
      <c r="P21" s="19">
        <f t="shared" si="3"/>
        <v>-7200</v>
      </c>
      <c r="Q21" s="14"/>
      <c r="R21" s="19"/>
      <c r="S21" s="37"/>
      <c r="T21" s="27"/>
      <c r="U21" s="29"/>
      <c r="V21" s="16"/>
      <c r="W21" s="30"/>
      <c r="X21" s="31"/>
      <c r="Y21" s="29"/>
      <c r="Z21" s="15" t="s">
        <v>289</v>
      </c>
      <c r="AA21" s="36">
        <v>45280.0</v>
      </c>
      <c r="AB21" s="37">
        <v>34.24</v>
      </c>
      <c r="AC21" s="27">
        <v>171200.0</v>
      </c>
    </row>
    <row r="22">
      <c r="A22" s="38"/>
      <c r="B22" s="32"/>
      <c r="C22" s="14">
        <f>I22/E116</f>
        <v>0.01925403867</v>
      </c>
      <c r="D22" s="42" t="s">
        <v>288</v>
      </c>
      <c r="E22" s="42" t="s">
        <v>289</v>
      </c>
      <c r="F22" s="44">
        <v>8.1</v>
      </c>
      <c r="G22" s="18">
        <v>10000.0</v>
      </c>
      <c r="H22" s="19">
        <f t="shared" si="1"/>
        <v>391700</v>
      </c>
      <c r="I22" s="20">
        <f t="shared" si="10"/>
        <v>328000</v>
      </c>
      <c r="J22" s="21">
        <v>39.17</v>
      </c>
      <c r="K22" s="22">
        <f>IFERROR(__xludf.DUMMYFUNCTION("GOOGLEFINANCE(E22,""changepct"")"),-1.12)</f>
        <v>-1.12</v>
      </c>
      <c r="L22" s="23">
        <f>IFERROR(__xludf.DUMMYFUNCTION("googlefinance(E22,""price"")"),32.8)</f>
        <v>32.8</v>
      </c>
      <c r="M22" s="24"/>
      <c r="N22" s="24">
        <f t="shared" si="2"/>
        <v>-6.37</v>
      </c>
      <c r="O22" s="25">
        <f t="shared" si="11"/>
        <v>-0.1626244575</v>
      </c>
      <c r="P22" s="19">
        <f t="shared" si="3"/>
        <v>-63700</v>
      </c>
      <c r="Q22" s="14"/>
      <c r="R22" s="19"/>
      <c r="S22" s="37"/>
      <c r="T22" s="27"/>
      <c r="U22" s="29"/>
      <c r="V22" s="16"/>
      <c r="W22" s="30"/>
      <c r="X22" s="31"/>
      <c r="Y22" s="29"/>
      <c r="Z22" s="15"/>
      <c r="AA22" s="36"/>
      <c r="AB22" s="37"/>
      <c r="AC22" s="27"/>
    </row>
    <row r="23">
      <c r="A23" s="38"/>
      <c r="B23" s="32"/>
      <c r="C23" s="14">
        <f>I23/E116</f>
        <v>0</v>
      </c>
      <c r="D23" s="42" t="s">
        <v>290</v>
      </c>
      <c r="E23" s="42" t="s">
        <v>291</v>
      </c>
      <c r="F23" s="44">
        <v>7.7</v>
      </c>
      <c r="G23" s="18">
        <v>1000.0</v>
      </c>
      <c r="H23" s="19">
        <f t="shared" si="1"/>
        <v>274220</v>
      </c>
      <c r="I23" s="20">
        <v>0.0</v>
      </c>
      <c r="J23" s="21">
        <v>274.22</v>
      </c>
      <c r="K23" s="22">
        <f>IFERROR(__xludf.DUMMYFUNCTION("GOOGLEFINANCE(E23,""changepct"")"),-4.07)</f>
        <v>-4.07</v>
      </c>
      <c r="L23" s="23">
        <f>IFERROR(__xludf.DUMMYFUNCTION("googlefinance(E23,""price"")"),30.68)</f>
        <v>30.68</v>
      </c>
      <c r="M23" s="21">
        <v>260.88</v>
      </c>
      <c r="N23" s="24">
        <f t="shared" si="2"/>
        <v>-243.54</v>
      </c>
      <c r="O23" s="25">
        <f>M23/J23-1</f>
        <v>-0.04864707169</v>
      </c>
      <c r="P23" s="19">
        <f t="shared" si="3"/>
        <v>-13340</v>
      </c>
      <c r="Q23" s="47"/>
      <c r="R23" s="20"/>
      <c r="S23" s="37"/>
      <c r="T23" s="27"/>
      <c r="U23" s="40"/>
      <c r="V23" s="15" t="s">
        <v>291</v>
      </c>
      <c r="W23" s="36">
        <v>45261.0</v>
      </c>
      <c r="X23" s="37">
        <v>260.88</v>
      </c>
      <c r="Y23" s="27">
        <v>260880.0</v>
      </c>
      <c r="Z23" s="15"/>
      <c r="AA23" s="36"/>
      <c r="AB23" s="37"/>
      <c r="AC23" s="27"/>
    </row>
    <row r="24">
      <c r="A24" s="38"/>
      <c r="B24" s="32"/>
      <c r="C24" s="14">
        <f>I24/E116</f>
        <v>0.001800957031</v>
      </c>
      <c r="D24" s="42" t="s">
        <v>290</v>
      </c>
      <c r="E24" s="42" t="s">
        <v>291</v>
      </c>
      <c r="F24" s="44">
        <v>7.7</v>
      </c>
      <c r="G24" s="18">
        <v>1000.0</v>
      </c>
      <c r="H24" s="19">
        <f t="shared" si="1"/>
        <v>274220</v>
      </c>
      <c r="I24" s="20">
        <f>H24+P24</f>
        <v>30680</v>
      </c>
      <c r="J24" s="21">
        <v>274.22</v>
      </c>
      <c r="K24" s="22">
        <f>IFERROR(__xludf.DUMMYFUNCTION("GOOGLEFINANCE(E24,""changepct"")"),-4.07)</f>
        <v>-4.07</v>
      </c>
      <c r="L24" s="23">
        <f>IFERROR(__xludf.DUMMYFUNCTION("googlefinance(E24,""price"")"),30.68)</f>
        <v>30.68</v>
      </c>
      <c r="M24" s="21"/>
      <c r="N24" s="24">
        <f t="shared" si="2"/>
        <v>-243.54</v>
      </c>
      <c r="O24" s="25">
        <f>L24/J24-1</f>
        <v>-0.8881190285</v>
      </c>
      <c r="P24" s="19">
        <f t="shared" si="3"/>
        <v>-243540</v>
      </c>
      <c r="Q24" s="47"/>
      <c r="R24" s="20"/>
      <c r="S24" s="37"/>
      <c r="T24" s="27">
        <v>12150.0</v>
      </c>
      <c r="U24" s="40"/>
      <c r="V24" s="15"/>
      <c r="W24" s="36"/>
      <c r="X24" s="37"/>
      <c r="Y24" s="29"/>
      <c r="Z24" s="15"/>
      <c r="AA24" s="36"/>
      <c r="AB24" s="37"/>
      <c r="AC24" s="27"/>
    </row>
    <row r="25">
      <c r="A25" s="38"/>
      <c r="B25" s="32"/>
      <c r="C25" s="14">
        <f>I25/E116</f>
        <v>0</v>
      </c>
      <c r="D25" s="42" t="s">
        <v>335</v>
      </c>
      <c r="E25" s="42" t="s">
        <v>336</v>
      </c>
      <c r="F25" s="44">
        <v>7.5</v>
      </c>
      <c r="G25" s="18">
        <v>1000.0</v>
      </c>
      <c r="H25" s="19">
        <f t="shared" si="1"/>
        <v>43950</v>
      </c>
      <c r="I25" s="20">
        <v>0.0</v>
      </c>
      <c r="J25" s="21">
        <v>43.95</v>
      </c>
      <c r="K25" s="22">
        <f>IFERROR(__xludf.DUMMYFUNCTION("GOOGLEFINANCE(E25,""changepct"")"),-1.14)</f>
        <v>-1.14</v>
      </c>
      <c r="L25" s="23">
        <f>IFERROR(__xludf.DUMMYFUNCTION("googlefinance(E25,""price"")"),107.48)</f>
        <v>107.48</v>
      </c>
      <c r="M25" s="21">
        <v>37.87</v>
      </c>
      <c r="N25" s="24">
        <f t="shared" si="2"/>
        <v>63.53</v>
      </c>
      <c r="O25" s="25">
        <f>M25/J25-1</f>
        <v>-0.1383390216</v>
      </c>
      <c r="P25" s="19">
        <f t="shared" si="3"/>
        <v>-6080</v>
      </c>
      <c r="Q25" s="47"/>
      <c r="R25" s="20"/>
      <c r="S25" s="37"/>
      <c r="T25" s="27"/>
      <c r="U25" s="40"/>
      <c r="V25" s="15" t="s">
        <v>336</v>
      </c>
      <c r="W25" s="36">
        <v>45281.0</v>
      </c>
      <c r="X25" s="37">
        <v>37.87</v>
      </c>
      <c r="Y25" s="27">
        <v>37870.0</v>
      </c>
      <c r="Z25" s="15"/>
      <c r="AA25" s="36"/>
      <c r="AB25" s="37"/>
      <c r="AC25" s="27"/>
    </row>
    <row r="26">
      <c r="A26" s="38"/>
      <c r="B26" s="32"/>
      <c r="C26" s="14">
        <f>I26/E116</f>
        <v>0.04416453821</v>
      </c>
      <c r="D26" s="42" t="s">
        <v>335</v>
      </c>
      <c r="E26" s="42" t="s">
        <v>336</v>
      </c>
      <c r="F26" s="44">
        <v>7.5</v>
      </c>
      <c r="G26" s="18">
        <v>7000.0</v>
      </c>
      <c r="H26" s="19">
        <f t="shared" si="1"/>
        <v>307650</v>
      </c>
      <c r="I26" s="20">
        <f>H26+P26</f>
        <v>752360</v>
      </c>
      <c r="J26" s="21">
        <v>43.95</v>
      </c>
      <c r="K26" s="22">
        <f>IFERROR(__xludf.DUMMYFUNCTION("GOOGLEFINANCE(E26,""changepct"")"),-1.14)</f>
        <v>-1.14</v>
      </c>
      <c r="L26" s="23">
        <f>IFERROR(__xludf.DUMMYFUNCTION("googlefinance(E26,""price"")"),107.48)</f>
        <v>107.48</v>
      </c>
      <c r="M26" s="21"/>
      <c r="N26" s="24">
        <f t="shared" si="2"/>
        <v>63.53</v>
      </c>
      <c r="O26" s="25">
        <f>L26/J26-1</f>
        <v>1.445506257</v>
      </c>
      <c r="P26" s="19">
        <f t="shared" si="3"/>
        <v>444710</v>
      </c>
      <c r="Q26" s="47"/>
      <c r="R26" s="20"/>
      <c r="S26" s="37"/>
      <c r="T26" s="27">
        <v>19720.0</v>
      </c>
      <c r="U26" s="40"/>
      <c r="V26" s="15"/>
      <c r="W26" s="36"/>
      <c r="X26" s="37"/>
      <c r="Y26" s="27"/>
      <c r="Z26" s="15"/>
      <c r="AA26" s="36"/>
      <c r="AB26" s="37"/>
      <c r="AC26" s="27"/>
    </row>
    <row r="27">
      <c r="A27" s="38"/>
      <c r="B27" s="32"/>
      <c r="C27" s="14">
        <f>I27/E116</f>
        <v>0</v>
      </c>
      <c r="D27" s="42" t="s">
        <v>442</v>
      </c>
      <c r="E27" s="42" t="s">
        <v>443</v>
      </c>
      <c r="F27" s="44">
        <v>7.4</v>
      </c>
      <c r="G27" s="18">
        <v>10000.0</v>
      </c>
      <c r="H27" s="19">
        <f t="shared" si="1"/>
        <v>108600</v>
      </c>
      <c r="I27" s="20">
        <v>0.0</v>
      </c>
      <c r="J27" s="21">
        <v>10.86</v>
      </c>
      <c r="K27" s="22">
        <f>IFERROR(__xludf.DUMMYFUNCTION("GOOGLEFINANCE(E27,""changepct"")"),-0.94)</f>
        <v>-0.94</v>
      </c>
      <c r="L27" s="23">
        <f>IFERROR(__xludf.DUMMYFUNCTION("googlefinance(E27,""price"")"),10.51)</f>
        <v>10.51</v>
      </c>
      <c r="M27" s="21">
        <v>9.45</v>
      </c>
      <c r="N27" s="24">
        <f t="shared" si="2"/>
        <v>-0.35</v>
      </c>
      <c r="O27" s="25">
        <f>M27/J27-1</f>
        <v>-0.1298342541</v>
      </c>
      <c r="P27" s="19">
        <f t="shared" si="3"/>
        <v>-14100</v>
      </c>
      <c r="Q27" s="47"/>
      <c r="R27" s="20"/>
      <c r="S27" s="31"/>
      <c r="T27" s="29"/>
      <c r="U27" s="29"/>
      <c r="V27" s="15" t="s">
        <v>443</v>
      </c>
      <c r="W27" s="36">
        <v>45239.0</v>
      </c>
      <c r="X27" s="37">
        <v>9.45</v>
      </c>
      <c r="Y27" s="27">
        <v>94500.0</v>
      </c>
      <c r="Z27" s="15"/>
      <c r="AA27" s="36"/>
      <c r="AB27" s="37"/>
      <c r="AC27" s="27"/>
    </row>
    <row r="28">
      <c r="A28" s="38"/>
      <c r="B28" s="32"/>
      <c r="C28" s="14">
        <f>I28/E116</f>
        <v>0.004035423439</v>
      </c>
      <c r="D28" s="42" t="s">
        <v>52</v>
      </c>
      <c r="E28" s="42" t="s">
        <v>53</v>
      </c>
      <c r="F28" s="44">
        <v>8.2</v>
      </c>
      <c r="G28" s="18">
        <v>500.0</v>
      </c>
      <c r="H28" s="19">
        <f t="shared" si="1"/>
        <v>235010</v>
      </c>
      <c r="I28" s="20">
        <f t="shared" ref="I28:I31" si="12">H28+P28</f>
        <v>68745</v>
      </c>
      <c r="J28" s="21">
        <v>470.02</v>
      </c>
      <c r="K28" s="22">
        <f>IFERROR(__xludf.DUMMYFUNCTION("GOOGLEFINANCE(E28,""changepct"")"),0.35)</f>
        <v>0.35</v>
      </c>
      <c r="L28" s="23">
        <f>IFERROR(__xludf.DUMMYFUNCTION("googlefinance(E28,""price"")"),137.49)</f>
        <v>137.49</v>
      </c>
      <c r="M28" s="21"/>
      <c r="N28" s="24">
        <f t="shared" si="2"/>
        <v>-332.53</v>
      </c>
      <c r="O28" s="25">
        <f t="shared" ref="O28:O31" si="13">L28/J28-1</f>
        <v>-0.7074805327</v>
      </c>
      <c r="P28" s="19">
        <f t="shared" si="3"/>
        <v>-166265</v>
      </c>
      <c r="Q28" s="47"/>
      <c r="R28" s="20"/>
      <c r="S28" s="37"/>
      <c r="T28" s="27"/>
      <c r="U28" s="29"/>
      <c r="V28" s="15"/>
      <c r="W28" s="36"/>
      <c r="X28" s="37"/>
      <c r="Y28" s="27"/>
      <c r="Z28" s="15" t="s">
        <v>53</v>
      </c>
      <c r="AA28" s="36">
        <v>45261.0</v>
      </c>
      <c r="AB28" s="37">
        <v>470.02</v>
      </c>
      <c r="AC28" s="27">
        <v>235010.0</v>
      </c>
    </row>
    <row r="29">
      <c r="A29" s="38"/>
      <c r="B29" s="32"/>
      <c r="C29" s="14">
        <f>I29/E116</f>
        <v>0.002421254064</v>
      </c>
      <c r="D29" s="42" t="s">
        <v>52</v>
      </c>
      <c r="E29" s="42" t="s">
        <v>53</v>
      </c>
      <c r="F29" s="44">
        <v>8.2</v>
      </c>
      <c r="G29" s="18">
        <v>300.0</v>
      </c>
      <c r="H29" s="19">
        <f t="shared" si="1"/>
        <v>120036</v>
      </c>
      <c r="I29" s="20">
        <f t="shared" si="12"/>
        <v>41247</v>
      </c>
      <c r="J29" s="21">
        <v>400.12</v>
      </c>
      <c r="K29" s="22">
        <f>IFERROR(__xludf.DUMMYFUNCTION("GOOGLEFINANCE(E29,""changepct"")"),0.35)</f>
        <v>0.35</v>
      </c>
      <c r="L29" s="23">
        <f>IFERROR(__xludf.DUMMYFUNCTION("googlefinance(E29,""price"")"),137.49)</f>
        <v>137.49</v>
      </c>
      <c r="M29" s="21"/>
      <c r="N29" s="24">
        <f t="shared" si="2"/>
        <v>-262.63</v>
      </c>
      <c r="O29" s="25">
        <f t="shared" si="13"/>
        <v>-0.6563780866</v>
      </c>
      <c r="P29" s="19">
        <f t="shared" si="3"/>
        <v>-78789</v>
      </c>
      <c r="Q29" s="47"/>
      <c r="R29" s="20"/>
      <c r="S29" s="37"/>
      <c r="T29" s="27">
        <v>570.0</v>
      </c>
      <c r="U29" s="29"/>
      <c r="V29" s="15"/>
      <c r="W29" s="36"/>
      <c r="X29" s="37"/>
      <c r="Y29" s="27"/>
      <c r="Z29" s="15" t="s">
        <v>53</v>
      </c>
      <c r="AA29" s="36">
        <v>45225.0</v>
      </c>
      <c r="AB29" s="37">
        <v>400.12</v>
      </c>
      <c r="AC29" s="27">
        <v>120036.0</v>
      </c>
    </row>
    <row r="30">
      <c r="A30" s="38"/>
      <c r="B30" s="32"/>
      <c r="C30" s="14">
        <f>I30/E116</f>
        <v>0.003228338752</v>
      </c>
      <c r="D30" s="42" t="s">
        <v>50</v>
      </c>
      <c r="E30" s="42" t="s">
        <v>51</v>
      </c>
      <c r="F30" s="44">
        <v>8.2</v>
      </c>
      <c r="G30" s="18">
        <v>400.0</v>
      </c>
      <c r="H30" s="19">
        <f t="shared" si="1"/>
        <v>174308</v>
      </c>
      <c r="I30" s="20">
        <f t="shared" si="12"/>
        <v>54996</v>
      </c>
      <c r="J30" s="21">
        <v>435.77</v>
      </c>
      <c r="K30" s="22">
        <f>IFERROR(__xludf.DUMMYFUNCTION("GOOGLEFINANCE(E30,""changepct"")"),0.35)</f>
        <v>0.35</v>
      </c>
      <c r="L30" s="23">
        <f>IFERROR(__xludf.DUMMYFUNCTION("googlefinance(E30,""price"")"),137.49)</f>
        <v>137.49</v>
      </c>
      <c r="M30" s="21"/>
      <c r="N30" s="24">
        <f t="shared" si="2"/>
        <v>-298.28</v>
      </c>
      <c r="O30" s="25">
        <f t="shared" si="13"/>
        <v>-0.6844895243</v>
      </c>
      <c r="P30" s="19">
        <f t="shared" si="3"/>
        <v>-119312</v>
      </c>
      <c r="Q30" s="47"/>
      <c r="R30" s="20"/>
      <c r="S30" s="31"/>
      <c r="T30" s="29"/>
      <c r="U30" s="29"/>
      <c r="V30" s="15"/>
      <c r="W30" s="36"/>
      <c r="X30" s="37"/>
      <c r="Y30" s="27"/>
      <c r="Z30" s="15" t="s">
        <v>53</v>
      </c>
      <c r="AA30" s="36">
        <v>45203.0</v>
      </c>
      <c r="AB30" s="37">
        <v>435.77</v>
      </c>
      <c r="AC30" s="27">
        <v>174308.0</v>
      </c>
    </row>
    <row r="31">
      <c r="A31" s="38"/>
      <c r="B31" s="32"/>
      <c r="C31" s="14">
        <f>I31/E116</f>
        <v>0.002421254064</v>
      </c>
      <c r="D31" s="42" t="s">
        <v>52</v>
      </c>
      <c r="E31" s="42" t="s">
        <v>53</v>
      </c>
      <c r="F31" s="44">
        <v>8.2</v>
      </c>
      <c r="G31" s="18">
        <v>300.0</v>
      </c>
      <c r="H31" s="19">
        <f t="shared" si="1"/>
        <v>130497</v>
      </c>
      <c r="I31" s="20">
        <f t="shared" si="12"/>
        <v>41247</v>
      </c>
      <c r="J31" s="21">
        <v>434.99</v>
      </c>
      <c r="K31" s="22">
        <f>IFERROR(__xludf.DUMMYFUNCTION("GOOGLEFINANCE(E31,""changepct"")"),0.35)</f>
        <v>0.35</v>
      </c>
      <c r="L31" s="23">
        <f>IFERROR(__xludf.DUMMYFUNCTION("googlefinance(E31,""price"")"),137.49)</f>
        <v>137.49</v>
      </c>
      <c r="M31" s="21"/>
      <c r="N31" s="24">
        <f t="shared" si="2"/>
        <v>-297.5</v>
      </c>
      <c r="O31" s="25">
        <f t="shared" si="13"/>
        <v>-0.6839237684</v>
      </c>
      <c r="P31" s="19">
        <f t="shared" si="3"/>
        <v>-89250</v>
      </c>
      <c r="Q31" s="47"/>
      <c r="R31" s="20"/>
      <c r="S31" s="31"/>
      <c r="T31" s="29"/>
      <c r="U31" s="29"/>
      <c r="V31" s="15"/>
      <c r="W31" s="36"/>
      <c r="X31" s="37"/>
      <c r="Y31" s="27"/>
      <c r="Z31" s="15"/>
      <c r="AA31" s="36"/>
      <c r="AB31" s="37"/>
      <c r="AC31" s="27"/>
    </row>
    <row r="32">
      <c r="A32" s="38"/>
      <c r="B32" s="32"/>
      <c r="C32" s="14">
        <f>I32/E116</f>
        <v>0</v>
      </c>
      <c r="D32" s="42" t="s">
        <v>384</v>
      </c>
      <c r="E32" s="42" t="s">
        <v>385</v>
      </c>
      <c r="F32" s="44">
        <v>8.0</v>
      </c>
      <c r="G32" s="18">
        <v>1000.0</v>
      </c>
      <c r="H32" s="19">
        <f t="shared" si="1"/>
        <v>56770</v>
      </c>
      <c r="I32" s="20">
        <v>0.0</v>
      </c>
      <c r="J32" s="21">
        <v>56.77</v>
      </c>
      <c r="K32" s="22">
        <f>IFERROR(__xludf.DUMMYFUNCTION("GOOGLEFINANCE(E32,""changepct"")"),-0.61)</f>
        <v>-0.61</v>
      </c>
      <c r="L32" s="23">
        <f>IFERROR(__xludf.DUMMYFUNCTION("googlefinance(E32,""price"")"),108.62)</f>
        <v>108.62</v>
      </c>
      <c r="M32" s="21">
        <v>77.43</v>
      </c>
      <c r="N32" s="24">
        <f t="shared" si="2"/>
        <v>51.85</v>
      </c>
      <c r="O32" s="25">
        <f>M32/J32-1</f>
        <v>0.3639246081</v>
      </c>
      <c r="P32" s="19">
        <f t="shared" si="3"/>
        <v>20660</v>
      </c>
      <c r="Q32" s="47"/>
      <c r="R32" s="20"/>
      <c r="S32" s="37"/>
      <c r="T32" s="27"/>
      <c r="U32" s="29"/>
      <c r="V32" s="15" t="s">
        <v>385</v>
      </c>
      <c r="W32" s="36">
        <v>45280.0</v>
      </c>
      <c r="X32" s="37">
        <v>77.43</v>
      </c>
      <c r="Y32" s="27">
        <v>77430.0</v>
      </c>
      <c r="Z32" s="15" t="s">
        <v>385</v>
      </c>
      <c r="AA32" s="36">
        <v>45239.0</v>
      </c>
      <c r="AB32" s="37">
        <v>56.77</v>
      </c>
      <c r="AC32" s="27">
        <v>56770.0</v>
      </c>
    </row>
    <row r="33">
      <c r="A33" s="38"/>
      <c r="B33" s="32"/>
      <c r="C33" s="14">
        <f>I33/E116</f>
        <v>0.01275227854</v>
      </c>
      <c r="D33" s="42" t="s">
        <v>384</v>
      </c>
      <c r="E33" s="42" t="s">
        <v>385</v>
      </c>
      <c r="F33" s="44">
        <v>8.0</v>
      </c>
      <c r="G33" s="18">
        <v>2000.0</v>
      </c>
      <c r="H33" s="19">
        <f t="shared" si="1"/>
        <v>114140</v>
      </c>
      <c r="I33" s="20">
        <f t="shared" ref="I33:I34" si="14">H33+P33</f>
        <v>217240</v>
      </c>
      <c r="J33" s="21">
        <v>57.07</v>
      </c>
      <c r="K33" s="22">
        <f>IFERROR(__xludf.DUMMYFUNCTION("GOOGLEFINANCE(E33,""changepct"")"),-0.61)</f>
        <v>-0.61</v>
      </c>
      <c r="L33" s="23">
        <f>IFERROR(__xludf.DUMMYFUNCTION("googlefinance(E33,""price"")"),108.62)</f>
        <v>108.62</v>
      </c>
      <c r="M33" s="21">
        <v>80.0</v>
      </c>
      <c r="N33" s="24">
        <f t="shared" si="2"/>
        <v>51.55</v>
      </c>
      <c r="O33" s="25">
        <f t="shared" ref="O33:O34" si="15">L33/J33-1</f>
        <v>0.9032766778</v>
      </c>
      <c r="P33" s="19">
        <f t="shared" si="3"/>
        <v>103100</v>
      </c>
      <c r="Q33" s="47"/>
      <c r="R33" s="20"/>
      <c r="S33" s="37" t="s">
        <v>444</v>
      </c>
      <c r="T33" s="27">
        <v>15220.0</v>
      </c>
      <c r="U33" s="29"/>
      <c r="V33" s="15"/>
      <c r="W33" s="36"/>
      <c r="X33" s="37"/>
      <c r="Y33" s="27"/>
      <c r="Z33" s="15" t="s">
        <v>385</v>
      </c>
      <c r="AA33" s="36">
        <v>45205.0</v>
      </c>
      <c r="AB33" s="37">
        <v>57.07</v>
      </c>
      <c r="AC33" s="27">
        <v>114140.0</v>
      </c>
    </row>
    <row r="34">
      <c r="A34" s="38"/>
      <c r="B34" s="32"/>
      <c r="C34" s="14">
        <f>I34/E116</f>
        <v>0.02550455707</v>
      </c>
      <c r="D34" s="42" t="s">
        <v>384</v>
      </c>
      <c r="E34" s="42" t="s">
        <v>385</v>
      </c>
      <c r="F34" s="44">
        <v>8.0</v>
      </c>
      <c r="G34" s="18">
        <v>4000.0</v>
      </c>
      <c r="H34" s="19">
        <f t="shared" si="1"/>
        <v>234120</v>
      </c>
      <c r="I34" s="20">
        <f t="shared" si="14"/>
        <v>434480</v>
      </c>
      <c r="J34" s="21">
        <v>58.53</v>
      </c>
      <c r="K34" s="22">
        <f>IFERROR(__xludf.DUMMYFUNCTION("GOOGLEFINANCE(E34,""changepct"")"),-0.61)</f>
        <v>-0.61</v>
      </c>
      <c r="L34" s="23">
        <f>IFERROR(__xludf.DUMMYFUNCTION("googlefinance(E34,""price"")"),108.62)</f>
        <v>108.62</v>
      </c>
      <c r="M34" s="21"/>
      <c r="N34" s="24">
        <f t="shared" si="2"/>
        <v>50.09</v>
      </c>
      <c r="O34" s="25">
        <f t="shared" si="15"/>
        <v>0.8558004442</v>
      </c>
      <c r="P34" s="19">
        <f t="shared" si="3"/>
        <v>200360</v>
      </c>
      <c r="Q34" s="47"/>
      <c r="R34" s="20"/>
      <c r="S34" s="31"/>
      <c r="T34" s="29"/>
      <c r="U34" s="29"/>
      <c r="V34" s="15"/>
      <c r="W34" s="36"/>
      <c r="X34" s="37"/>
      <c r="Y34" s="27"/>
      <c r="Z34" s="15"/>
      <c r="AA34" s="36"/>
      <c r="AB34" s="37"/>
      <c r="AC34" s="27"/>
    </row>
    <row r="35">
      <c r="A35" s="48"/>
      <c r="B35" s="6"/>
      <c r="C35" s="6" t="s">
        <v>89</v>
      </c>
      <c r="D35" s="6"/>
      <c r="E35" s="6"/>
      <c r="F35" s="6"/>
      <c r="G35" s="11"/>
      <c r="H35" s="49">
        <f>SUM(H3:H34)</f>
        <v>8425201</v>
      </c>
      <c r="I35" s="263">
        <v>7873925.0</v>
      </c>
      <c r="J35" s="8"/>
      <c r="K35" s="8"/>
      <c r="L35" s="8"/>
      <c r="M35" s="10"/>
      <c r="N35" s="10"/>
      <c r="O35" s="51">
        <f>(P35+T35+U35+R35)/I35</f>
        <v>0.1652160771</v>
      </c>
      <c r="P35" s="263">
        <v>1183524.0</v>
      </c>
      <c r="Q35" s="52"/>
      <c r="R35" s="49">
        <f>SUM(R3:R34)</f>
        <v>0</v>
      </c>
      <c r="S35" s="10"/>
      <c r="T35" s="11">
        <f t="shared" ref="T35:U35" si="16">SUM(T3:T34)</f>
        <v>117375</v>
      </c>
      <c r="U35" s="11">
        <f t="shared" si="16"/>
        <v>0</v>
      </c>
      <c r="V35" s="6" t="s">
        <v>89</v>
      </c>
      <c r="W35" s="53"/>
      <c r="X35" s="54"/>
      <c r="Y35" s="49">
        <f>SUM(Y3:Y34)</f>
        <v>1726310</v>
      </c>
      <c r="Z35" s="6" t="s">
        <v>89</v>
      </c>
      <c r="AA35" s="53"/>
      <c r="AB35" s="54"/>
      <c r="AC35" s="49">
        <f>SUM(AC3:AC34)</f>
        <v>871464</v>
      </c>
    </row>
    <row r="36">
      <c r="A36" s="55"/>
      <c r="B36" s="6" t="s">
        <v>342</v>
      </c>
      <c r="C36" s="6" t="s">
        <v>2</v>
      </c>
      <c r="D36" s="5" t="s">
        <v>3</v>
      </c>
      <c r="E36" s="6" t="s">
        <v>4</v>
      </c>
      <c r="F36" s="6" t="s">
        <v>5</v>
      </c>
      <c r="G36" s="280" t="s">
        <v>6</v>
      </c>
      <c r="H36" s="6" t="s">
        <v>7</v>
      </c>
      <c r="I36" s="308" t="s">
        <v>436</v>
      </c>
      <c r="J36" s="7" t="s">
        <v>9</v>
      </c>
      <c r="K36" s="8" t="s">
        <v>10</v>
      </c>
      <c r="L36" s="8" t="s">
        <v>11</v>
      </c>
      <c r="M36" s="9" t="s">
        <v>12</v>
      </c>
      <c r="N36" s="10" t="s">
        <v>13</v>
      </c>
      <c r="O36" s="6" t="s">
        <v>14</v>
      </c>
      <c r="P36" s="10" t="s">
        <v>15</v>
      </c>
      <c r="Q36" s="71" t="s">
        <v>16</v>
      </c>
      <c r="R36" s="11" t="s">
        <v>17</v>
      </c>
      <c r="S36" s="9" t="s">
        <v>18</v>
      </c>
      <c r="T36" s="5" t="s">
        <v>19</v>
      </c>
      <c r="U36" s="5" t="s">
        <v>91</v>
      </c>
      <c r="V36" s="6" t="s">
        <v>21</v>
      </c>
      <c r="W36" s="281" t="s">
        <v>22</v>
      </c>
      <c r="X36" s="12" t="s">
        <v>23</v>
      </c>
      <c r="Y36" s="12" t="s">
        <v>24</v>
      </c>
      <c r="Z36" s="6" t="s">
        <v>25</v>
      </c>
      <c r="AA36" s="6" t="s">
        <v>26</v>
      </c>
      <c r="AB36" s="12" t="s">
        <v>27</v>
      </c>
      <c r="AC36" s="11" t="s">
        <v>28</v>
      </c>
    </row>
    <row r="37">
      <c r="A37" s="56" t="s">
        <v>29</v>
      </c>
      <c r="B37" s="57">
        <f>I44/E116</f>
        <v>0.05582291732</v>
      </c>
      <c r="C37" s="14">
        <f>I37/E116</f>
        <v>0</v>
      </c>
      <c r="D37" s="15" t="s">
        <v>445</v>
      </c>
      <c r="E37" s="16" t="s">
        <v>347</v>
      </c>
      <c r="F37" s="17">
        <v>7.5</v>
      </c>
      <c r="G37" s="18">
        <v>2000.0</v>
      </c>
      <c r="H37" s="19">
        <f t="shared" ref="H37:H43" si="17">G37*J37</f>
        <v>173480</v>
      </c>
      <c r="I37" s="20">
        <v>0.0</v>
      </c>
      <c r="J37" s="21">
        <v>86.74</v>
      </c>
      <c r="K37" s="22">
        <f>IFERROR(__xludf.DUMMYFUNCTION("GOOGLEFINANCE(E37,""changepct"")"),-1.09)</f>
        <v>-1.09</v>
      </c>
      <c r="L37" s="23">
        <f>IFERROR(__xludf.DUMMYFUNCTION("googlefinance(E37,""price"")"),84.13)</f>
        <v>84.13</v>
      </c>
      <c r="M37" s="21">
        <v>83.78</v>
      </c>
      <c r="N37" s="24">
        <f t="shared" ref="N37:N43" si="18">L37-J37</f>
        <v>-2.61</v>
      </c>
      <c r="O37" s="25">
        <f t="shared" ref="O37:O38" si="19">M37/J37-1</f>
        <v>-0.03412497118</v>
      </c>
      <c r="P37" s="19">
        <f t="shared" ref="P37:P43" si="20">H37*O37</f>
        <v>-5920</v>
      </c>
      <c r="Q37" s="34"/>
      <c r="R37" s="29"/>
      <c r="S37" s="35"/>
      <c r="T37" s="27">
        <v>-1300.0</v>
      </c>
      <c r="U37" s="15"/>
      <c r="V37" s="15" t="s">
        <v>347</v>
      </c>
      <c r="W37" s="36">
        <v>45203.0</v>
      </c>
      <c r="X37" s="37">
        <v>83.78</v>
      </c>
      <c r="Y37" s="27">
        <v>167560.0</v>
      </c>
      <c r="Z37" s="16"/>
      <c r="AA37" s="32"/>
      <c r="AB37" s="31"/>
      <c r="AC37" s="29"/>
    </row>
    <row r="38">
      <c r="A38" s="38"/>
      <c r="B38" s="32"/>
      <c r="C38" s="14">
        <f>I38/E116</f>
        <v>0</v>
      </c>
      <c r="D38" s="15" t="s">
        <v>445</v>
      </c>
      <c r="E38" s="16" t="s">
        <v>347</v>
      </c>
      <c r="F38" s="17">
        <v>7.5</v>
      </c>
      <c r="G38" s="18">
        <v>1500.0</v>
      </c>
      <c r="H38" s="19">
        <f t="shared" si="17"/>
        <v>118380</v>
      </c>
      <c r="I38" s="20">
        <v>0.0</v>
      </c>
      <c r="J38" s="21">
        <v>78.92</v>
      </c>
      <c r="K38" s="22">
        <f>IFERROR(__xludf.DUMMYFUNCTION("GOOGLEFINANCE(E38,""changepct"")"),-1.09)</f>
        <v>-1.09</v>
      </c>
      <c r="L38" s="23">
        <f>IFERROR(__xludf.DUMMYFUNCTION("googlefinance(E38,""price"")"),84.13)</f>
        <v>84.13</v>
      </c>
      <c r="M38" s="21">
        <v>76.28</v>
      </c>
      <c r="N38" s="24">
        <f t="shared" si="18"/>
        <v>5.21</v>
      </c>
      <c r="O38" s="25">
        <f t="shared" si="19"/>
        <v>-0.03345159655</v>
      </c>
      <c r="P38" s="19">
        <f t="shared" si="20"/>
        <v>-3960</v>
      </c>
      <c r="Q38" s="34"/>
      <c r="R38" s="29"/>
      <c r="S38" s="61"/>
      <c r="T38" s="27"/>
      <c r="U38" s="15"/>
      <c r="V38" s="15" t="s">
        <v>347</v>
      </c>
      <c r="W38" s="36">
        <v>45624.0</v>
      </c>
      <c r="X38" s="37">
        <v>76.28</v>
      </c>
      <c r="Y38" s="27">
        <v>114420.0</v>
      </c>
      <c r="Z38" s="15" t="s">
        <v>347</v>
      </c>
      <c r="AA38" s="36">
        <v>45617.0</v>
      </c>
      <c r="AB38" s="37">
        <v>78.92</v>
      </c>
      <c r="AC38" s="27">
        <v>118380.0</v>
      </c>
    </row>
    <row r="39">
      <c r="A39" s="38"/>
      <c r="B39" s="32"/>
      <c r="C39" s="14">
        <f>I39/E116</f>
        <v>0.02466923704</v>
      </c>
      <c r="D39" s="15" t="s">
        <v>287</v>
      </c>
      <c r="E39" s="15" t="s">
        <v>33</v>
      </c>
      <c r="F39" s="17">
        <v>8.0</v>
      </c>
      <c r="G39" s="18">
        <v>5000.0</v>
      </c>
      <c r="H39" s="19">
        <f t="shared" si="17"/>
        <v>671750</v>
      </c>
      <c r="I39" s="19">
        <f t="shared" ref="I39:I40" si="21">H39+P39</f>
        <v>420250</v>
      </c>
      <c r="J39" s="21">
        <v>134.35</v>
      </c>
      <c r="K39" s="22">
        <f>IFERROR(__xludf.DUMMYFUNCTION("GOOGLEFINANCE(E39,""changepct"")"),-2.94)</f>
        <v>-2.94</v>
      </c>
      <c r="L39" s="23">
        <f>IFERROR(__xludf.DUMMYFUNCTION("googlefinance(E39,""price"")"),84.05)</f>
        <v>84.05</v>
      </c>
      <c r="M39" s="24"/>
      <c r="N39" s="24">
        <f t="shared" si="18"/>
        <v>-50.3</v>
      </c>
      <c r="O39" s="25">
        <f t="shared" ref="O39:O40" si="22">L39/J39-1</f>
        <v>-0.3743952363</v>
      </c>
      <c r="P39" s="19">
        <f t="shared" si="20"/>
        <v>-251500</v>
      </c>
      <c r="Q39" s="34"/>
      <c r="R39" s="29"/>
      <c r="S39" s="61"/>
      <c r="T39" s="27"/>
      <c r="U39" s="15"/>
      <c r="V39" s="15"/>
      <c r="W39" s="36"/>
      <c r="X39" s="37"/>
      <c r="Y39" s="27"/>
      <c r="Z39" s="15"/>
      <c r="AA39" s="36"/>
      <c r="AB39" s="37"/>
      <c r="AC39" s="27"/>
    </row>
    <row r="40">
      <c r="A40" s="38"/>
      <c r="B40" s="32"/>
      <c r="C40" s="14">
        <f>I40/E116</f>
        <v>0.008311228856</v>
      </c>
      <c r="D40" s="45" t="s">
        <v>343</v>
      </c>
      <c r="E40" s="45" t="s">
        <v>301</v>
      </c>
      <c r="F40" s="44">
        <v>7.9</v>
      </c>
      <c r="G40" s="18">
        <v>1500.0</v>
      </c>
      <c r="H40" s="19">
        <f t="shared" si="17"/>
        <v>147105</v>
      </c>
      <c r="I40" s="19">
        <f t="shared" si="21"/>
        <v>141585</v>
      </c>
      <c r="J40" s="21">
        <v>98.07</v>
      </c>
      <c r="K40" s="22">
        <f>IFERROR(__xludf.DUMMYFUNCTION("GOOGLEFINANCE(E40,""changepct"")"),-3.14)</f>
        <v>-3.14</v>
      </c>
      <c r="L40" s="23">
        <f>IFERROR(__xludf.DUMMYFUNCTION("googlefinance(E40,""price"")"),94.39)</f>
        <v>94.39</v>
      </c>
      <c r="M40" s="24"/>
      <c r="N40" s="24">
        <f t="shared" si="18"/>
        <v>-3.68</v>
      </c>
      <c r="O40" s="25">
        <f t="shared" si="22"/>
        <v>-0.0375242174</v>
      </c>
      <c r="P40" s="19">
        <f t="shared" si="20"/>
        <v>-5520</v>
      </c>
      <c r="Q40" s="34"/>
      <c r="R40" s="29"/>
      <c r="S40" s="282"/>
      <c r="T40" s="27">
        <v>8670.0</v>
      </c>
      <c r="U40" s="15"/>
      <c r="V40" s="15"/>
      <c r="W40" s="36"/>
      <c r="X40" s="37"/>
      <c r="Y40" s="27"/>
      <c r="Z40" s="15"/>
      <c r="AA40" s="41"/>
      <c r="AB40" s="21"/>
      <c r="AC40" s="20"/>
    </row>
    <row r="41">
      <c r="A41" s="38"/>
      <c r="B41" s="32"/>
      <c r="C41" s="14">
        <f>I41/E116</f>
        <v>0</v>
      </c>
      <c r="D41" s="45" t="s">
        <v>343</v>
      </c>
      <c r="E41" s="45" t="s">
        <v>301</v>
      </c>
      <c r="F41" s="44">
        <v>7.9</v>
      </c>
      <c r="G41" s="18">
        <v>1500.0</v>
      </c>
      <c r="H41" s="19">
        <f t="shared" si="17"/>
        <v>147105</v>
      </c>
      <c r="I41" s="20">
        <v>0.0</v>
      </c>
      <c r="J41" s="21">
        <v>98.07</v>
      </c>
      <c r="K41" s="22">
        <f>IFERROR(__xludf.DUMMYFUNCTION("GOOGLEFINANCE(E41,""changepct"")"),-3.14)</f>
        <v>-3.14</v>
      </c>
      <c r="L41" s="23">
        <f>IFERROR(__xludf.DUMMYFUNCTION("googlefinance(E41,""price"")"),94.39)</f>
        <v>94.39</v>
      </c>
      <c r="M41" s="21">
        <v>80.0</v>
      </c>
      <c r="N41" s="24">
        <f t="shared" si="18"/>
        <v>-3.68</v>
      </c>
      <c r="O41" s="25">
        <f>M41/J41-1</f>
        <v>-0.1842561436</v>
      </c>
      <c r="P41" s="19">
        <f t="shared" si="20"/>
        <v>-27105</v>
      </c>
      <c r="Q41" s="34"/>
      <c r="R41" s="29"/>
      <c r="S41" s="35"/>
      <c r="T41" s="27"/>
      <c r="U41" s="15"/>
      <c r="V41" s="15"/>
      <c r="W41" s="36">
        <v>45219.0</v>
      </c>
      <c r="X41" s="37">
        <v>80.0</v>
      </c>
      <c r="Y41" s="27">
        <v>120000.0</v>
      </c>
      <c r="Z41" s="15"/>
      <c r="AA41" s="41"/>
      <c r="AB41" s="21"/>
      <c r="AC41" s="20"/>
    </row>
    <row r="42">
      <c r="A42" s="38"/>
      <c r="B42" s="32"/>
      <c r="C42" s="14">
        <f>I42/E116</f>
        <v>0.003856677867</v>
      </c>
      <c r="D42" s="42" t="s">
        <v>348</v>
      </c>
      <c r="E42" s="42" t="s">
        <v>349</v>
      </c>
      <c r="F42" s="44">
        <v>7.7</v>
      </c>
      <c r="G42" s="18">
        <v>15000.0</v>
      </c>
      <c r="H42" s="19">
        <f t="shared" si="17"/>
        <v>139950</v>
      </c>
      <c r="I42" s="20">
        <f>H42+P42</f>
        <v>65700</v>
      </c>
      <c r="J42" s="21">
        <v>9.33</v>
      </c>
      <c r="K42" s="22">
        <f>IFERROR(__xludf.DUMMYFUNCTION("GOOGLEFINANCE(E42,""changepct"")"),-2.23)</f>
        <v>-2.23</v>
      </c>
      <c r="L42" s="23">
        <f>IFERROR(__xludf.DUMMYFUNCTION("googlefinance(E42,""price"")"),4.38)</f>
        <v>4.38</v>
      </c>
      <c r="M42" s="21"/>
      <c r="N42" s="24">
        <f t="shared" si="18"/>
        <v>-4.95</v>
      </c>
      <c r="O42" s="25">
        <f>L42/J42-1</f>
        <v>-0.5305466238</v>
      </c>
      <c r="P42" s="19">
        <f t="shared" si="20"/>
        <v>-74250</v>
      </c>
      <c r="Q42" s="34"/>
      <c r="R42" s="29"/>
      <c r="S42" s="35"/>
      <c r="T42" s="27"/>
      <c r="U42" s="15"/>
      <c r="V42" s="15"/>
      <c r="W42" s="36"/>
      <c r="X42" s="37"/>
      <c r="Y42" s="27"/>
      <c r="Z42" s="15" t="s">
        <v>349</v>
      </c>
      <c r="AA42" s="41">
        <v>45288.0</v>
      </c>
      <c r="AB42" s="21">
        <v>9.33</v>
      </c>
      <c r="AC42" s="20">
        <v>139950.0</v>
      </c>
    </row>
    <row r="43">
      <c r="A43" s="38"/>
      <c r="B43" s="32"/>
      <c r="C43" s="14">
        <f>I43/E116</f>
        <v>0</v>
      </c>
      <c r="D43" s="42" t="s">
        <v>446</v>
      </c>
      <c r="E43" s="42" t="s">
        <v>447</v>
      </c>
      <c r="F43" s="44">
        <v>7.0</v>
      </c>
      <c r="G43" s="18">
        <v>6000.0</v>
      </c>
      <c r="H43" s="19">
        <f t="shared" si="17"/>
        <v>110160</v>
      </c>
      <c r="I43" s="20">
        <v>0.0</v>
      </c>
      <c r="J43" s="21">
        <v>18.36</v>
      </c>
      <c r="K43" s="22">
        <f>IFERROR(__xludf.DUMMYFUNCTION("GOOGLEFINANCE(E43,""changepct"")"),-6.02)</f>
        <v>-6.02</v>
      </c>
      <c r="L43" s="23">
        <f>IFERROR(__xludf.DUMMYFUNCTION("googlefinance(E43,""price"")"),11.87)</f>
        <v>11.87</v>
      </c>
      <c r="M43" s="21">
        <v>15.93</v>
      </c>
      <c r="N43" s="24">
        <f t="shared" si="18"/>
        <v>-6.49</v>
      </c>
      <c r="O43" s="25">
        <f>M43/J43-1</f>
        <v>-0.1323529412</v>
      </c>
      <c r="P43" s="19">
        <f t="shared" si="20"/>
        <v>-14580</v>
      </c>
      <c r="Q43" s="34"/>
      <c r="R43" s="29"/>
      <c r="S43" s="35"/>
      <c r="T43" s="27">
        <v>-6977.0</v>
      </c>
      <c r="U43" s="15"/>
      <c r="V43" s="15" t="s">
        <v>447</v>
      </c>
      <c r="W43" s="36">
        <v>45208.0</v>
      </c>
      <c r="X43" s="37">
        <v>15.93</v>
      </c>
      <c r="Y43" s="27">
        <v>95580.0</v>
      </c>
      <c r="Z43" s="15"/>
      <c r="AA43" s="41"/>
      <c r="AB43" s="21"/>
      <c r="AC43" s="20"/>
    </row>
    <row r="44">
      <c r="A44" s="48"/>
      <c r="B44" s="6"/>
      <c r="C44" s="6" t="s">
        <v>89</v>
      </c>
      <c r="D44" s="6"/>
      <c r="E44" s="6"/>
      <c r="F44" s="6"/>
      <c r="G44" s="69"/>
      <c r="H44" s="49">
        <f>SUM(H37:H43)</f>
        <v>1507930</v>
      </c>
      <c r="I44" s="263">
        <v>950965.0</v>
      </c>
      <c r="J44" s="8"/>
      <c r="K44" s="8"/>
      <c r="L44" s="8"/>
      <c r="M44" s="10"/>
      <c r="N44" s="10"/>
      <c r="O44" s="51">
        <f>(P44+T44)/I44</f>
        <v>-0.06205486006</v>
      </c>
      <c r="P44" s="263">
        <v>-59405.0</v>
      </c>
      <c r="Q44" s="6"/>
      <c r="R44" s="49">
        <v>0.0</v>
      </c>
      <c r="S44" s="10"/>
      <c r="T44" s="11">
        <f>SUM(T37:T43)</f>
        <v>393</v>
      </c>
      <c r="U44" s="6"/>
      <c r="V44" s="6" t="s">
        <v>89</v>
      </c>
      <c r="W44" s="53"/>
      <c r="X44" s="53"/>
      <c r="Y44" s="49">
        <f>SUM(Y37:Y43)</f>
        <v>497560</v>
      </c>
      <c r="Z44" s="6" t="s">
        <v>89</v>
      </c>
      <c r="AA44" s="53"/>
      <c r="AB44" s="54"/>
      <c r="AC44" s="49">
        <f>SUM(AC37:AC43)</f>
        <v>258330</v>
      </c>
    </row>
    <row r="45">
      <c r="A45" s="55"/>
      <c r="B45" s="5" t="s">
        <v>448</v>
      </c>
      <c r="C45" s="6" t="s">
        <v>2</v>
      </c>
      <c r="D45" s="6" t="s">
        <v>3</v>
      </c>
      <c r="E45" s="6" t="s">
        <v>4</v>
      </c>
      <c r="F45" s="6" t="s">
        <v>5</v>
      </c>
      <c r="G45" s="6" t="s">
        <v>6</v>
      </c>
      <c r="H45" s="6" t="s">
        <v>7</v>
      </c>
      <c r="I45" s="308" t="s">
        <v>436</v>
      </c>
      <c r="J45" s="7" t="s">
        <v>9</v>
      </c>
      <c r="K45" s="8" t="s">
        <v>10</v>
      </c>
      <c r="L45" s="8" t="s">
        <v>11</v>
      </c>
      <c r="M45" s="9" t="s">
        <v>12</v>
      </c>
      <c r="N45" s="10" t="s">
        <v>13</v>
      </c>
      <c r="O45" s="6" t="s">
        <v>14</v>
      </c>
      <c r="P45" s="10" t="s">
        <v>15</v>
      </c>
      <c r="Q45" s="6" t="s">
        <v>16</v>
      </c>
      <c r="R45" s="6" t="s">
        <v>17</v>
      </c>
      <c r="S45" s="9" t="s">
        <v>18</v>
      </c>
      <c r="T45" s="5" t="s">
        <v>19</v>
      </c>
      <c r="U45" s="5" t="s">
        <v>91</v>
      </c>
      <c r="V45" s="6" t="s">
        <v>21</v>
      </c>
      <c r="W45" s="6" t="s">
        <v>22</v>
      </c>
      <c r="X45" s="12" t="s">
        <v>23</v>
      </c>
      <c r="Y45" s="12" t="s">
        <v>24</v>
      </c>
      <c r="Z45" s="6" t="s">
        <v>25</v>
      </c>
      <c r="AA45" s="6" t="s">
        <v>26</v>
      </c>
      <c r="AB45" s="6" t="s">
        <v>27</v>
      </c>
      <c r="AC45" s="6" t="s">
        <v>28</v>
      </c>
    </row>
    <row r="46">
      <c r="A46" s="56" t="s">
        <v>29</v>
      </c>
      <c r="B46" s="57">
        <f>I56/E116</f>
        <v>0.07467132974</v>
      </c>
      <c r="C46" s="14">
        <f>I46/E116</f>
        <v>0.003947077927</v>
      </c>
      <c r="D46" s="16" t="s">
        <v>304</v>
      </c>
      <c r="E46" s="16" t="s">
        <v>305</v>
      </c>
      <c r="F46" s="17">
        <v>7.9</v>
      </c>
      <c r="G46" s="85">
        <v>2000.0</v>
      </c>
      <c r="H46" s="19">
        <f t="shared" ref="H46:H55" si="23">J46*G46</f>
        <v>103580</v>
      </c>
      <c r="I46" s="19">
        <f t="shared" ref="I46:I55" si="24">H46+P46</f>
        <v>67240</v>
      </c>
      <c r="J46" s="21">
        <v>51.79</v>
      </c>
      <c r="K46" s="22">
        <f>IFERROR(__xludf.DUMMYFUNCTION("GOOGLEFINANCE(E46,""changepct"")"),-0.97)</f>
        <v>-0.97</v>
      </c>
      <c r="L46" s="24">
        <f>IFERROR(__xludf.DUMMYFUNCTION("googlefinance(E46,""price"")"),33.62)</f>
        <v>33.62</v>
      </c>
      <c r="M46" s="24"/>
      <c r="N46" s="24">
        <f t="shared" ref="N46:N55" si="25">L46-J46</f>
        <v>-18.17</v>
      </c>
      <c r="O46" s="25">
        <f t="shared" ref="O46:O55" si="26">L46/J46-1</f>
        <v>-0.3508399305</v>
      </c>
      <c r="P46" s="19">
        <f t="shared" ref="P46:P55" si="27">H46*O46</f>
        <v>-36340</v>
      </c>
      <c r="Q46" s="34"/>
      <c r="R46" s="29"/>
      <c r="S46" s="24"/>
      <c r="T46" s="29"/>
      <c r="U46" s="16"/>
      <c r="V46" s="16"/>
      <c r="W46" s="94"/>
      <c r="X46" s="24"/>
      <c r="Y46" s="19"/>
      <c r="Z46" s="16"/>
      <c r="AA46" s="32"/>
      <c r="AB46" s="31"/>
      <c r="AC46" s="29"/>
    </row>
    <row r="47">
      <c r="A47" s="38"/>
      <c r="B47" s="32"/>
      <c r="C47" s="14">
        <f>I47/E116</f>
        <v>0.005032172148</v>
      </c>
      <c r="D47" s="264" t="s">
        <v>306</v>
      </c>
      <c r="E47" s="264" t="s">
        <v>307</v>
      </c>
      <c r="F47" s="17">
        <v>7.9</v>
      </c>
      <c r="G47" s="85">
        <v>7500.0</v>
      </c>
      <c r="H47" s="19">
        <f t="shared" si="23"/>
        <v>109650</v>
      </c>
      <c r="I47" s="19">
        <f t="shared" si="24"/>
        <v>85725</v>
      </c>
      <c r="J47" s="21">
        <v>14.62</v>
      </c>
      <c r="K47" s="22">
        <f>IFERROR(__xludf.DUMMYFUNCTION("GOOGLEFINANCE(E47,""changepct"")"),-0.87)</f>
        <v>-0.87</v>
      </c>
      <c r="L47" s="24">
        <f>IFERROR(__xludf.DUMMYFUNCTION("googlefinance(E47,""price"")"),11.43)</f>
        <v>11.43</v>
      </c>
      <c r="M47" s="24"/>
      <c r="N47" s="24">
        <f t="shared" si="25"/>
        <v>-3.19</v>
      </c>
      <c r="O47" s="25">
        <f t="shared" si="26"/>
        <v>-0.2181942544</v>
      </c>
      <c r="P47" s="19">
        <f t="shared" si="27"/>
        <v>-23925</v>
      </c>
      <c r="Q47" s="14"/>
      <c r="R47" s="19"/>
      <c r="S47" s="31"/>
      <c r="T47" s="29"/>
      <c r="U47" s="16"/>
      <c r="V47" s="16"/>
      <c r="W47" s="30"/>
      <c r="X47" s="31"/>
      <c r="Y47" s="29"/>
      <c r="Z47" s="16"/>
      <c r="AA47" s="30"/>
      <c r="AB47" s="31"/>
      <c r="AC47" s="29"/>
    </row>
    <row r="48">
      <c r="A48" s="63"/>
      <c r="B48" s="45"/>
      <c r="C48" s="58">
        <f>I48/E116</f>
        <v>0.004120246872</v>
      </c>
      <c r="D48" s="59" t="s">
        <v>310</v>
      </c>
      <c r="E48" s="59" t="s">
        <v>311</v>
      </c>
      <c r="F48" s="17">
        <v>8.0</v>
      </c>
      <c r="G48" s="60">
        <v>1000.0</v>
      </c>
      <c r="H48" s="19">
        <f t="shared" si="23"/>
        <v>127630</v>
      </c>
      <c r="I48" s="19">
        <f t="shared" si="24"/>
        <v>70190</v>
      </c>
      <c r="J48" s="61">
        <v>127.63</v>
      </c>
      <c r="K48" s="22">
        <f>IFERROR(__xludf.DUMMYFUNCTION("GOOGLEFINANCE(E48,""changepct"")"),-2.69)</f>
        <v>-2.69</v>
      </c>
      <c r="L48" s="24">
        <f>IFERROR(__xludf.DUMMYFUNCTION("googlefinance(E48,""price"")"),70.19)</f>
        <v>70.19</v>
      </c>
      <c r="M48" s="61">
        <v>130.0</v>
      </c>
      <c r="N48" s="24">
        <f t="shared" si="25"/>
        <v>-57.44</v>
      </c>
      <c r="O48" s="25">
        <f t="shared" si="26"/>
        <v>-0.4500509285</v>
      </c>
      <c r="P48" s="19">
        <f t="shared" si="27"/>
        <v>-57440</v>
      </c>
      <c r="Q48" s="58"/>
      <c r="R48" s="64"/>
      <c r="S48" s="65"/>
      <c r="T48" s="66">
        <v>2810.0</v>
      </c>
      <c r="U48" s="42"/>
      <c r="V48" s="45"/>
      <c r="W48" s="270"/>
      <c r="X48" s="28"/>
      <c r="Y48" s="64"/>
      <c r="Z48" s="42" t="s">
        <v>311</v>
      </c>
      <c r="AA48" s="67">
        <v>45215.0</v>
      </c>
      <c r="AB48" s="39">
        <v>127.63</v>
      </c>
      <c r="AC48" s="68">
        <v>127630.0</v>
      </c>
    </row>
    <row r="49">
      <c r="A49" s="63"/>
      <c r="B49" s="45"/>
      <c r="C49" s="58">
        <f>I49/E116</f>
        <v>0.008240493744</v>
      </c>
      <c r="D49" s="59" t="s">
        <v>310</v>
      </c>
      <c r="E49" s="59" t="s">
        <v>311</v>
      </c>
      <c r="F49" s="17">
        <v>8.0</v>
      </c>
      <c r="G49" s="60">
        <v>2000.0</v>
      </c>
      <c r="H49" s="19">
        <f t="shared" si="23"/>
        <v>240300</v>
      </c>
      <c r="I49" s="19">
        <f t="shared" si="24"/>
        <v>140380</v>
      </c>
      <c r="J49" s="61">
        <v>120.15</v>
      </c>
      <c r="K49" s="22">
        <f>IFERROR(__xludf.DUMMYFUNCTION("GOOGLEFINANCE(E49,""changepct"")"),-2.69)</f>
        <v>-2.69</v>
      </c>
      <c r="L49" s="24">
        <f>IFERROR(__xludf.DUMMYFUNCTION("googlefinance(E49,""price"")"),70.19)</f>
        <v>70.19</v>
      </c>
      <c r="M49" s="75"/>
      <c r="N49" s="24">
        <f t="shared" si="25"/>
        <v>-49.96</v>
      </c>
      <c r="O49" s="25">
        <f t="shared" si="26"/>
        <v>-0.4158135664</v>
      </c>
      <c r="P49" s="19">
        <f t="shared" si="27"/>
        <v>-99920</v>
      </c>
      <c r="Q49" s="58"/>
      <c r="R49" s="64"/>
      <c r="S49" s="65"/>
      <c r="T49" s="66">
        <v>3600.0</v>
      </c>
      <c r="U49" s="45"/>
      <c r="V49" s="45"/>
      <c r="W49" s="270"/>
      <c r="X49" s="28"/>
      <c r="Y49" s="64"/>
      <c r="Z49" s="42"/>
      <c r="AA49" s="67"/>
      <c r="AB49" s="39"/>
      <c r="AC49" s="68"/>
    </row>
    <row r="50">
      <c r="A50" s="63"/>
      <c r="B50" s="45"/>
      <c r="C50" s="58">
        <f>I50/E116</f>
        <v>0.008398400342</v>
      </c>
      <c r="D50" s="59" t="s">
        <v>387</v>
      </c>
      <c r="E50" s="59" t="s">
        <v>388</v>
      </c>
      <c r="F50" s="17">
        <v>7.9</v>
      </c>
      <c r="G50" s="60">
        <v>1000.0</v>
      </c>
      <c r="H50" s="19">
        <f t="shared" si="23"/>
        <v>145150</v>
      </c>
      <c r="I50" s="19">
        <f t="shared" si="24"/>
        <v>143070</v>
      </c>
      <c r="J50" s="61">
        <v>145.15</v>
      </c>
      <c r="K50" s="22">
        <f>IFERROR(__xludf.DUMMYFUNCTION("GOOGLEFINANCE(E50,""changepct"")"),-0.65)</f>
        <v>-0.65</v>
      </c>
      <c r="L50" s="24">
        <f>IFERROR(__xludf.DUMMYFUNCTION("googlefinance(E50,""price"")"),143.07)</f>
        <v>143.07</v>
      </c>
      <c r="M50" s="61"/>
      <c r="N50" s="24">
        <f t="shared" si="25"/>
        <v>-2.08</v>
      </c>
      <c r="O50" s="25">
        <f t="shared" si="26"/>
        <v>-0.01433000344</v>
      </c>
      <c r="P50" s="19">
        <f t="shared" si="27"/>
        <v>-2080</v>
      </c>
      <c r="Q50" s="58"/>
      <c r="R50" s="64"/>
      <c r="S50" s="289"/>
      <c r="T50" s="72"/>
      <c r="U50" s="45"/>
      <c r="V50" s="42"/>
      <c r="W50" s="67"/>
      <c r="X50" s="39"/>
      <c r="Y50" s="68"/>
      <c r="Z50" s="42" t="s">
        <v>388</v>
      </c>
      <c r="AA50" s="67">
        <v>44938.0</v>
      </c>
      <c r="AB50" s="39">
        <v>145.15</v>
      </c>
      <c r="AC50" s="68">
        <v>145150.0</v>
      </c>
    </row>
    <row r="51">
      <c r="A51" s="63"/>
      <c r="B51" s="45"/>
      <c r="C51" s="58">
        <f>I51/E116</f>
        <v>0.1594915337</v>
      </c>
      <c r="D51" s="59" t="s">
        <v>393</v>
      </c>
      <c r="E51" s="59" t="s">
        <v>394</v>
      </c>
      <c r="F51" s="17">
        <v>7.7</v>
      </c>
      <c r="G51" s="60">
        <v>5000.0</v>
      </c>
      <c r="H51" s="19">
        <f t="shared" si="23"/>
        <v>133750</v>
      </c>
      <c r="I51" s="19">
        <f t="shared" si="24"/>
        <v>2717000</v>
      </c>
      <c r="J51" s="61">
        <v>26.75</v>
      </c>
      <c r="K51" s="22">
        <f>IFERROR(__xludf.DUMMYFUNCTION("GOOGLEFINANCE(E51,""changepct"")"),-0.62)</f>
        <v>-0.62</v>
      </c>
      <c r="L51" s="24">
        <f>IFERROR(__xludf.DUMMYFUNCTION("googlefinance(E51,""price"")"),543.4)</f>
        <v>543.4</v>
      </c>
      <c r="M51" s="61"/>
      <c r="N51" s="24">
        <f t="shared" si="25"/>
        <v>516.65</v>
      </c>
      <c r="O51" s="25">
        <f t="shared" si="26"/>
        <v>19.31401869</v>
      </c>
      <c r="P51" s="19">
        <f t="shared" si="27"/>
        <v>2583250</v>
      </c>
      <c r="Q51" s="62">
        <v>0.018</v>
      </c>
      <c r="R51" s="68">
        <v>550.0</v>
      </c>
      <c r="S51" s="289"/>
      <c r="T51" s="72"/>
      <c r="U51" s="45"/>
      <c r="V51" s="42"/>
      <c r="W51" s="67"/>
      <c r="X51" s="39"/>
      <c r="Y51" s="68"/>
      <c r="Z51" s="42"/>
      <c r="AA51" s="67"/>
      <c r="AB51" s="39"/>
      <c r="AC51" s="68"/>
    </row>
    <row r="52">
      <c r="A52" s="63"/>
      <c r="B52" s="45"/>
      <c r="C52" s="58">
        <f>I52/E116</f>
        <v>0.003407025623</v>
      </c>
      <c r="D52" s="59" t="s">
        <v>395</v>
      </c>
      <c r="E52" s="59" t="s">
        <v>309</v>
      </c>
      <c r="F52" s="17">
        <v>7.8</v>
      </c>
      <c r="G52" s="60">
        <v>4000.0</v>
      </c>
      <c r="H52" s="19">
        <f t="shared" si="23"/>
        <v>82760</v>
      </c>
      <c r="I52" s="19">
        <f t="shared" si="24"/>
        <v>58040</v>
      </c>
      <c r="J52" s="61">
        <v>20.69</v>
      </c>
      <c r="K52" s="22">
        <f>IFERROR(__xludf.DUMMYFUNCTION("GOOGLEFINANCE(E52,""changepct"")"),0.28)</f>
        <v>0.28</v>
      </c>
      <c r="L52" s="24">
        <f>IFERROR(__xludf.DUMMYFUNCTION("googlefinance(E52,""price"")"),14.51)</f>
        <v>14.51</v>
      </c>
      <c r="M52" s="61"/>
      <c r="N52" s="24">
        <f t="shared" si="25"/>
        <v>-6.18</v>
      </c>
      <c r="O52" s="25">
        <f t="shared" si="26"/>
        <v>-0.2986950217</v>
      </c>
      <c r="P52" s="19">
        <f t="shared" si="27"/>
        <v>-24720</v>
      </c>
      <c r="Q52" s="58"/>
      <c r="R52" s="64"/>
      <c r="S52" s="289"/>
      <c r="T52" s="72"/>
      <c r="U52" s="45"/>
      <c r="V52" s="42"/>
      <c r="W52" s="67"/>
      <c r="X52" s="39"/>
      <c r="Y52" s="68"/>
      <c r="Z52" s="42" t="s">
        <v>309</v>
      </c>
      <c r="AA52" s="67">
        <v>45282.0</v>
      </c>
      <c r="AB52" s="39">
        <v>20.69</v>
      </c>
      <c r="AC52" s="68">
        <v>82760.0</v>
      </c>
    </row>
    <row r="53">
      <c r="A53" s="63"/>
      <c r="B53" s="45"/>
      <c r="C53" s="58">
        <f>I53/E116</f>
        <v>0.005110538434</v>
      </c>
      <c r="D53" s="59" t="s">
        <v>395</v>
      </c>
      <c r="E53" s="59" t="s">
        <v>309</v>
      </c>
      <c r="F53" s="17">
        <v>7.8</v>
      </c>
      <c r="G53" s="60">
        <v>6000.0</v>
      </c>
      <c r="H53" s="19">
        <f t="shared" si="23"/>
        <v>125400</v>
      </c>
      <c r="I53" s="19">
        <f t="shared" si="24"/>
        <v>87060</v>
      </c>
      <c r="J53" s="61">
        <v>20.9</v>
      </c>
      <c r="K53" s="22">
        <f>IFERROR(__xludf.DUMMYFUNCTION("GOOGLEFINANCE(E53,""changepct"")"),0.28)</f>
        <v>0.28</v>
      </c>
      <c r="L53" s="24">
        <f>IFERROR(__xludf.DUMMYFUNCTION("googlefinance(E53,""price"")"),14.51)</f>
        <v>14.51</v>
      </c>
      <c r="M53" s="61"/>
      <c r="N53" s="24">
        <f t="shared" si="25"/>
        <v>-6.39</v>
      </c>
      <c r="O53" s="25">
        <f t="shared" si="26"/>
        <v>-0.3057416268</v>
      </c>
      <c r="P53" s="19">
        <f t="shared" si="27"/>
        <v>-38340</v>
      </c>
      <c r="Q53" s="62">
        <v>0.01</v>
      </c>
      <c r="R53" s="68">
        <v>300.0</v>
      </c>
      <c r="S53" s="289"/>
      <c r="T53" s="72"/>
      <c r="U53" s="45"/>
      <c r="V53" s="42"/>
      <c r="W53" s="67"/>
      <c r="X53" s="39"/>
      <c r="Y53" s="68"/>
      <c r="Z53" s="42"/>
      <c r="AA53" s="67"/>
      <c r="AB53" s="39"/>
      <c r="AC53" s="68"/>
    </row>
    <row r="54">
      <c r="A54" s="63"/>
      <c r="B54" s="45"/>
      <c r="C54" s="58">
        <f>I54/E116</f>
        <v>0.002632167969</v>
      </c>
      <c r="D54" s="16" t="s">
        <v>352</v>
      </c>
      <c r="E54" s="16" t="s">
        <v>97</v>
      </c>
      <c r="F54" s="17">
        <v>7.7</v>
      </c>
      <c r="G54" s="60">
        <v>2000.0</v>
      </c>
      <c r="H54" s="19">
        <f t="shared" si="23"/>
        <v>72480</v>
      </c>
      <c r="I54" s="19">
        <f t="shared" si="24"/>
        <v>44840</v>
      </c>
      <c r="J54" s="61">
        <v>36.24</v>
      </c>
      <c r="K54" s="22">
        <f>IFERROR(__xludf.DUMMYFUNCTION("GOOGLEFINANCE(E54,""changepct"")"),1.49)</f>
        <v>1.49</v>
      </c>
      <c r="L54" s="24">
        <f>IFERROR(__xludf.DUMMYFUNCTION("googlefinance(E54,""price"")"),22.42)</f>
        <v>22.42</v>
      </c>
      <c r="M54" s="61"/>
      <c r="N54" s="24">
        <f t="shared" si="25"/>
        <v>-13.82</v>
      </c>
      <c r="O54" s="25">
        <f t="shared" si="26"/>
        <v>-0.3813465784</v>
      </c>
      <c r="P54" s="19">
        <f t="shared" si="27"/>
        <v>-27640</v>
      </c>
      <c r="Q54" s="58"/>
      <c r="R54" s="64"/>
      <c r="S54" s="65"/>
      <c r="T54" s="66"/>
      <c r="U54" s="45"/>
      <c r="V54" s="42"/>
      <c r="W54" s="67"/>
      <c r="X54" s="39"/>
      <c r="Y54" s="68"/>
      <c r="Z54" s="42" t="s">
        <v>97</v>
      </c>
      <c r="AA54" s="67">
        <v>45282.0</v>
      </c>
      <c r="AB54" s="39">
        <v>36.24</v>
      </c>
      <c r="AC54" s="68">
        <v>72480.0</v>
      </c>
    </row>
    <row r="55">
      <c r="A55" s="63"/>
      <c r="B55" s="45"/>
      <c r="C55" s="58">
        <f>I55/E116</f>
        <v>0.003948251953</v>
      </c>
      <c r="D55" s="16" t="s">
        <v>352</v>
      </c>
      <c r="E55" s="16" t="s">
        <v>97</v>
      </c>
      <c r="F55" s="17">
        <v>7.7</v>
      </c>
      <c r="G55" s="60">
        <v>3000.0</v>
      </c>
      <c r="H55" s="19">
        <f t="shared" si="23"/>
        <v>123300</v>
      </c>
      <c r="I55" s="20">
        <f t="shared" si="24"/>
        <v>67260</v>
      </c>
      <c r="J55" s="61">
        <v>41.1</v>
      </c>
      <c r="K55" s="22">
        <f>IFERROR(__xludf.DUMMYFUNCTION("GOOGLEFINANCE(E55,""changepct"")"),1.49)</f>
        <v>1.49</v>
      </c>
      <c r="L55" s="24">
        <f>IFERROR(__xludf.DUMMYFUNCTION("googlefinance(E55,""price"")"),22.42)</f>
        <v>22.42</v>
      </c>
      <c r="M55" s="61"/>
      <c r="N55" s="24">
        <f t="shared" si="25"/>
        <v>-18.68</v>
      </c>
      <c r="O55" s="25">
        <f t="shared" si="26"/>
        <v>-0.4545012165</v>
      </c>
      <c r="P55" s="19">
        <f t="shared" si="27"/>
        <v>-56040</v>
      </c>
      <c r="Q55" s="62">
        <v>0.028</v>
      </c>
      <c r="R55" s="68">
        <v>750.0</v>
      </c>
      <c r="S55" s="65"/>
      <c r="T55" s="66">
        <v>-180.0</v>
      </c>
      <c r="U55" s="45"/>
      <c r="V55" s="42"/>
      <c r="W55" s="67"/>
      <c r="X55" s="39"/>
      <c r="Y55" s="68"/>
      <c r="Z55" s="42"/>
      <c r="AA55" s="67"/>
      <c r="AB55" s="39"/>
      <c r="AC55" s="68"/>
    </row>
    <row r="56">
      <c r="A56" s="48"/>
      <c r="B56" s="6"/>
      <c r="C56" s="6" t="s">
        <v>89</v>
      </c>
      <c r="D56" s="6"/>
      <c r="E56" s="6"/>
      <c r="F56" s="6"/>
      <c r="G56" s="69"/>
      <c r="H56" s="49">
        <f>SUM(H46:H55)</f>
        <v>1264000</v>
      </c>
      <c r="I56" s="263">
        <v>1272055.0</v>
      </c>
      <c r="J56" s="8"/>
      <c r="K56" s="8"/>
      <c r="L56" s="8"/>
      <c r="M56" s="10"/>
      <c r="N56" s="10"/>
      <c r="O56" s="51">
        <f>P56/I56</f>
        <v>0.006332273369</v>
      </c>
      <c r="P56" s="263">
        <v>8055.0</v>
      </c>
      <c r="Q56" s="6"/>
      <c r="R56" s="49">
        <f>SUM(R46:R55)</f>
        <v>1600</v>
      </c>
      <c r="S56" s="10"/>
      <c r="T56" s="11">
        <f>SUM(T46:T55)</f>
        <v>6230</v>
      </c>
      <c r="U56" s="6"/>
      <c r="V56" s="6" t="s">
        <v>89</v>
      </c>
      <c r="W56" s="53"/>
      <c r="X56" s="54"/>
      <c r="Y56" s="49">
        <f>SUM(Y46:Y55)</f>
        <v>0</v>
      </c>
      <c r="Z56" s="6" t="s">
        <v>89</v>
      </c>
      <c r="AA56" s="53"/>
      <c r="AB56" s="54"/>
      <c r="AC56" s="49">
        <f>SUM(AC46:AC55)</f>
        <v>428020</v>
      </c>
    </row>
    <row r="57">
      <c r="A57" s="55"/>
      <c r="B57" s="5" t="s">
        <v>449</v>
      </c>
      <c r="C57" s="6" t="s">
        <v>2</v>
      </c>
      <c r="D57" s="6" t="s">
        <v>3</v>
      </c>
      <c r="E57" s="6" t="s">
        <v>4</v>
      </c>
      <c r="F57" s="6" t="s">
        <v>5</v>
      </c>
      <c r="G57" s="6" t="s">
        <v>6</v>
      </c>
      <c r="H57" s="6" t="s">
        <v>7</v>
      </c>
      <c r="I57" s="308" t="s">
        <v>436</v>
      </c>
      <c r="J57" s="7" t="s">
        <v>9</v>
      </c>
      <c r="K57" s="8" t="s">
        <v>10</v>
      </c>
      <c r="L57" s="8" t="s">
        <v>11</v>
      </c>
      <c r="M57" s="9" t="s">
        <v>12</v>
      </c>
      <c r="N57" s="10" t="s">
        <v>13</v>
      </c>
      <c r="O57" s="6" t="s">
        <v>14</v>
      </c>
      <c r="P57" s="10" t="s">
        <v>15</v>
      </c>
      <c r="Q57" s="6" t="s">
        <v>16</v>
      </c>
      <c r="R57" s="6" t="s">
        <v>17</v>
      </c>
      <c r="S57" s="9" t="s">
        <v>18</v>
      </c>
      <c r="T57" s="5" t="s">
        <v>19</v>
      </c>
      <c r="U57" s="5" t="s">
        <v>91</v>
      </c>
      <c r="V57" s="6" t="s">
        <v>21</v>
      </c>
      <c r="W57" s="6" t="s">
        <v>22</v>
      </c>
      <c r="X57" s="12" t="s">
        <v>23</v>
      </c>
      <c r="Y57" s="12" t="s">
        <v>24</v>
      </c>
      <c r="Z57" s="6" t="s">
        <v>25</v>
      </c>
      <c r="AA57" s="6" t="s">
        <v>26</v>
      </c>
      <c r="AB57" s="6" t="s">
        <v>27</v>
      </c>
      <c r="AC57" s="6" t="s">
        <v>28</v>
      </c>
    </row>
    <row r="58">
      <c r="A58" s="82" t="s">
        <v>29</v>
      </c>
      <c r="B58" s="83">
        <f>I69/E116</f>
        <v>0.1002008349</v>
      </c>
      <c r="C58" s="14">
        <f>I58/E116</f>
        <v>0.00001174026748</v>
      </c>
      <c r="D58" s="76" t="s">
        <v>450</v>
      </c>
      <c r="E58" s="15" t="s">
        <v>451</v>
      </c>
      <c r="F58" s="17">
        <v>7.8</v>
      </c>
      <c r="G58" s="18">
        <v>20000.0</v>
      </c>
      <c r="H58" s="19">
        <f t="shared" ref="H58:H68" si="28">G58*J58</f>
        <v>368200</v>
      </c>
      <c r="I58" s="19">
        <f t="shared" ref="I58:I65" si="29">H58+P58</f>
        <v>200</v>
      </c>
      <c r="J58" s="21">
        <v>18.41</v>
      </c>
      <c r="K58" s="22">
        <f>IFERROR(__xludf.DUMMYFUNCTION("GOOGLEFINANCE(E58,""changepct"")"),0.0)</f>
        <v>0</v>
      </c>
      <c r="L58" s="24">
        <f>IFERROR(__xludf.DUMMYFUNCTION("googlefinance(E58,""price"")"),0.01)</f>
        <v>0.01</v>
      </c>
      <c r="M58" s="24"/>
      <c r="N58" s="24">
        <f t="shared" ref="N58:N68" si="30">L58-J58</f>
        <v>-18.4</v>
      </c>
      <c r="O58" s="25">
        <f t="shared" ref="O58:O65" si="31">L58/J58-1</f>
        <v>-0.9994568169</v>
      </c>
      <c r="P58" s="84">
        <f t="shared" ref="P58:P68" si="32">H58*O58</f>
        <v>-368000</v>
      </c>
      <c r="Q58" s="32"/>
      <c r="R58" s="29"/>
      <c r="S58" s="21"/>
      <c r="T58" s="27"/>
      <c r="U58" s="27"/>
      <c r="V58" s="15"/>
      <c r="W58" s="312"/>
      <c r="X58" s="21"/>
      <c r="Y58" s="20"/>
      <c r="Z58" s="15"/>
      <c r="AA58" s="36"/>
      <c r="AB58" s="37"/>
      <c r="AC58" s="27"/>
    </row>
    <row r="59">
      <c r="A59" s="38"/>
      <c r="B59" s="32"/>
      <c r="C59" s="14">
        <f>I59/E116</f>
        <v>0.00000587013374</v>
      </c>
      <c r="D59" s="76" t="s">
        <v>450</v>
      </c>
      <c r="E59" s="15" t="s">
        <v>451</v>
      </c>
      <c r="F59" s="17">
        <v>7.8</v>
      </c>
      <c r="G59" s="18">
        <v>10000.0</v>
      </c>
      <c r="H59" s="19">
        <f t="shared" si="28"/>
        <v>140900</v>
      </c>
      <c r="I59" s="19">
        <f t="shared" si="29"/>
        <v>100</v>
      </c>
      <c r="J59" s="21">
        <v>14.09</v>
      </c>
      <c r="K59" s="22">
        <f>IFERROR(__xludf.DUMMYFUNCTION("GOOGLEFINANCE(E59,""changepct"")"),0.0)</f>
        <v>0</v>
      </c>
      <c r="L59" s="24">
        <f>IFERROR(__xludf.DUMMYFUNCTION("googlefinance(E59,""price"")"),0.01)</f>
        <v>0.01</v>
      </c>
      <c r="M59" s="21"/>
      <c r="N59" s="24">
        <f t="shared" si="30"/>
        <v>-14.08</v>
      </c>
      <c r="O59" s="25">
        <f t="shared" si="31"/>
        <v>-0.9992902768</v>
      </c>
      <c r="P59" s="84">
        <f t="shared" si="32"/>
        <v>-140800</v>
      </c>
      <c r="Q59" s="47"/>
      <c r="R59" s="20"/>
      <c r="S59" s="37"/>
      <c r="T59" s="27">
        <v>3500.0</v>
      </c>
      <c r="U59" s="29"/>
      <c r="V59" s="15"/>
      <c r="W59" s="313"/>
      <c r="X59" s="37"/>
      <c r="Y59" s="27"/>
      <c r="Z59" s="15" t="s">
        <v>451</v>
      </c>
      <c r="AA59" s="41">
        <v>45237.0</v>
      </c>
      <c r="AB59" s="21">
        <v>14.09</v>
      </c>
      <c r="AC59" s="20">
        <v>140900.0</v>
      </c>
    </row>
    <row r="60">
      <c r="A60" s="38"/>
      <c r="B60" s="32"/>
      <c r="C60" s="14">
        <f>I60/E116</f>
        <v>0.005056533204</v>
      </c>
      <c r="D60" s="76" t="s">
        <v>147</v>
      </c>
      <c r="E60" s="15" t="s">
        <v>148</v>
      </c>
      <c r="F60" s="17">
        <v>7.9</v>
      </c>
      <c r="G60" s="18">
        <v>1000.0</v>
      </c>
      <c r="H60" s="19">
        <f t="shared" si="28"/>
        <v>156610</v>
      </c>
      <c r="I60" s="19">
        <f t="shared" si="29"/>
        <v>86140</v>
      </c>
      <c r="J60" s="21">
        <v>156.61</v>
      </c>
      <c r="K60" s="22">
        <f>IFERROR(__xludf.DUMMYFUNCTION("GOOGLEFINANCE(E60,""changepct"")"),-2.44)</f>
        <v>-2.44</v>
      </c>
      <c r="L60" s="24">
        <f>IFERROR(__xludf.DUMMYFUNCTION("googlefinance(E60,""price"")"),86.14)</f>
        <v>86.14</v>
      </c>
      <c r="M60" s="21"/>
      <c r="N60" s="24">
        <f t="shared" si="30"/>
        <v>-70.47</v>
      </c>
      <c r="O60" s="25">
        <f t="shared" si="31"/>
        <v>-0.4499712662</v>
      </c>
      <c r="P60" s="84">
        <f t="shared" si="32"/>
        <v>-70470</v>
      </c>
      <c r="Q60" s="47">
        <v>0.01</v>
      </c>
      <c r="R60" s="20">
        <v>400.0</v>
      </c>
      <c r="S60" s="31"/>
      <c r="T60" s="29"/>
      <c r="U60" s="29"/>
      <c r="V60" s="15"/>
      <c r="W60" s="313"/>
      <c r="X60" s="37"/>
      <c r="Y60" s="27"/>
      <c r="Z60" s="15" t="s">
        <v>148</v>
      </c>
      <c r="AA60" s="41">
        <v>45203.0</v>
      </c>
      <c r="AB60" s="21">
        <v>156.61</v>
      </c>
      <c r="AC60" s="20">
        <v>156610.0</v>
      </c>
    </row>
    <row r="61">
      <c r="A61" s="38"/>
      <c r="B61" s="32"/>
      <c r="C61" s="14">
        <f>I61/E116</f>
        <v>0.007584799805</v>
      </c>
      <c r="D61" s="76" t="s">
        <v>147</v>
      </c>
      <c r="E61" s="15" t="s">
        <v>148</v>
      </c>
      <c r="F61" s="17">
        <v>7.9</v>
      </c>
      <c r="G61" s="18">
        <v>1500.0</v>
      </c>
      <c r="H61" s="19">
        <f t="shared" si="28"/>
        <v>255060</v>
      </c>
      <c r="I61" s="19">
        <f t="shared" si="29"/>
        <v>129210</v>
      </c>
      <c r="J61" s="21">
        <v>170.04</v>
      </c>
      <c r="K61" s="22">
        <f>IFERROR(__xludf.DUMMYFUNCTION("GOOGLEFINANCE(E61,""changepct"")"),-2.44)</f>
        <v>-2.44</v>
      </c>
      <c r="L61" s="24">
        <f>IFERROR(__xludf.DUMMYFUNCTION("googlefinance(E61,""price"")"),86.14)</f>
        <v>86.14</v>
      </c>
      <c r="M61" s="21"/>
      <c r="N61" s="24">
        <f t="shared" si="30"/>
        <v>-83.9</v>
      </c>
      <c r="O61" s="25">
        <f t="shared" si="31"/>
        <v>-0.4934133145</v>
      </c>
      <c r="P61" s="84">
        <f t="shared" si="32"/>
        <v>-125850</v>
      </c>
      <c r="Q61" s="47">
        <v>0.01</v>
      </c>
      <c r="R61" s="20">
        <v>600.0</v>
      </c>
      <c r="S61" s="31"/>
      <c r="T61" s="29"/>
      <c r="U61" s="29"/>
      <c r="V61" s="15"/>
      <c r="W61" s="313"/>
      <c r="X61" s="37"/>
      <c r="Y61" s="27"/>
      <c r="Z61" s="15"/>
      <c r="AA61" s="41"/>
      <c r="AB61" s="21"/>
      <c r="AC61" s="20"/>
    </row>
    <row r="62">
      <c r="A62" s="38"/>
      <c r="B62" s="32"/>
      <c r="C62" s="14">
        <f>I62/E116</f>
        <v>0.007584799805</v>
      </c>
      <c r="D62" s="76" t="s">
        <v>147</v>
      </c>
      <c r="E62" s="15" t="s">
        <v>148</v>
      </c>
      <c r="F62" s="17">
        <v>7.9</v>
      </c>
      <c r="G62" s="18">
        <v>1500.0</v>
      </c>
      <c r="H62" s="19">
        <f t="shared" si="28"/>
        <v>181035</v>
      </c>
      <c r="I62" s="19">
        <f t="shared" si="29"/>
        <v>129210</v>
      </c>
      <c r="J62" s="21">
        <v>120.69</v>
      </c>
      <c r="K62" s="22">
        <f>IFERROR(__xludf.DUMMYFUNCTION("GOOGLEFINANCE(E62,""changepct"")"),-2.44)</f>
        <v>-2.44</v>
      </c>
      <c r="L62" s="24">
        <f>IFERROR(__xludf.DUMMYFUNCTION("googlefinance(E62,""price"")"),86.14)</f>
        <v>86.14</v>
      </c>
      <c r="M62" s="24"/>
      <c r="N62" s="24">
        <f t="shared" si="30"/>
        <v>-34.55</v>
      </c>
      <c r="O62" s="25">
        <f t="shared" si="31"/>
        <v>-0.2862706107</v>
      </c>
      <c r="P62" s="84">
        <f t="shared" si="32"/>
        <v>-51825</v>
      </c>
      <c r="Q62" s="47">
        <v>0.01</v>
      </c>
      <c r="R62" s="20">
        <v>600.0</v>
      </c>
      <c r="S62" s="37"/>
      <c r="T62" s="27"/>
      <c r="U62" s="27"/>
      <c r="V62" s="15"/>
      <c r="W62" s="313"/>
      <c r="X62" s="37"/>
      <c r="Y62" s="27"/>
      <c r="Z62" s="15" t="s">
        <v>148</v>
      </c>
      <c r="AA62" s="41">
        <v>45236.0</v>
      </c>
      <c r="AB62" s="21">
        <v>120.69</v>
      </c>
      <c r="AC62" s="20">
        <v>181035.0</v>
      </c>
    </row>
    <row r="63">
      <c r="A63" s="38"/>
      <c r="B63" s="32"/>
      <c r="C63" s="14">
        <f>I63/E116</f>
        <v>0.01226505744</v>
      </c>
      <c r="D63" s="15" t="s">
        <v>356</v>
      </c>
      <c r="E63" s="15" t="s">
        <v>122</v>
      </c>
      <c r="F63" s="17">
        <v>8.0</v>
      </c>
      <c r="G63" s="18">
        <v>1000.0</v>
      </c>
      <c r="H63" s="19">
        <f t="shared" si="28"/>
        <v>179310</v>
      </c>
      <c r="I63" s="19">
        <f t="shared" si="29"/>
        <v>208940</v>
      </c>
      <c r="J63" s="21">
        <v>179.31</v>
      </c>
      <c r="K63" s="22">
        <f>IFERROR(__xludf.DUMMYFUNCTION("GOOGLEFINANCE(E63,""changepct"")"),-1.62)</f>
        <v>-1.62</v>
      </c>
      <c r="L63" s="24">
        <f>IFERROR(__xludf.DUMMYFUNCTION("googlefinance(E63,""price"")"),208.94)</f>
        <v>208.94</v>
      </c>
      <c r="M63" s="24"/>
      <c r="N63" s="24">
        <f t="shared" si="30"/>
        <v>29.63</v>
      </c>
      <c r="O63" s="25">
        <f t="shared" si="31"/>
        <v>0.1652445485</v>
      </c>
      <c r="P63" s="84">
        <f t="shared" si="32"/>
        <v>29630</v>
      </c>
      <c r="Q63" s="47">
        <v>0.028</v>
      </c>
      <c r="R63" s="20">
        <v>1140.0</v>
      </c>
      <c r="S63" s="37"/>
      <c r="T63" s="27"/>
      <c r="U63" s="27"/>
      <c r="V63" s="15"/>
      <c r="W63" s="313"/>
      <c r="X63" s="37"/>
      <c r="Y63" s="27"/>
      <c r="Z63" s="15" t="s">
        <v>122</v>
      </c>
      <c r="AA63" s="41">
        <v>45208.0</v>
      </c>
      <c r="AB63" s="21">
        <v>179.31</v>
      </c>
      <c r="AC63" s="20">
        <v>179310.0</v>
      </c>
    </row>
    <row r="64">
      <c r="A64" s="38"/>
      <c r="B64" s="32"/>
      <c r="C64" s="14">
        <f>I64/E116</f>
        <v>0.02029070429</v>
      </c>
      <c r="D64" s="15" t="s">
        <v>401</v>
      </c>
      <c r="E64" s="15" t="s">
        <v>402</v>
      </c>
      <c r="F64" s="17">
        <v>8.1</v>
      </c>
      <c r="G64" s="18">
        <v>3000.0</v>
      </c>
      <c r="H64" s="19">
        <f t="shared" si="28"/>
        <v>218520</v>
      </c>
      <c r="I64" s="19">
        <f t="shared" si="29"/>
        <v>345660</v>
      </c>
      <c r="J64" s="21">
        <v>72.84</v>
      </c>
      <c r="K64" s="22">
        <f>IFERROR(__xludf.DUMMYFUNCTION("GOOGLEFINANCE(E64,""changepct"")"),-1.28)</f>
        <v>-1.28</v>
      </c>
      <c r="L64" s="24">
        <f>IFERROR(__xludf.DUMMYFUNCTION("googlefinance(E64,""price"")"),115.22)</f>
        <v>115.22</v>
      </c>
      <c r="M64" s="24"/>
      <c r="N64" s="24">
        <f t="shared" si="30"/>
        <v>42.38</v>
      </c>
      <c r="O64" s="25">
        <f t="shared" si="31"/>
        <v>0.5818231741</v>
      </c>
      <c r="P64" s="84">
        <f t="shared" si="32"/>
        <v>127140</v>
      </c>
      <c r="Q64" s="47">
        <v>0.034</v>
      </c>
      <c r="R64" s="20">
        <v>1770.0</v>
      </c>
      <c r="S64" s="37"/>
      <c r="T64" s="27"/>
      <c r="U64" s="27"/>
      <c r="V64" s="15"/>
      <c r="W64" s="313"/>
      <c r="X64" s="37"/>
      <c r="Y64" s="27"/>
      <c r="Z64" s="15" t="s">
        <v>402</v>
      </c>
      <c r="AA64" s="41">
        <v>45208.0</v>
      </c>
      <c r="AB64" s="21">
        <v>72.84</v>
      </c>
      <c r="AC64" s="20">
        <v>218520.0</v>
      </c>
    </row>
    <row r="65">
      <c r="A65" s="38"/>
      <c r="B65" s="32"/>
      <c r="C65" s="14">
        <f>I65/E116</f>
        <v>0.008553371872</v>
      </c>
      <c r="D65" s="15" t="s">
        <v>403</v>
      </c>
      <c r="E65" s="15" t="s">
        <v>404</v>
      </c>
      <c r="F65" s="17">
        <v>8.0</v>
      </c>
      <c r="G65" s="18">
        <v>1000.0</v>
      </c>
      <c r="H65" s="19">
        <f t="shared" si="28"/>
        <v>110220</v>
      </c>
      <c r="I65" s="19">
        <f t="shared" si="29"/>
        <v>145710</v>
      </c>
      <c r="J65" s="21">
        <v>110.22</v>
      </c>
      <c r="K65" s="22">
        <f>IFERROR(__xludf.DUMMYFUNCTION("GOOGLEFINANCE(E65,""changepct"")"),-1.29)</f>
        <v>-1.29</v>
      </c>
      <c r="L65" s="24">
        <f>IFERROR(__xludf.DUMMYFUNCTION("googlefinance(E65,""price"")"),145.71)</f>
        <v>145.71</v>
      </c>
      <c r="M65" s="21"/>
      <c r="N65" s="24">
        <f t="shared" si="30"/>
        <v>35.49</v>
      </c>
      <c r="O65" s="25">
        <f t="shared" si="31"/>
        <v>0.3219923789</v>
      </c>
      <c r="P65" s="84">
        <f t="shared" si="32"/>
        <v>35490</v>
      </c>
      <c r="Q65" s="47">
        <v>0.009</v>
      </c>
      <c r="R65" s="20"/>
      <c r="S65" s="37"/>
      <c r="T65" s="27"/>
      <c r="U65" s="27"/>
      <c r="V65" s="15"/>
      <c r="W65" s="15"/>
      <c r="X65" s="37"/>
      <c r="Y65" s="27"/>
      <c r="Z65" s="15" t="s">
        <v>404</v>
      </c>
      <c r="AA65" s="41">
        <v>45216.0</v>
      </c>
      <c r="AB65" s="21">
        <v>110.22</v>
      </c>
      <c r="AC65" s="20">
        <v>110220.0</v>
      </c>
    </row>
    <row r="66">
      <c r="A66" s="38"/>
      <c r="B66" s="32"/>
      <c r="C66" s="14">
        <f>I66/E116</f>
        <v>0</v>
      </c>
      <c r="D66" s="15" t="s">
        <v>452</v>
      </c>
      <c r="E66" s="15" t="s">
        <v>453</v>
      </c>
      <c r="F66" s="17">
        <v>7.7</v>
      </c>
      <c r="G66" s="18">
        <v>1800.0</v>
      </c>
      <c r="H66" s="19">
        <f t="shared" si="28"/>
        <v>159840</v>
      </c>
      <c r="I66" s="20">
        <v>0.0</v>
      </c>
      <c r="J66" s="21">
        <v>88.8</v>
      </c>
      <c r="K66" s="22">
        <f>IFERROR(__xludf.DUMMYFUNCTION("GOOGLEFINANCE(E66,""changepct"")"),-0.81)</f>
        <v>-0.81</v>
      </c>
      <c r="L66" s="24">
        <f>IFERROR(__xludf.DUMMYFUNCTION("googlefinance(E66,""price"")"),129.13)</f>
        <v>129.13</v>
      </c>
      <c r="M66" s="21">
        <v>93.49</v>
      </c>
      <c r="N66" s="24">
        <f t="shared" si="30"/>
        <v>40.33</v>
      </c>
      <c r="O66" s="25">
        <f t="shared" ref="O66:O68" si="33">M66/J66-1</f>
        <v>0.05281531532</v>
      </c>
      <c r="P66" s="84">
        <f t="shared" si="32"/>
        <v>8442</v>
      </c>
      <c r="Q66" s="47">
        <v>0.07</v>
      </c>
      <c r="R66" s="20"/>
      <c r="S66" s="37"/>
      <c r="T66" s="27"/>
      <c r="U66" s="27"/>
      <c r="V66" s="15" t="s">
        <v>453</v>
      </c>
      <c r="W66" s="36">
        <v>45236.0</v>
      </c>
      <c r="X66" s="37">
        <v>93.49</v>
      </c>
      <c r="Y66" s="27">
        <v>168282.0</v>
      </c>
      <c r="Z66" s="15" t="s">
        <v>453</v>
      </c>
      <c r="AA66" s="41">
        <v>45223.0</v>
      </c>
      <c r="AB66" s="21">
        <v>88.8</v>
      </c>
      <c r="AC66" s="20">
        <v>159840.0</v>
      </c>
    </row>
    <row r="67">
      <c r="A67" s="38"/>
      <c r="B67" s="32"/>
      <c r="C67" s="14">
        <f>I67/E116</f>
        <v>0</v>
      </c>
      <c r="D67" s="15" t="s">
        <v>454</v>
      </c>
      <c r="E67" s="16" t="s">
        <v>132</v>
      </c>
      <c r="F67" s="17">
        <v>7.6</v>
      </c>
      <c r="G67" s="18">
        <v>5000.0</v>
      </c>
      <c r="H67" s="19">
        <f t="shared" si="28"/>
        <v>178000</v>
      </c>
      <c r="I67" s="20">
        <v>0.0</v>
      </c>
      <c r="J67" s="21">
        <v>35.6</v>
      </c>
      <c r="K67" s="22">
        <f>IFERROR(__xludf.DUMMYFUNCTION("GOOGLEFINANCE(E67,""changepct"")"),0.54)</f>
        <v>0.54</v>
      </c>
      <c r="L67" s="24">
        <f>IFERROR(__xludf.DUMMYFUNCTION("googlefinance(E67,""price"")"),24.0)</f>
        <v>24</v>
      </c>
      <c r="M67" s="21">
        <v>36.78</v>
      </c>
      <c r="N67" s="24">
        <f t="shared" si="30"/>
        <v>-11.6</v>
      </c>
      <c r="O67" s="25">
        <f t="shared" si="33"/>
        <v>0.03314606742</v>
      </c>
      <c r="P67" s="84">
        <f t="shared" si="32"/>
        <v>5900</v>
      </c>
      <c r="Q67" s="47">
        <v>0.023</v>
      </c>
      <c r="R67" s="20"/>
      <c r="S67" s="37"/>
      <c r="T67" s="27"/>
      <c r="U67" s="27"/>
      <c r="V67" s="15" t="s">
        <v>132</v>
      </c>
      <c r="W67" s="36">
        <v>45211.0</v>
      </c>
      <c r="X67" s="37">
        <v>36.78</v>
      </c>
      <c r="Y67" s="27">
        <v>183900.0</v>
      </c>
      <c r="Z67" s="15"/>
      <c r="AA67" s="41"/>
      <c r="AB67" s="21"/>
      <c r="AC67" s="20"/>
    </row>
    <row r="68">
      <c r="A68" s="38"/>
      <c r="B68" s="32"/>
      <c r="C68" s="14">
        <f>I68/E116</f>
        <v>0</v>
      </c>
      <c r="D68" s="15" t="s">
        <v>454</v>
      </c>
      <c r="E68" s="16" t="s">
        <v>132</v>
      </c>
      <c r="F68" s="17">
        <v>7.6</v>
      </c>
      <c r="G68" s="18">
        <v>5000.0</v>
      </c>
      <c r="H68" s="19">
        <f t="shared" si="28"/>
        <v>178000</v>
      </c>
      <c r="I68" s="20">
        <v>0.0</v>
      </c>
      <c r="J68" s="21">
        <v>35.6</v>
      </c>
      <c r="K68" s="22">
        <f>IFERROR(__xludf.DUMMYFUNCTION("GOOGLEFINANCE(E68,""changepct"")"),0.54)</f>
        <v>0.54</v>
      </c>
      <c r="L68" s="24">
        <f>IFERROR(__xludf.DUMMYFUNCTION("googlefinance(E68,""price"")"),24.0)</f>
        <v>24</v>
      </c>
      <c r="M68" s="21">
        <v>34.24</v>
      </c>
      <c r="N68" s="24">
        <f t="shared" si="30"/>
        <v>-11.6</v>
      </c>
      <c r="O68" s="25">
        <f t="shared" si="33"/>
        <v>-0.03820224719</v>
      </c>
      <c r="P68" s="84">
        <f t="shared" si="32"/>
        <v>-6800</v>
      </c>
      <c r="Q68" s="47">
        <v>0.023</v>
      </c>
      <c r="R68" s="20"/>
      <c r="S68" s="37"/>
      <c r="T68" s="27">
        <v>7650.0</v>
      </c>
      <c r="U68" s="27"/>
      <c r="V68" s="15" t="s">
        <v>132</v>
      </c>
      <c r="W68" s="36">
        <v>45223.0</v>
      </c>
      <c r="X68" s="37">
        <v>34.24</v>
      </c>
      <c r="Y68" s="27">
        <v>171200.0</v>
      </c>
      <c r="Z68" s="15"/>
      <c r="AA68" s="41"/>
      <c r="AB68" s="21"/>
      <c r="AC68" s="20"/>
    </row>
    <row r="69">
      <c r="A69" s="48"/>
      <c r="B69" s="6"/>
      <c r="C69" s="6" t="s">
        <v>89</v>
      </c>
      <c r="D69" s="6"/>
      <c r="E69" s="6"/>
      <c r="F69" s="6"/>
      <c r="G69" s="69"/>
      <c r="H69" s="49">
        <f>SUM(H58:H68)</f>
        <v>2125695</v>
      </c>
      <c r="I69" s="263">
        <v>1706960.0</v>
      </c>
      <c r="J69" s="8"/>
      <c r="K69" s="8"/>
      <c r="L69" s="8"/>
      <c r="M69" s="10"/>
      <c r="N69" s="10"/>
      <c r="O69" s="51">
        <f>(P69+T69+U69+R69)/I69</f>
        <v>0.07048026902</v>
      </c>
      <c r="P69" s="263">
        <v>104647.0</v>
      </c>
      <c r="Q69" s="6"/>
      <c r="R69" s="49">
        <f>SUM(R58:R68)</f>
        <v>4510</v>
      </c>
      <c r="S69" s="10"/>
      <c r="T69" s="11">
        <f t="shared" ref="T69:U69" si="34">SUM(T58:T68)</f>
        <v>11150</v>
      </c>
      <c r="U69" s="11">
        <f t="shared" si="34"/>
        <v>0</v>
      </c>
      <c r="V69" s="6" t="s">
        <v>89</v>
      </c>
      <c r="W69" s="53"/>
      <c r="X69" s="54"/>
      <c r="Y69" s="49">
        <f>SUM(Y58:Y68)</f>
        <v>523382</v>
      </c>
      <c r="Z69" s="6" t="s">
        <v>89</v>
      </c>
      <c r="AA69" s="53"/>
      <c r="AB69" s="54"/>
      <c r="AC69" s="49">
        <f>SUM(AC58:AC68)</f>
        <v>1146435</v>
      </c>
    </row>
    <row r="70">
      <c r="A70" s="48"/>
      <c r="B70" s="5" t="s">
        <v>406</v>
      </c>
      <c r="C70" s="6" t="s">
        <v>2</v>
      </c>
      <c r="D70" s="5" t="s">
        <v>3</v>
      </c>
      <c r="E70" s="6" t="s">
        <v>4</v>
      </c>
      <c r="F70" s="6" t="s">
        <v>5</v>
      </c>
      <c r="G70" s="6" t="s">
        <v>6</v>
      </c>
      <c r="H70" s="6" t="s">
        <v>7</v>
      </c>
      <c r="I70" s="308" t="s">
        <v>436</v>
      </c>
      <c r="J70" s="7" t="s">
        <v>9</v>
      </c>
      <c r="K70" s="8" t="s">
        <v>10</v>
      </c>
      <c r="L70" s="8" t="s">
        <v>11</v>
      </c>
      <c r="M70" s="9" t="s">
        <v>12</v>
      </c>
      <c r="N70" s="10" t="s">
        <v>13</v>
      </c>
      <c r="O70" s="6" t="s">
        <v>14</v>
      </c>
      <c r="P70" s="10" t="s">
        <v>15</v>
      </c>
      <c r="Q70" s="6" t="s">
        <v>16</v>
      </c>
      <c r="R70" s="6" t="s">
        <v>17</v>
      </c>
      <c r="S70" s="9" t="s">
        <v>18</v>
      </c>
      <c r="T70" s="5" t="s">
        <v>19</v>
      </c>
      <c r="U70" s="5" t="s">
        <v>91</v>
      </c>
      <c r="V70" s="6" t="s">
        <v>21</v>
      </c>
      <c r="W70" s="6" t="s">
        <v>22</v>
      </c>
      <c r="X70" s="12" t="s">
        <v>23</v>
      </c>
      <c r="Y70" s="12" t="s">
        <v>24</v>
      </c>
      <c r="Z70" s="6" t="s">
        <v>25</v>
      </c>
      <c r="AA70" s="6" t="s">
        <v>26</v>
      </c>
      <c r="AB70" s="6" t="s">
        <v>27</v>
      </c>
      <c r="AC70" s="6" t="s">
        <v>28</v>
      </c>
    </row>
    <row r="71">
      <c r="A71" s="56" t="s">
        <v>29</v>
      </c>
      <c r="B71" s="265">
        <f>I77/E116</f>
        <v>0.03703291272</v>
      </c>
      <c r="C71" s="58">
        <f>I71/E116</f>
        <v>0.00880520061</v>
      </c>
      <c r="D71" s="42" t="s">
        <v>381</v>
      </c>
      <c r="E71" s="42" t="s">
        <v>382</v>
      </c>
      <c r="F71" s="42">
        <v>7.7</v>
      </c>
      <c r="G71" s="60">
        <v>2500.0</v>
      </c>
      <c r="H71" s="72">
        <f t="shared" ref="H71:H76" si="35">G71*J71</f>
        <v>146150</v>
      </c>
      <c r="I71" s="73">
        <f>H71+P71</f>
        <v>150000</v>
      </c>
      <c r="J71" s="74">
        <v>58.46</v>
      </c>
      <c r="K71" s="266">
        <f>IFERROR(__xludf.DUMMYFUNCTION("GOOGLEFINANCE(E71,""changepct"")"),-1.65)</f>
        <v>-1.65</v>
      </c>
      <c r="L71" s="75">
        <f>IFERROR(__xludf.DUMMYFUNCTION("googlefinance(E71,""price"")"),85.43)</f>
        <v>85.43</v>
      </c>
      <c r="M71" s="61">
        <v>60.0</v>
      </c>
      <c r="N71" s="75">
        <f t="shared" ref="N71:N76" si="36">L71-J71</f>
        <v>26.97</v>
      </c>
      <c r="O71" s="267">
        <f t="shared" ref="O71:O72" si="37">M71/J71-1</f>
        <v>0.02634279849</v>
      </c>
      <c r="P71" s="73">
        <f t="shared" ref="P71:P76" si="38">H71*O71</f>
        <v>3850</v>
      </c>
      <c r="Q71" s="58"/>
      <c r="R71" s="72"/>
      <c r="S71" s="268" t="s">
        <v>455</v>
      </c>
      <c r="T71" s="269">
        <v>10000.0</v>
      </c>
      <c r="U71" s="270"/>
      <c r="V71" s="42"/>
      <c r="W71" s="67"/>
      <c r="X71" s="39"/>
      <c r="Y71" s="66"/>
      <c r="Z71" s="42"/>
      <c r="AA71" s="67"/>
      <c r="AB71" s="39"/>
      <c r="AC71" s="66"/>
    </row>
    <row r="72">
      <c r="A72" s="63"/>
      <c r="B72" s="45"/>
      <c r="C72" s="58">
        <f>I72/E116</f>
        <v>0</v>
      </c>
      <c r="D72" s="42" t="s">
        <v>381</v>
      </c>
      <c r="E72" s="42" t="s">
        <v>382</v>
      </c>
      <c r="F72" s="42">
        <v>7.7</v>
      </c>
      <c r="G72" s="60">
        <v>2500.0</v>
      </c>
      <c r="H72" s="72">
        <f t="shared" si="35"/>
        <v>146150</v>
      </c>
      <c r="I72" s="79">
        <v>0.0</v>
      </c>
      <c r="J72" s="74">
        <v>58.46</v>
      </c>
      <c r="K72" s="266">
        <f>IFERROR(__xludf.DUMMYFUNCTION("GOOGLEFINANCE(E72,""changepct"")"),-1.65)</f>
        <v>-1.65</v>
      </c>
      <c r="L72" s="75">
        <f>IFERROR(__xludf.DUMMYFUNCTION("googlefinance(E72,""price"")"),85.43)</f>
        <v>85.43</v>
      </c>
      <c r="M72" s="61">
        <v>63.39</v>
      </c>
      <c r="N72" s="75">
        <f t="shared" si="36"/>
        <v>26.97</v>
      </c>
      <c r="O72" s="267">
        <f t="shared" si="37"/>
        <v>0.08433116661</v>
      </c>
      <c r="P72" s="73">
        <f t="shared" si="38"/>
        <v>12325</v>
      </c>
      <c r="Q72" s="62"/>
      <c r="R72" s="66"/>
      <c r="S72" s="271"/>
      <c r="T72" s="269"/>
      <c r="U72" s="270"/>
      <c r="V72" s="42" t="s">
        <v>382</v>
      </c>
      <c r="W72" s="272">
        <v>45280.0</v>
      </c>
      <c r="X72" s="39">
        <v>63.39</v>
      </c>
      <c r="Y72" s="66">
        <v>158475.0</v>
      </c>
      <c r="Z72" s="42"/>
      <c r="AA72" s="67"/>
      <c r="AB72" s="39"/>
      <c r="AC72" s="66"/>
    </row>
    <row r="73">
      <c r="A73" s="63"/>
      <c r="B73" s="45"/>
      <c r="C73" s="58">
        <f>I73/E116</f>
        <v>0.01504456576</v>
      </c>
      <c r="D73" s="42" t="s">
        <v>381</v>
      </c>
      <c r="E73" s="42" t="s">
        <v>382</v>
      </c>
      <c r="F73" s="42">
        <v>7.7</v>
      </c>
      <c r="G73" s="60">
        <v>3000.0</v>
      </c>
      <c r="H73" s="72">
        <f t="shared" si="35"/>
        <v>175380</v>
      </c>
      <c r="I73" s="73">
        <f t="shared" ref="I73:I75" si="39">H73+P73</f>
        <v>256290</v>
      </c>
      <c r="J73" s="74">
        <v>58.46</v>
      </c>
      <c r="K73" s="266">
        <f>IFERROR(__xludf.DUMMYFUNCTION("GOOGLEFINANCE(E73,""changepct"")"),-1.65)</f>
        <v>-1.65</v>
      </c>
      <c r="L73" s="75">
        <f>IFERROR(__xludf.DUMMYFUNCTION("googlefinance(E73,""price"")"),85.43)</f>
        <v>85.43</v>
      </c>
      <c r="M73" s="61"/>
      <c r="N73" s="75">
        <f t="shared" si="36"/>
        <v>26.97</v>
      </c>
      <c r="O73" s="267">
        <f t="shared" ref="O73:O75" si="40">L73/J73-1</f>
        <v>0.4613410879</v>
      </c>
      <c r="P73" s="73">
        <f t="shared" si="38"/>
        <v>80910</v>
      </c>
      <c r="Q73" s="62"/>
      <c r="R73" s="66"/>
      <c r="S73" s="271"/>
      <c r="T73" s="269"/>
      <c r="U73" s="270"/>
      <c r="V73" s="42"/>
      <c r="W73" s="272"/>
      <c r="X73" s="39"/>
      <c r="Y73" s="66"/>
      <c r="Z73" s="42"/>
      <c r="AA73" s="67"/>
      <c r="AB73" s="39"/>
      <c r="AC73" s="66"/>
    </row>
    <row r="74">
      <c r="A74" s="63"/>
      <c r="B74" s="45"/>
      <c r="C74" s="58">
        <f>I74/E116</f>
        <v>0.007730966135</v>
      </c>
      <c r="D74" s="42" t="s">
        <v>407</v>
      </c>
      <c r="E74" s="42" t="s">
        <v>408</v>
      </c>
      <c r="F74" s="42">
        <v>8.0</v>
      </c>
      <c r="G74" s="60">
        <v>1500.0</v>
      </c>
      <c r="H74" s="72">
        <f t="shared" si="35"/>
        <v>134625</v>
      </c>
      <c r="I74" s="73">
        <f t="shared" si="39"/>
        <v>131700</v>
      </c>
      <c r="J74" s="74">
        <v>89.75</v>
      </c>
      <c r="K74" s="266">
        <f>IFERROR(__xludf.DUMMYFUNCTION("GOOGLEFINANCE(E74,""changepct"")"),0.8)</f>
        <v>0.8</v>
      </c>
      <c r="L74" s="75">
        <f>IFERROR(__xludf.DUMMYFUNCTION("googlefinance(E74,""price"")"),87.8)</f>
        <v>87.8</v>
      </c>
      <c r="M74" s="61"/>
      <c r="N74" s="75">
        <f t="shared" si="36"/>
        <v>-1.95</v>
      </c>
      <c r="O74" s="267">
        <f t="shared" si="40"/>
        <v>-0.0217270195</v>
      </c>
      <c r="P74" s="73">
        <f t="shared" si="38"/>
        <v>-2925</v>
      </c>
      <c r="Q74" s="62">
        <v>0.034</v>
      </c>
      <c r="R74" s="66">
        <v>900.0</v>
      </c>
      <c r="S74" s="271"/>
      <c r="T74" s="269"/>
      <c r="U74" s="270"/>
      <c r="V74" s="42"/>
      <c r="W74" s="272"/>
      <c r="X74" s="39"/>
      <c r="Y74" s="66"/>
      <c r="Z74" s="42" t="s">
        <v>408</v>
      </c>
      <c r="AA74" s="67">
        <v>45244.0</v>
      </c>
      <c r="AB74" s="39">
        <v>89.75</v>
      </c>
      <c r="AC74" s="66">
        <v>134625.0</v>
      </c>
    </row>
    <row r="75">
      <c r="A75" s="63"/>
      <c r="B75" s="45"/>
      <c r="C75" s="58">
        <f>I75/E116</f>
        <v>0.007730966135</v>
      </c>
      <c r="D75" s="42" t="s">
        <v>407</v>
      </c>
      <c r="E75" s="42" t="s">
        <v>408</v>
      </c>
      <c r="F75" s="42">
        <v>8.0</v>
      </c>
      <c r="G75" s="60">
        <v>1500.0</v>
      </c>
      <c r="H75" s="72">
        <f t="shared" si="35"/>
        <v>127785</v>
      </c>
      <c r="I75" s="73">
        <f t="shared" si="39"/>
        <v>131700</v>
      </c>
      <c r="J75" s="74">
        <v>85.19</v>
      </c>
      <c r="K75" s="266">
        <f>IFERROR(__xludf.DUMMYFUNCTION("GOOGLEFINANCE(E75,""changepct"")"),0.8)</f>
        <v>0.8</v>
      </c>
      <c r="L75" s="75">
        <f>IFERROR(__xludf.DUMMYFUNCTION("googlefinance(E75,""price"")"),87.8)</f>
        <v>87.8</v>
      </c>
      <c r="M75" s="61"/>
      <c r="N75" s="75">
        <f t="shared" si="36"/>
        <v>2.61</v>
      </c>
      <c r="O75" s="267">
        <f t="shared" si="40"/>
        <v>0.03063739876</v>
      </c>
      <c r="P75" s="73">
        <f t="shared" si="38"/>
        <v>3915</v>
      </c>
      <c r="Q75" s="62">
        <v>0.034</v>
      </c>
      <c r="R75" s="66">
        <v>1320.0</v>
      </c>
      <c r="S75" s="271"/>
      <c r="T75" s="269"/>
      <c r="U75" s="270"/>
      <c r="V75" s="42"/>
      <c r="W75" s="272"/>
      <c r="X75" s="39"/>
      <c r="Y75" s="66"/>
      <c r="Z75" s="42" t="s">
        <v>408</v>
      </c>
      <c r="AA75" s="67">
        <v>45205.0</v>
      </c>
      <c r="AB75" s="39">
        <v>85.19</v>
      </c>
      <c r="AC75" s="66">
        <v>127785.0</v>
      </c>
    </row>
    <row r="76">
      <c r="A76" s="63"/>
      <c r="B76" s="45"/>
      <c r="C76" s="58">
        <f>I76/E116</f>
        <v>0</v>
      </c>
      <c r="D76" s="42" t="s">
        <v>456</v>
      </c>
      <c r="E76" s="42" t="s">
        <v>457</v>
      </c>
      <c r="F76" s="42">
        <v>7.5</v>
      </c>
      <c r="G76" s="60">
        <v>25000.0</v>
      </c>
      <c r="H76" s="72">
        <f t="shared" si="35"/>
        <v>269000</v>
      </c>
      <c r="I76" s="79">
        <v>0.0</v>
      </c>
      <c r="J76" s="74">
        <v>10.76</v>
      </c>
      <c r="K76" s="266">
        <f>IFERROR(__xludf.DUMMYFUNCTION("GOOGLEFINANCE(E76,""changepct"")"),-0.52)</f>
        <v>-0.52</v>
      </c>
      <c r="L76" s="75">
        <f>IFERROR(__xludf.DUMMYFUNCTION("googlefinance(E76,""price"")"),17.11)</f>
        <v>17.11</v>
      </c>
      <c r="M76" s="61">
        <v>10.07</v>
      </c>
      <c r="N76" s="75">
        <f t="shared" si="36"/>
        <v>6.35</v>
      </c>
      <c r="O76" s="267">
        <f>M76/J76-1</f>
        <v>-0.06412639405</v>
      </c>
      <c r="P76" s="73">
        <f t="shared" si="38"/>
        <v>-17250</v>
      </c>
      <c r="Q76" s="62">
        <v>0.09</v>
      </c>
      <c r="R76" s="66"/>
      <c r="S76" s="271"/>
      <c r="T76" s="269">
        <v>-3750.0</v>
      </c>
      <c r="U76" s="270"/>
      <c r="V76" s="42" t="s">
        <v>457</v>
      </c>
      <c r="W76" s="272">
        <v>45203.0</v>
      </c>
      <c r="X76" s="39">
        <v>10.07</v>
      </c>
      <c r="Y76" s="66">
        <v>251750.0</v>
      </c>
      <c r="Z76" s="42"/>
      <c r="AA76" s="67"/>
      <c r="AB76" s="39"/>
      <c r="AC76" s="66"/>
    </row>
    <row r="77">
      <c r="A77" s="48"/>
      <c r="B77" s="6"/>
      <c r="C77" s="5" t="s">
        <v>89</v>
      </c>
      <c r="D77" s="6"/>
      <c r="E77" s="6"/>
      <c r="F77" s="6"/>
      <c r="G77" s="6"/>
      <c r="H77" s="11">
        <f>SUM(H71:H76)</f>
        <v>999090</v>
      </c>
      <c r="I77" s="273">
        <v>630870.0</v>
      </c>
      <c r="J77" s="7"/>
      <c r="K77" s="8"/>
      <c r="L77" s="8"/>
      <c r="M77" s="10"/>
      <c r="N77" s="10"/>
      <c r="O77" s="71">
        <f>(P77+T77+R77)/H77</f>
        <v>0.05052097409</v>
      </c>
      <c r="P77" s="273">
        <v>42005.0</v>
      </c>
      <c r="Q77" s="6"/>
      <c r="R77" s="11">
        <f>SUM(R71:R76)</f>
        <v>2220</v>
      </c>
      <c r="S77" s="10"/>
      <c r="T77" s="11">
        <f>SUM(T71:T76)</f>
        <v>6250</v>
      </c>
      <c r="U77" s="6"/>
      <c r="V77" s="5" t="s">
        <v>89</v>
      </c>
      <c r="W77" s="6"/>
      <c r="X77" s="12"/>
      <c r="Y77" s="192">
        <f>SUM(Y71:Y76)</f>
        <v>410225</v>
      </c>
      <c r="Z77" s="6"/>
      <c r="AA77" s="6"/>
      <c r="AB77" s="6"/>
      <c r="AC77" s="11">
        <f>SUM(AC71:AC76)</f>
        <v>262410</v>
      </c>
    </row>
    <row r="78">
      <c r="A78" s="55"/>
      <c r="B78" s="5" t="s">
        <v>312</v>
      </c>
      <c r="C78" s="6" t="s">
        <v>2</v>
      </c>
      <c r="D78" s="5" t="s">
        <v>3</v>
      </c>
      <c r="E78" s="6" t="s">
        <v>4</v>
      </c>
      <c r="F78" s="6" t="s">
        <v>5</v>
      </c>
      <c r="G78" s="6" t="s">
        <v>6</v>
      </c>
      <c r="H78" s="6" t="s">
        <v>7</v>
      </c>
      <c r="I78" s="308" t="s">
        <v>436</v>
      </c>
      <c r="J78" s="7" t="s">
        <v>9</v>
      </c>
      <c r="K78" s="8" t="s">
        <v>10</v>
      </c>
      <c r="L78" s="8" t="s">
        <v>11</v>
      </c>
      <c r="M78" s="9" t="s">
        <v>12</v>
      </c>
      <c r="N78" s="10" t="s">
        <v>13</v>
      </c>
      <c r="O78" s="6" t="s">
        <v>14</v>
      </c>
      <c r="P78" s="10" t="s">
        <v>15</v>
      </c>
      <c r="Q78" s="6" t="s">
        <v>16</v>
      </c>
      <c r="R78" s="6" t="s">
        <v>17</v>
      </c>
      <c r="S78" s="9" t="s">
        <v>18</v>
      </c>
      <c r="T78" s="5" t="s">
        <v>19</v>
      </c>
      <c r="U78" s="5" t="s">
        <v>91</v>
      </c>
      <c r="V78" s="6" t="s">
        <v>21</v>
      </c>
      <c r="W78" s="6" t="s">
        <v>22</v>
      </c>
      <c r="X78" s="12" t="s">
        <v>23</v>
      </c>
      <c r="Y78" s="12" t="s">
        <v>24</v>
      </c>
      <c r="Z78" s="6" t="s">
        <v>25</v>
      </c>
      <c r="AA78" s="6" t="s">
        <v>26</v>
      </c>
      <c r="AB78" s="6" t="s">
        <v>27</v>
      </c>
      <c r="AC78" s="6" t="s">
        <v>28</v>
      </c>
    </row>
    <row r="79">
      <c r="A79" s="314"/>
      <c r="B79" s="265">
        <f>I84/E116</f>
        <v>0.04853309173</v>
      </c>
      <c r="C79" s="58">
        <f>I79/E116</f>
        <v>0.00775444667</v>
      </c>
      <c r="D79" s="42" t="s">
        <v>313</v>
      </c>
      <c r="E79" s="42" t="s">
        <v>106</v>
      </c>
      <c r="F79" s="42">
        <v>8.0</v>
      </c>
      <c r="G79" s="60">
        <v>5000.0</v>
      </c>
      <c r="H79" s="72">
        <f t="shared" ref="H79:H83" si="41">G79*J79</f>
        <v>138950</v>
      </c>
      <c r="I79" s="73">
        <f t="shared" ref="I79:I83" si="42">H79+P79</f>
        <v>132100</v>
      </c>
      <c r="J79" s="74">
        <v>27.79</v>
      </c>
      <c r="K79" s="266">
        <f>IFERROR(__xludf.DUMMYFUNCTION("GOOGLEFINANCE(E79,""changepct"")"),-0.75)</f>
        <v>-0.75</v>
      </c>
      <c r="L79" s="75">
        <f>IFERROR(__xludf.DUMMYFUNCTION("googlefinance(E79,""price"")"),26.42)</f>
        <v>26.42</v>
      </c>
      <c r="M79" s="61"/>
      <c r="N79" s="75">
        <f t="shared" ref="N79:N83" si="43">L79-J79</f>
        <v>-1.37</v>
      </c>
      <c r="O79" s="267">
        <f t="shared" ref="O79:O83" si="44">L79/J79-1</f>
        <v>-0.04929830874</v>
      </c>
      <c r="P79" s="73">
        <f t="shared" ref="P79:P83" si="45">H79*O79</f>
        <v>-6850</v>
      </c>
      <c r="Q79" s="62">
        <v>0.06</v>
      </c>
      <c r="R79" s="72"/>
      <c r="S79" s="268"/>
      <c r="T79" s="269"/>
      <c r="U79" s="270"/>
      <c r="V79" s="42"/>
      <c r="W79" s="67"/>
      <c r="X79" s="39"/>
      <c r="Y79" s="66"/>
      <c r="Z79" s="42" t="s">
        <v>106</v>
      </c>
      <c r="AA79" s="67">
        <v>45280.0</v>
      </c>
      <c r="AB79" s="39">
        <v>27.79</v>
      </c>
      <c r="AC79" s="66">
        <v>138950.0</v>
      </c>
    </row>
    <row r="80">
      <c r="A80" s="78"/>
      <c r="B80" s="45"/>
      <c r="C80" s="58">
        <f>I80/E116</f>
        <v>0.00775444667</v>
      </c>
      <c r="D80" s="42" t="s">
        <v>313</v>
      </c>
      <c r="E80" s="42" t="s">
        <v>106</v>
      </c>
      <c r="F80" s="42">
        <v>8.0</v>
      </c>
      <c r="G80" s="60">
        <v>5000.0</v>
      </c>
      <c r="H80" s="72">
        <f t="shared" si="41"/>
        <v>141050</v>
      </c>
      <c r="I80" s="73">
        <f t="shared" si="42"/>
        <v>132100</v>
      </c>
      <c r="J80" s="74">
        <v>28.21</v>
      </c>
      <c r="K80" s="266">
        <f>IFERROR(__xludf.DUMMYFUNCTION("GOOGLEFINANCE(E80,""changepct"")"),-0.75)</f>
        <v>-0.75</v>
      </c>
      <c r="L80" s="75">
        <f>IFERROR(__xludf.DUMMYFUNCTION("googlefinance(E80,""price"")"),26.42)</f>
        <v>26.42</v>
      </c>
      <c r="M80" s="61"/>
      <c r="N80" s="75">
        <f t="shared" si="43"/>
        <v>-1.79</v>
      </c>
      <c r="O80" s="267">
        <f t="shared" si="44"/>
        <v>-0.06345267636</v>
      </c>
      <c r="P80" s="73">
        <f t="shared" si="45"/>
        <v>-8950</v>
      </c>
      <c r="Q80" s="62">
        <v>0.06</v>
      </c>
      <c r="R80" s="66"/>
      <c r="S80" s="271"/>
      <c r="T80" s="269"/>
      <c r="U80" s="270"/>
      <c r="V80" s="42"/>
      <c r="W80" s="272"/>
      <c r="X80" s="39"/>
      <c r="Y80" s="66"/>
      <c r="Z80" s="42" t="s">
        <v>106</v>
      </c>
      <c r="AA80" s="67">
        <v>45281.0</v>
      </c>
      <c r="AB80" s="39">
        <v>28.21</v>
      </c>
      <c r="AC80" s="66">
        <v>141050.0</v>
      </c>
    </row>
    <row r="81">
      <c r="A81" s="78"/>
      <c r="B81" s="45"/>
      <c r="C81" s="58">
        <f>I81/E116</f>
        <v>0.007610628394</v>
      </c>
      <c r="D81" s="42" t="s">
        <v>103</v>
      </c>
      <c r="E81" s="42" t="s">
        <v>104</v>
      </c>
      <c r="F81" s="42">
        <v>7.9</v>
      </c>
      <c r="G81" s="60">
        <v>500.0</v>
      </c>
      <c r="H81" s="72">
        <f t="shared" si="41"/>
        <v>137755</v>
      </c>
      <c r="I81" s="73">
        <f t="shared" si="42"/>
        <v>129650</v>
      </c>
      <c r="J81" s="74">
        <v>275.51</v>
      </c>
      <c r="K81" s="266">
        <f>IFERROR(__xludf.DUMMYFUNCTION("GOOGLEFINANCE(E81,""changepct"")"),-1.28)</f>
        <v>-1.28</v>
      </c>
      <c r="L81" s="75">
        <f>IFERROR(__xludf.DUMMYFUNCTION("googlefinance(E81,""price"")"),259.3)</f>
        <v>259.3</v>
      </c>
      <c r="M81" s="61"/>
      <c r="N81" s="75">
        <f t="shared" si="43"/>
        <v>-16.21</v>
      </c>
      <c r="O81" s="267">
        <f t="shared" si="44"/>
        <v>-0.05883633988</v>
      </c>
      <c r="P81" s="73">
        <f t="shared" si="45"/>
        <v>-8105</v>
      </c>
      <c r="Q81" s="62">
        <v>0.0325</v>
      </c>
      <c r="R81" s="66"/>
      <c r="S81" s="271"/>
      <c r="T81" s="269"/>
      <c r="U81" s="270"/>
      <c r="V81" s="42"/>
      <c r="W81" s="272"/>
      <c r="X81" s="39"/>
      <c r="Y81" s="66"/>
      <c r="Z81" s="42" t="s">
        <v>104</v>
      </c>
      <c r="AA81" s="67">
        <v>45280.0</v>
      </c>
      <c r="AB81" s="39">
        <v>275.51</v>
      </c>
      <c r="AC81" s="66">
        <v>137755.0</v>
      </c>
    </row>
    <row r="82">
      <c r="A82" s="78"/>
      <c r="B82" s="45"/>
      <c r="C82" s="58">
        <f>I82/E116</f>
        <v>0.01034317565</v>
      </c>
      <c r="D82" s="42" t="s">
        <v>111</v>
      </c>
      <c r="E82" s="42" t="s">
        <v>112</v>
      </c>
      <c r="F82" s="42">
        <v>7.8</v>
      </c>
      <c r="G82" s="60">
        <v>1000.0</v>
      </c>
      <c r="H82" s="72">
        <f t="shared" si="41"/>
        <v>151850</v>
      </c>
      <c r="I82" s="73">
        <f t="shared" si="42"/>
        <v>176200</v>
      </c>
      <c r="J82" s="74">
        <v>151.85</v>
      </c>
      <c r="K82" s="266">
        <f>IFERROR(__xludf.DUMMYFUNCTION("GOOGLEFINANCE(E82,""changepct"")"),-1.02)</f>
        <v>-1.02</v>
      </c>
      <c r="L82" s="75">
        <f>IFERROR(__xludf.DUMMYFUNCTION("googlefinance(E82,""price"")"),176.2)</f>
        <v>176.2</v>
      </c>
      <c r="M82" s="61"/>
      <c r="N82" s="75">
        <f t="shared" si="43"/>
        <v>24.35</v>
      </c>
      <c r="O82" s="267">
        <f t="shared" si="44"/>
        <v>0.1603556141</v>
      </c>
      <c r="P82" s="73">
        <f t="shared" si="45"/>
        <v>24350</v>
      </c>
      <c r="Q82" s="62">
        <v>0.04</v>
      </c>
      <c r="R82" s="66"/>
      <c r="S82" s="271"/>
      <c r="T82" s="269"/>
      <c r="U82" s="270"/>
      <c r="V82" s="42"/>
      <c r="W82" s="272"/>
      <c r="X82" s="39"/>
      <c r="Y82" s="66"/>
      <c r="Z82" s="42" t="s">
        <v>112</v>
      </c>
      <c r="AA82" s="67">
        <v>45281.0</v>
      </c>
      <c r="AB82" s="39">
        <v>151.85</v>
      </c>
      <c r="AC82" s="66">
        <v>151850.0</v>
      </c>
    </row>
    <row r="83">
      <c r="A83" s="78"/>
      <c r="B83" s="45"/>
      <c r="C83" s="58">
        <f>I83/E116</f>
        <v>0.0197823507</v>
      </c>
      <c r="D83" s="42" t="s">
        <v>318</v>
      </c>
      <c r="E83" s="42" t="s">
        <v>319</v>
      </c>
      <c r="F83" s="42">
        <v>7.8</v>
      </c>
      <c r="G83" s="60">
        <v>10000.0</v>
      </c>
      <c r="H83" s="72">
        <f t="shared" si="41"/>
        <v>236200</v>
      </c>
      <c r="I83" s="73">
        <f t="shared" si="42"/>
        <v>337000</v>
      </c>
      <c r="J83" s="74">
        <v>23.62</v>
      </c>
      <c r="K83" s="266">
        <f>IFERROR(__xludf.DUMMYFUNCTION("GOOGLEFINANCE(E83,""changepct"")"),-0.33)</f>
        <v>-0.33</v>
      </c>
      <c r="L83" s="75">
        <f>IFERROR(__xludf.DUMMYFUNCTION("googlefinance(E83,""price"")"),33.7)</f>
        <v>33.7</v>
      </c>
      <c r="M83" s="61"/>
      <c r="N83" s="75">
        <f t="shared" si="43"/>
        <v>10.08</v>
      </c>
      <c r="O83" s="267">
        <f t="shared" si="44"/>
        <v>0.4267569856</v>
      </c>
      <c r="P83" s="73">
        <f t="shared" si="45"/>
        <v>100800</v>
      </c>
      <c r="Q83" s="62"/>
      <c r="R83" s="66"/>
      <c r="S83" s="271"/>
      <c r="T83" s="269"/>
      <c r="U83" s="270"/>
      <c r="V83" s="42"/>
      <c r="W83" s="272"/>
      <c r="X83" s="39"/>
      <c r="Y83" s="66"/>
      <c r="Z83" s="42" t="s">
        <v>319</v>
      </c>
      <c r="AA83" s="67">
        <v>45280.0</v>
      </c>
      <c r="AB83" s="39">
        <v>23.62</v>
      </c>
      <c r="AC83" s="66">
        <v>236200.0</v>
      </c>
    </row>
    <row r="84">
      <c r="A84" s="55"/>
      <c r="B84" s="6"/>
      <c r="C84" s="6"/>
      <c r="D84" s="6"/>
      <c r="E84" s="6"/>
      <c r="F84" s="6"/>
      <c r="G84" s="6"/>
      <c r="H84" s="11">
        <f>SUM(H79:H83)</f>
        <v>805805</v>
      </c>
      <c r="I84" s="273">
        <v>826780.0</v>
      </c>
      <c r="J84" s="7"/>
      <c r="K84" s="8"/>
      <c r="L84" s="8"/>
      <c r="M84" s="9"/>
      <c r="N84" s="10"/>
      <c r="O84" s="71">
        <f>P84/I84</f>
        <v>0.02536950579</v>
      </c>
      <c r="P84" s="273">
        <v>20975.0</v>
      </c>
      <c r="Q84" s="6"/>
      <c r="R84" s="6"/>
      <c r="S84" s="9"/>
      <c r="T84" s="5"/>
      <c r="U84" s="5"/>
      <c r="V84" s="5" t="s">
        <v>89</v>
      </c>
      <c r="W84" s="6"/>
      <c r="X84" s="12"/>
      <c r="Y84" s="12"/>
      <c r="Z84" s="6"/>
      <c r="AA84" s="6"/>
      <c r="AB84" s="6"/>
      <c r="AC84" s="11">
        <f>SUM(AC79:AC83)</f>
        <v>805805</v>
      </c>
    </row>
    <row r="85">
      <c r="A85" s="55"/>
      <c r="B85" s="6" t="s">
        <v>409</v>
      </c>
      <c r="C85" s="6" t="s">
        <v>2</v>
      </c>
      <c r="D85" s="6" t="s">
        <v>150</v>
      </c>
      <c r="E85" s="6" t="s">
        <v>4</v>
      </c>
      <c r="F85" s="6" t="s">
        <v>5</v>
      </c>
      <c r="G85" s="6" t="s">
        <v>6</v>
      </c>
      <c r="H85" s="6" t="s">
        <v>7</v>
      </c>
      <c r="I85" s="308" t="s">
        <v>436</v>
      </c>
      <c r="J85" s="7" t="s">
        <v>9</v>
      </c>
      <c r="K85" s="8" t="s">
        <v>10</v>
      </c>
      <c r="L85" s="8" t="s">
        <v>11</v>
      </c>
      <c r="M85" s="9" t="s">
        <v>12</v>
      </c>
      <c r="N85" s="10" t="s">
        <v>13</v>
      </c>
      <c r="O85" s="6" t="s">
        <v>14</v>
      </c>
      <c r="P85" s="10" t="s">
        <v>15</v>
      </c>
      <c r="Q85" s="6" t="s">
        <v>16</v>
      </c>
      <c r="R85" s="6" t="s">
        <v>17</v>
      </c>
      <c r="S85" s="9" t="s">
        <v>128</v>
      </c>
      <c r="T85" s="5" t="s">
        <v>19</v>
      </c>
      <c r="U85" s="5" t="s">
        <v>91</v>
      </c>
      <c r="V85" s="6" t="s">
        <v>21</v>
      </c>
      <c r="W85" s="6" t="s">
        <v>22</v>
      </c>
      <c r="X85" s="12" t="s">
        <v>23</v>
      </c>
      <c r="Y85" s="12" t="s">
        <v>24</v>
      </c>
      <c r="Z85" s="6" t="s">
        <v>25</v>
      </c>
      <c r="AA85" s="6" t="s">
        <v>26</v>
      </c>
      <c r="AB85" s="6" t="s">
        <v>27</v>
      </c>
      <c r="AC85" s="6" t="s">
        <v>28</v>
      </c>
    </row>
    <row r="86">
      <c r="A86" s="56" t="s">
        <v>29</v>
      </c>
      <c r="B86" s="57">
        <f>I97/E116</f>
        <v>0.1668967074</v>
      </c>
      <c r="C86" s="14">
        <f>I86/E116</f>
        <v>0.03026053943</v>
      </c>
      <c r="D86" s="16" t="s">
        <v>151</v>
      </c>
      <c r="E86" s="16" t="s">
        <v>152</v>
      </c>
      <c r="F86" s="17">
        <v>9.0</v>
      </c>
      <c r="G86" s="85">
        <v>250.0</v>
      </c>
      <c r="H86" s="19">
        <f t="shared" ref="H86:H96" si="46">G86*J86</f>
        <v>462500</v>
      </c>
      <c r="I86" s="19">
        <f t="shared" ref="I86:I90" si="47">H86+P86</f>
        <v>515500</v>
      </c>
      <c r="J86" s="21">
        <v>1850.0</v>
      </c>
      <c r="K86" s="86"/>
      <c r="L86" s="87">
        <v>2062.0</v>
      </c>
      <c r="M86" s="88"/>
      <c r="N86" s="88">
        <f t="shared" ref="N86:N96" si="48">L86-J86</f>
        <v>212</v>
      </c>
      <c r="O86" s="25">
        <f t="shared" ref="O86:O90" si="49">L86/J86-1</f>
        <v>0.1145945946</v>
      </c>
      <c r="P86" s="84">
        <f t="shared" ref="P86:P96" si="50">H86*O86</f>
        <v>53000</v>
      </c>
      <c r="Q86" s="34"/>
      <c r="R86" s="29"/>
      <c r="S86" s="37"/>
      <c r="T86" s="16"/>
      <c r="U86" s="16"/>
      <c r="V86" s="16"/>
      <c r="W86" s="32"/>
      <c r="X86" s="31"/>
      <c r="Y86" s="29"/>
      <c r="Z86" s="16"/>
      <c r="AA86" s="32"/>
      <c r="AB86" s="31"/>
      <c r="AC86" s="29"/>
    </row>
    <row r="87">
      <c r="A87" s="89" t="s">
        <v>153</v>
      </c>
      <c r="B87" s="90">
        <f>I86+I87</f>
        <v>753500</v>
      </c>
      <c r="C87" s="14">
        <f>I87/E116</f>
        <v>0.0139709183</v>
      </c>
      <c r="D87" s="16" t="s">
        <v>154</v>
      </c>
      <c r="E87" s="16" t="s">
        <v>155</v>
      </c>
      <c r="F87" s="17">
        <v>8.8</v>
      </c>
      <c r="G87" s="85">
        <v>10000.0</v>
      </c>
      <c r="H87" s="19">
        <f t="shared" si="46"/>
        <v>222000</v>
      </c>
      <c r="I87" s="19">
        <f t="shared" si="47"/>
        <v>238000</v>
      </c>
      <c r="J87" s="21">
        <v>22.2</v>
      </c>
      <c r="K87" s="86"/>
      <c r="L87" s="91">
        <v>23.8</v>
      </c>
      <c r="M87" s="24"/>
      <c r="N87" s="24">
        <f t="shared" si="48"/>
        <v>1.6</v>
      </c>
      <c r="O87" s="25">
        <f t="shared" si="49"/>
        <v>0.07207207207</v>
      </c>
      <c r="P87" s="19">
        <f t="shared" si="50"/>
        <v>16000</v>
      </c>
      <c r="Q87" s="34"/>
      <c r="R87" s="29"/>
      <c r="S87" s="37"/>
      <c r="T87" s="16"/>
      <c r="U87" s="16"/>
      <c r="V87" s="16"/>
      <c r="W87" s="32"/>
      <c r="X87" s="31"/>
      <c r="Y87" s="29"/>
      <c r="Z87" s="16"/>
      <c r="AA87" s="32"/>
      <c r="AB87" s="31"/>
      <c r="AC87" s="29"/>
    </row>
    <row r="88">
      <c r="A88" s="89" t="s">
        <v>156</v>
      </c>
      <c r="B88" s="92">
        <f>B87/E116</f>
        <v>0.04423145773</v>
      </c>
      <c r="C88" s="14">
        <f>I88/E116</f>
        <v>0.01982344164</v>
      </c>
      <c r="D88" s="15" t="s">
        <v>157</v>
      </c>
      <c r="E88" s="16" t="s">
        <v>158</v>
      </c>
      <c r="F88" s="17">
        <v>8.2</v>
      </c>
      <c r="G88" s="18">
        <v>10000.0</v>
      </c>
      <c r="H88" s="19">
        <f t="shared" si="46"/>
        <v>269100</v>
      </c>
      <c r="I88" s="19">
        <f t="shared" si="47"/>
        <v>337700</v>
      </c>
      <c r="J88" s="21">
        <v>26.91</v>
      </c>
      <c r="K88" s="93">
        <f>IFERROR(__xludf.DUMMYFUNCTION("GOOGLEFINANCE(E88,""changepct"")"),-1.43)</f>
        <v>-1.43</v>
      </c>
      <c r="L88" s="23">
        <f>IFERROR(__xludf.DUMMYFUNCTION("googlefinance(E88,""price"")"),33.77)</f>
        <v>33.77</v>
      </c>
      <c r="M88" s="24"/>
      <c r="N88" s="24">
        <f t="shared" si="48"/>
        <v>6.86</v>
      </c>
      <c r="O88" s="25">
        <f t="shared" si="49"/>
        <v>0.2549238201</v>
      </c>
      <c r="P88" s="19">
        <f t="shared" si="50"/>
        <v>68600</v>
      </c>
      <c r="Q88" s="47">
        <v>0.016</v>
      </c>
      <c r="R88" s="20">
        <v>5000.0</v>
      </c>
      <c r="S88" s="31"/>
      <c r="T88" s="16"/>
      <c r="U88" s="16"/>
      <c r="V88" s="16"/>
      <c r="W88" s="30"/>
      <c r="X88" s="31"/>
      <c r="Y88" s="29"/>
      <c r="Z88" s="16"/>
      <c r="AA88" s="32"/>
      <c r="AB88" s="31"/>
      <c r="AC88" s="29"/>
    </row>
    <row r="89">
      <c r="A89" s="89" t="s">
        <v>159</v>
      </c>
      <c r="B89" s="90">
        <f>I89+I88+I96+I94+I92+I90+I95</f>
        <v>2463050</v>
      </c>
      <c r="C89" s="14">
        <f>I89/E116</f>
        <v>0.01242120299</v>
      </c>
      <c r="D89" s="16" t="s">
        <v>160</v>
      </c>
      <c r="E89" s="16" t="s">
        <v>161</v>
      </c>
      <c r="F89" s="17">
        <v>8.1</v>
      </c>
      <c r="G89" s="18">
        <v>5000.0</v>
      </c>
      <c r="H89" s="19">
        <f t="shared" si="46"/>
        <v>161150</v>
      </c>
      <c r="I89" s="19">
        <f t="shared" si="47"/>
        <v>211600</v>
      </c>
      <c r="J89" s="21">
        <v>32.23</v>
      </c>
      <c r="K89" s="93">
        <f>IFERROR(__xludf.DUMMYFUNCTION("GOOGLEFINANCE(E89,""changepct"")"),-1.7)</f>
        <v>-1.7</v>
      </c>
      <c r="L89" s="23">
        <f>IFERROR(__xludf.DUMMYFUNCTION("googlefinance(E89,""price"")"),42.32)</f>
        <v>42.32</v>
      </c>
      <c r="M89" s="24"/>
      <c r="N89" s="24">
        <f t="shared" si="48"/>
        <v>10.09</v>
      </c>
      <c r="O89" s="25">
        <f t="shared" si="49"/>
        <v>0.3130623643</v>
      </c>
      <c r="P89" s="19">
        <f t="shared" si="50"/>
        <v>50450</v>
      </c>
      <c r="Q89" s="47">
        <v>0.005</v>
      </c>
      <c r="R89" s="20">
        <v>1350.0</v>
      </c>
      <c r="S89" s="31"/>
      <c r="T89" s="16"/>
      <c r="U89" s="16"/>
      <c r="V89" s="16"/>
      <c r="W89" s="30"/>
      <c r="X89" s="31"/>
      <c r="Y89" s="29"/>
      <c r="Z89" s="16"/>
      <c r="AA89" s="32"/>
      <c r="AB89" s="31"/>
      <c r="AC89" s="29"/>
    </row>
    <row r="90">
      <c r="A90" s="89" t="s">
        <v>162</v>
      </c>
      <c r="B90" s="92">
        <f>B89/E116</f>
        <v>0.1445843291</v>
      </c>
      <c r="C90" s="14">
        <f>I90/E116</f>
        <v>0.03198929382</v>
      </c>
      <c r="D90" s="15" t="s">
        <v>163</v>
      </c>
      <c r="E90" s="16" t="s">
        <v>164</v>
      </c>
      <c r="F90" s="17">
        <v>8.0</v>
      </c>
      <c r="G90" s="18">
        <v>7000.0</v>
      </c>
      <c r="H90" s="19">
        <f t="shared" si="46"/>
        <v>318150</v>
      </c>
      <c r="I90" s="19">
        <f t="shared" si="47"/>
        <v>544950</v>
      </c>
      <c r="J90" s="21">
        <v>45.45</v>
      </c>
      <c r="K90" s="93">
        <f>IFERROR(__xludf.DUMMYFUNCTION("GOOGLEFINANCE(E90,""changepct"")"),-1.02)</f>
        <v>-1.02</v>
      </c>
      <c r="L90" s="23">
        <f>IFERROR(__xludf.DUMMYFUNCTION("googlefinance(E90,""price"")"),77.85)</f>
        <v>77.85</v>
      </c>
      <c r="M90" s="24"/>
      <c r="N90" s="24">
        <f t="shared" si="48"/>
        <v>32.4</v>
      </c>
      <c r="O90" s="25">
        <f t="shared" si="49"/>
        <v>0.7128712871</v>
      </c>
      <c r="P90" s="19">
        <f t="shared" si="50"/>
        <v>226800</v>
      </c>
      <c r="Q90" s="47">
        <v>0.032</v>
      </c>
      <c r="R90" s="20">
        <v>2800.0</v>
      </c>
      <c r="S90" s="31"/>
      <c r="T90" s="16"/>
      <c r="U90" s="16"/>
      <c r="V90" s="16"/>
      <c r="W90" s="32"/>
      <c r="X90" s="31"/>
      <c r="Y90" s="29"/>
      <c r="Z90" s="15"/>
      <c r="AA90" s="36"/>
      <c r="AB90" s="37"/>
      <c r="AC90" s="27"/>
    </row>
    <row r="91">
      <c r="A91" s="38"/>
      <c r="B91" s="32"/>
      <c r="C91" s="14">
        <f>I91/E116</f>
        <v>0</v>
      </c>
      <c r="D91" s="15" t="s">
        <v>165</v>
      </c>
      <c r="E91" s="16" t="s">
        <v>164</v>
      </c>
      <c r="F91" s="17">
        <v>8.0</v>
      </c>
      <c r="G91" s="18">
        <v>3000.0</v>
      </c>
      <c r="H91" s="19">
        <f t="shared" si="46"/>
        <v>136350</v>
      </c>
      <c r="I91" s="20">
        <v>0.0</v>
      </c>
      <c r="J91" s="21">
        <v>45.45</v>
      </c>
      <c r="K91" s="93">
        <f>IFERROR(__xludf.DUMMYFUNCTION("GOOGLEFINANCE(E91,""changepct"")"),-1.02)</f>
        <v>-1.02</v>
      </c>
      <c r="L91" s="23">
        <f>IFERROR(__xludf.DUMMYFUNCTION("googlefinance(E91,""price"")"),77.85)</f>
        <v>77.85</v>
      </c>
      <c r="M91" s="21">
        <v>55.45</v>
      </c>
      <c r="N91" s="24">
        <f t="shared" si="48"/>
        <v>32.4</v>
      </c>
      <c r="O91" s="25">
        <f>M91/J91-1</f>
        <v>0.2200220022</v>
      </c>
      <c r="P91" s="19">
        <f t="shared" si="50"/>
        <v>30000</v>
      </c>
      <c r="Q91" s="47">
        <v>0.032</v>
      </c>
      <c r="R91" s="20">
        <v>1200.0</v>
      </c>
      <c r="S91" s="31"/>
      <c r="T91" s="16"/>
      <c r="U91" s="16"/>
      <c r="V91" s="15" t="s">
        <v>164</v>
      </c>
      <c r="W91" s="36">
        <v>45280.0</v>
      </c>
      <c r="X91" s="37">
        <v>55.45</v>
      </c>
      <c r="Y91" s="27">
        <v>166350.0</v>
      </c>
      <c r="Z91" s="15"/>
      <c r="AA91" s="36"/>
      <c r="AB91" s="37"/>
      <c r="AC91" s="27"/>
    </row>
    <row r="92">
      <c r="A92" s="38"/>
      <c r="B92" s="32"/>
      <c r="C92" s="14">
        <f>I92/E116</f>
        <v>0.01614873792</v>
      </c>
      <c r="D92" s="16" t="s">
        <v>166</v>
      </c>
      <c r="E92" s="16" t="s">
        <v>167</v>
      </c>
      <c r="F92" s="17">
        <v>7.9</v>
      </c>
      <c r="G92" s="18">
        <v>30000.0</v>
      </c>
      <c r="H92" s="19">
        <f t="shared" si="46"/>
        <v>136800</v>
      </c>
      <c r="I92" s="19">
        <f>H92+P92</f>
        <v>275100</v>
      </c>
      <c r="J92" s="21">
        <v>4.56</v>
      </c>
      <c r="K92" s="93">
        <f>IFERROR(__xludf.DUMMYFUNCTION("GOOGLEFINANCE(E92,""changepct"")"),-1.5)</f>
        <v>-1.5</v>
      </c>
      <c r="L92" s="23">
        <f>IFERROR(__xludf.DUMMYFUNCTION("googlefinance(E92,""price"")"),9.17)</f>
        <v>9.17</v>
      </c>
      <c r="M92" s="24"/>
      <c r="N92" s="24">
        <f t="shared" si="48"/>
        <v>4.61</v>
      </c>
      <c r="O92" s="25">
        <f>L92/J92-1</f>
        <v>1.010964912</v>
      </c>
      <c r="P92" s="19">
        <f t="shared" si="50"/>
        <v>138300</v>
      </c>
      <c r="Q92" s="47">
        <v>0.025</v>
      </c>
      <c r="R92" s="20">
        <v>900.0</v>
      </c>
      <c r="S92" s="31"/>
      <c r="T92" s="16"/>
      <c r="U92" s="16"/>
      <c r="V92" s="16"/>
      <c r="W92" s="32"/>
      <c r="X92" s="31"/>
      <c r="Y92" s="29"/>
      <c r="Z92" s="15"/>
      <c r="AA92" s="36"/>
      <c r="AB92" s="37"/>
      <c r="AC92" s="27"/>
    </row>
    <row r="93">
      <c r="A93" s="38"/>
      <c r="B93" s="32"/>
      <c r="C93" s="14">
        <f>I93/E116</f>
        <v>0</v>
      </c>
      <c r="D93" s="16" t="s">
        <v>166</v>
      </c>
      <c r="E93" s="16" t="s">
        <v>167</v>
      </c>
      <c r="F93" s="17">
        <v>7.9</v>
      </c>
      <c r="G93" s="18">
        <v>20000.0</v>
      </c>
      <c r="H93" s="19">
        <f t="shared" si="46"/>
        <v>91200</v>
      </c>
      <c r="I93" s="20">
        <v>0.0</v>
      </c>
      <c r="J93" s="21">
        <v>4.56</v>
      </c>
      <c r="K93" s="93">
        <f>IFERROR(__xludf.DUMMYFUNCTION("GOOGLEFINANCE(E93,""changepct"")"),-1.5)</f>
        <v>-1.5</v>
      </c>
      <c r="L93" s="23">
        <f>IFERROR(__xludf.DUMMYFUNCTION("googlefinance(E93,""price"")"),9.17)</f>
        <v>9.17</v>
      </c>
      <c r="M93" s="21">
        <v>6.19</v>
      </c>
      <c r="N93" s="24">
        <f t="shared" si="48"/>
        <v>4.61</v>
      </c>
      <c r="O93" s="25">
        <f>M93/J93-1</f>
        <v>0.3574561404</v>
      </c>
      <c r="P93" s="19">
        <f t="shared" si="50"/>
        <v>32600</v>
      </c>
      <c r="Q93" s="47">
        <v>0.025</v>
      </c>
      <c r="R93" s="20">
        <v>600.0</v>
      </c>
      <c r="S93" s="31"/>
      <c r="T93" s="16"/>
      <c r="U93" s="16"/>
      <c r="V93" s="15" t="s">
        <v>167</v>
      </c>
      <c r="W93" s="36">
        <v>45280.0</v>
      </c>
      <c r="X93" s="37">
        <v>6.19</v>
      </c>
      <c r="Y93" s="27">
        <v>123800.0</v>
      </c>
      <c r="Z93" s="15"/>
      <c r="AA93" s="41"/>
      <c r="AB93" s="21"/>
      <c r="AC93" s="20"/>
    </row>
    <row r="94">
      <c r="A94" s="38"/>
      <c r="B94" s="32"/>
      <c r="C94" s="14">
        <f>I94/E116</f>
        <v>0.01815045352</v>
      </c>
      <c r="D94" s="15" t="s">
        <v>321</v>
      </c>
      <c r="E94" s="16" t="s">
        <v>172</v>
      </c>
      <c r="F94" s="17">
        <v>8.1</v>
      </c>
      <c r="G94" s="18">
        <v>20000.0</v>
      </c>
      <c r="H94" s="19">
        <f t="shared" si="46"/>
        <v>291000</v>
      </c>
      <c r="I94" s="19">
        <f t="shared" ref="I94:I96" si="51">H94+P94</f>
        <v>309200</v>
      </c>
      <c r="J94" s="21">
        <v>14.55</v>
      </c>
      <c r="K94" s="93">
        <f>IFERROR(__xludf.DUMMYFUNCTION("GOOGLEFINANCE(E94,""changepct"")"),-1.4)</f>
        <v>-1.4</v>
      </c>
      <c r="L94" s="23">
        <f>IFERROR(__xludf.DUMMYFUNCTION("googlefinance(E94,""price"")"),15.46)</f>
        <v>15.46</v>
      </c>
      <c r="M94" s="24"/>
      <c r="N94" s="24">
        <f t="shared" si="48"/>
        <v>0.91</v>
      </c>
      <c r="O94" s="25">
        <f t="shared" ref="O94:O96" si="52">L94/J94-1</f>
        <v>0.06254295533</v>
      </c>
      <c r="P94" s="19">
        <f t="shared" si="50"/>
        <v>18200</v>
      </c>
      <c r="Q94" s="47">
        <v>0.024</v>
      </c>
      <c r="R94" s="20">
        <v>2000.0</v>
      </c>
      <c r="S94" s="31"/>
      <c r="T94" s="16"/>
      <c r="U94" s="16"/>
      <c r="V94" s="16"/>
      <c r="W94" s="30"/>
      <c r="X94" s="31"/>
      <c r="Y94" s="29"/>
      <c r="Z94" s="15"/>
      <c r="AA94" s="41"/>
      <c r="AB94" s="21"/>
      <c r="AC94" s="20"/>
    </row>
    <row r="95">
      <c r="A95" s="38"/>
      <c r="B95" s="32"/>
      <c r="C95" s="14">
        <f>I95/E116</f>
        <v>0.02926261669</v>
      </c>
      <c r="D95" s="16" t="s">
        <v>357</v>
      </c>
      <c r="E95" s="16" t="s">
        <v>174</v>
      </c>
      <c r="F95" s="17">
        <v>7.9</v>
      </c>
      <c r="G95" s="18">
        <v>25000.0</v>
      </c>
      <c r="H95" s="19">
        <f t="shared" si="46"/>
        <v>362000</v>
      </c>
      <c r="I95" s="19">
        <f t="shared" si="51"/>
        <v>498500</v>
      </c>
      <c r="J95" s="21">
        <v>14.48</v>
      </c>
      <c r="K95" s="93">
        <f>IFERROR(__xludf.DUMMYFUNCTION("GOOGLEFINANCE(E95,""changepct"")"),-3.11)</f>
        <v>-3.11</v>
      </c>
      <c r="L95" s="23">
        <f>IFERROR(__xludf.DUMMYFUNCTION("googlefinance(E95,""price"")"),19.94)</f>
        <v>19.94</v>
      </c>
      <c r="M95" s="24"/>
      <c r="N95" s="24">
        <f t="shared" si="48"/>
        <v>5.46</v>
      </c>
      <c r="O95" s="25">
        <f t="shared" si="52"/>
        <v>0.3770718232</v>
      </c>
      <c r="P95" s="19">
        <f t="shared" si="50"/>
        <v>136500</v>
      </c>
      <c r="Q95" s="47">
        <v>0.02</v>
      </c>
      <c r="R95" s="20">
        <v>2500.0</v>
      </c>
      <c r="S95" s="31"/>
      <c r="T95" s="16"/>
      <c r="U95" s="16"/>
      <c r="V95" s="16"/>
      <c r="W95" s="30"/>
      <c r="X95" s="31"/>
      <c r="Y95" s="29"/>
      <c r="Z95" s="15"/>
      <c r="AA95" s="41"/>
      <c r="AB95" s="21"/>
      <c r="AC95" s="20"/>
    </row>
    <row r="96">
      <c r="A96" s="38"/>
      <c r="B96" s="32"/>
      <c r="C96" s="14">
        <f>I96/E116</f>
        <v>0.0167885825</v>
      </c>
      <c r="D96" s="95" t="s">
        <v>179</v>
      </c>
      <c r="E96" s="16" t="s">
        <v>180</v>
      </c>
      <c r="F96" s="17">
        <v>8.0</v>
      </c>
      <c r="G96" s="18">
        <v>25000.0</v>
      </c>
      <c r="H96" s="19">
        <f t="shared" si="46"/>
        <v>214250</v>
      </c>
      <c r="I96" s="19">
        <f t="shared" si="51"/>
        <v>286000</v>
      </c>
      <c r="J96" s="21">
        <v>8.57</v>
      </c>
      <c r="K96" s="93">
        <f>IFERROR(__xludf.DUMMYFUNCTION("GOOGLEFINANCE(E96,""changepct"")"),-2.8)</f>
        <v>-2.8</v>
      </c>
      <c r="L96" s="23">
        <f>IFERROR(__xludf.DUMMYFUNCTION("googlefinance(E96,""price"")"),11.44)</f>
        <v>11.44</v>
      </c>
      <c r="M96" s="24"/>
      <c r="N96" s="24">
        <f t="shared" si="48"/>
        <v>2.87</v>
      </c>
      <c r="O96" s="25">
        <f t="shared" si="52"/>
        <v>0.3348891482</v>
      </c>
      <c r="P96" s="19">
        <f t="shared" si="50"/>
        <v>71750</v>
      </c>
      <c r="Q96" s="47">
        <v>0.005</v>
      </c>
      <c r="R96" s="20">
        <v>1200.0</v>
      </c>
      <c r="S96" s="31"/>
      <c r="T96" s="16"/>
      <c r="U96" s="16"/>
      <c r="V96" s="16"/>
      <c r="W96" s="30"/>
      <c r="X96" s="31"/>
      <c r="Y96" s="29"/>
      <c r="Z96" s="16"/>
      <c r="AA96" s="94"/>
      <c r="AB96" s="24"/>
      <c r="AC96" s="19"/>
    </row>
    <row r="97">
      <c r="A97" s="55"/>
      <c r="B97" s="53"/>
      <c r="C97" s="6" t="s">
        <v>89</v>
      </c>
      <c r="D97" s="6"/>
      <c r="E97" s="6"/>
      <c r="F97" s="6"/>
      <c r="G97" s="11"/>
      <c r="H97" s="49">
        <f>SUM(H86:H96)</f>
        <v>2664500</v>
      </c>
      <c r="I97" s="263">
        <v>2843150.0</v>
      </c>
      <c r="J97" s="8"/>
      <c r="K97" s="8"/>
      <c r="L97" s="10"/>
      <c r="M97" s="10"/>
      <c r="N97" s="10"/>
      <c r="O97" s="51">
        <f>(P97+R97)/D113</f>
        <v>0.1825295553</v>
      </c>
      <c r="P97" s="263">
        <v>468800.0</v>
      </c>
      <c r="Q97" s="6"/>
      <c r="R97" s="49">
        <f>SUM(R86:R96)</f>
        <v>17550</v>
      </c>
      <c r="S97" s="10"/>
      <c r="T97" s="6"/>
      <c r="U97" s="5"/>
      <c r="V97" s="6" t="s">
        <v>89</v>
      </c>
      <c r="W97" s="53"/>
      <c r="X97" s="54"/>
      <c r="Y97" s="49">
        <f>SUM(Y86:Y96)</f>
        <v>290150</v>
      </c>
      <c r="Z97" s="6" t="s">
        <v>89</v>
      </c>
      <c r="AA97" s="53"/>
      <c r="AB97" s="53"/>
      <c r="AC97" s="49">
        <f>SUM(AC86:AC96)</f>
        <v>0</v>
      </c>
    </row>
    <row r="98">
      <c r="A98" s="55"/>
      <c r="B98" s="6" t="s">
        <v>181</v>
      </c>
      <c r="C98" s="6" t="s">
        <v>2</v>
      </c>
      <c r="D98" s="6" t="s">
        <v>182</v>
      </c>
      <c r="E98" s="6" t="s">
        <v>4</v>
      </c>
      <c r="F98" s="6" t="s">
        <v>5</v>
      </c>
      <c r="G98" s="5" t="s">
        <v>458</v>
      </c>
      <c r="H98" s="6" t="s">
        <v>7</v>
      </c>
      <c r="I98" s="308" t="s">
        <v>436</v>
      </c>
      <c r="J98" s="7" t="s">
        <v>9</v>
      </c>
      <c r="K98" s="8" t="s">
        <v>10</v>
      </c>
      <c r="L98" s="8" t="s">
        <v>11</v>
      </c>
      <c r="M98" s="9" t="s">
        <v>12</v>
      </c>
      <c r="N98" s="10" t="s">
        <v>13</v>
      </c>
      <c r="O98" s="6" t="s">
        <v>14</v>
      </c>
      <c r="P98" s="10" t="s">
        <v>15</v>
      </c>
      <c r="Q98" s="5" t="s">
        <v>128</v>
      </c>
      <c r="R98" s="6" t="s">
        <v>17</v>
      </c>
      <c r="S98" s="9" t="s">
        <v>459</v>
      </c>
      <c r="T98" s="5" t="s">
        <v>128</v>
      </c>
      <c r="U98" s="5" t="s">
        <v>128</v>
      </c>
      <c r="V98" s="6" t="s">
        <v>21</v>
      </c>
      <c r="W98" s="6" t="s">
        <v>22</v>
      </c>
      <c r="X98" s="12" t="s">
        <v>23</v>
      </c>
      <c r="Y98" s="12" t="s">
        <v>24</v>
      </c>
      <c r="Z98" s="6" t="s">
        <v>25</v>
      </c>
      <c r="AA98" s="6" t="s">
        <v>26</v>
      </c>
      <c r="AB98" s="6" t="s">
        <v>27</v>
      </c>
      <c r="AC98" s="6" t="s">
        <v>28</v>
      </c>
    </row>
    <row r="99">
      <c r="A99" s="56" t="s">
        <v>29</v>
      </c>
      <c r="B99" s="57">
        <f>I110/E116</f>
        <v>0.04966191845</v>
      </c>
      <c r="C99" s="14">
        <f>I99/E116</f>
        <v>0.01250514591</v>
      </c>
      <c r="D99" s="293" t="s">
        <v>413</v>
      </c>
      <c r="E99" s="16" t="s">
        <v>185</v>
      </c>
      <c r="F99" s="17">
        <v>7.8</v>
      </c>
      <c r="G99" s="97">
        <v>5.0</v>
      </c>
      <c r="H99" s="19">
        <f t="shared" ref="H99:H109" si="53">G99*J99</f>
        <v>135055</v>
      </c>
      <c r="I99" s="20">
        <f t="shared" ref="I99:I101" si="54">H99+P99</f>
        <v>213030</v>
      </c>
      <c r="J99" s="20">
        <v>27011.0</v>
      </c>
      <c r="K99" s="98"/>
      <c r="L99" s="99">
        <v>42606.0</v>
      </c>
      <c r="M99" s="100"/>
      <c r="N99" s="100">
        <f t="shared" ref="N99:N109" si="55">L99-J99</f>
        <v>15595</v>
      </c>
      <c r="O99" s="101">
        <f t="shared" ref="O99:O101" si="56">L99/J99-1</f>
        <v>0.5773573729</v>
      </c>
      <c r="P99" s="102">
        <f t="shared" ref="P99:P109" si="57">H99*O99</f>
        <v>77975</v>
      </c>
      <c r="Q99" s="32"/>
      <c r="R99" s="32"/>
      <c r="S99" s="103"/>
      <c r="T99" s="15"/>
      <c r="U99" s="15"/>
      <c r="V99" s="15"/>
      <c r="W99" s="41"/>
      <c r="X99" s="20"/>
      <c r="Y99" s="20"/>
      <c r="Z99" s="104"/>
      <c r="AA99" s="105"/>
      <c r="AB99" s="106"/>
      <c r="AC99" s="106"/>
    </row>
    <row r="100">
      <c r="A100" s="38"/>
      <c r="B100" s="32"/>
      <c r="C100" s="14">
        <f>I100/E116</f>
        <v>0.01347782707</v>
      </c>
      <c r="D100" s="16" t="s">
        <v>414</v>
      </c>
      <c r="E100" s="45" t="s">
        <v>188</v>
      </c>
      <c r="F100" s="17">
        <v>7.7</v>
      </c>
      <c r="G100" s="97">
        <v>100.0</v>
      </c>
      <c r="H100" s="19">
        <f t="shared" si="53"/>
        <v>167800</v>
      </c>
      <c r="I100" s="20">
        <f t="shared" si="54"/>
        <v>229600</v>
      </c>
      <c r="J100" s="27">
        <v>1678.0</v>
      </c>
      <c r="K100" s="98"/>
      <c r="L100" s="99">
        <v>2296.0</v>
      </c>
      <c r="M100" s="100"/>
      <c r="N100" s="100">
        <f t="shared" si="55"/>
        <v>618</v>
      </c>
      <c r="O100" s="101">
        <f t="shared" si="56"/>
        <v>0.36829559</v>
      </c>
      <c r="P100" s="102">
        <f t="shared" si="57"/>
        <v>61800</v>
      </c>
      <c r="Q100" s="32"/>
      <c r="R100" s="32"/>
      <c r="S100" s="27"/>
      <c r="T100" s="15"/>
      <c r="U100" s="15"/>
      <c r="V100" s="15"/>
      <c r="W100" s="36"/>
      <c r="X100" s="27"/>
      <c r="Y100" s="27"/>
      <c r="Z100" s="104"/>
      <c r="AA100" s="108"/>
      <c r="AB100" s="109"/>
      <c r="AC100" s="20"/>
    </row>
    <row r="101">
      <c r="A101" s="38"/>
      <c r="B101" s="32"/>
      <c r="C101" s="14">
        <f>I101/E116</f>
        <v>0.00549444518</v>
      </c>
      <c r="D101" s="15" t="s">
        <v>200</v>
      </c>
      <c r="E101" s="42" t="s">
        <v>201</v>
      </c>
      <c r="F101" s="17">
        <v>7.4</v>
      </c>
      <c r="G101" s="97">
        <v>150000.0</v>
      </c>
      <c r="H101" s="19">
        <f t="shared" si="53"/>
        <v>92550</v>
      </c>
      <c r="I101" s="20">
        <f t="shared" si="54"/>
        <v>93600</v>
      </c>
      <c r="J101" s="111">
        <v>0.617</v>
      </c>
      <c r="K101" s="98"/>
      <c r="L101" s="295">
        <v>0.624</v>
      </c>
      <c r="M101" s="296"/>
      <c r="N101" s="100">
        <f t="shared" si="55"/>
        <v>0.007</v>
      </c>
      <c r="O101" s="101">
        <f t="shared" si="56"/>
        <v>0.0113452188</v>
      </c>
      <c r="P101" s="102">
        <f t="shared" si="57"/>
        <v>1050</v>
      </c>
      <c r="Q101" s="32"/>
      <c r="R101" s="32"/>
      <c r="S101" s="292"/>
      <c r="T101" s="15"/>
      <c r="U101" s="15"/>
      <c r="V101" s="15"/>
      <c r="W101" s="41"/>
      <c r="X101" s="297"/>
      <c r="Y101" s="20"/>
      <c r="Z101" s="104" t="s">
        <v>202</v>
      </c>
      <c r="AA101" s="105">
        <v>45280.0</v>
      </c>
      <c r="AB101" s="294">
        <v>0.617</v>
      </c>
      <c r="AC101" s="20">
        <v>92550.0</v>
      </c>
    </row>
    <row r="102">
      <c r="A102" s="38"/>
      <c r="B102" s="32"/>
      <c r="C102" s="14">
        <f>I102/E116</f>
        <v>0</v>
      </c>
      <c r="D102" s="15" t="s">
        <v>200</v>
      </c>
      <c r="E102" s="42" t="s">
        <v>201</v>
      </c>
      <c r="F102" s="17">
        <v>7.4</v>
      </c>
      <c r="G102" s="97">
        <v>150000.0</v>
      </c>
      <c r="H102" s="19">
        <f t="shared" si="53"/>
        <v>77745</v>
      </c>
      <c r="I102" s="20">
        <v>0.0</v>
      </c>
      <c r="J102" s="111">
        <v>0.5183</v>
      </c>
      <c r="K102" s="98"/>
      <c r="L102" s="295">
        <v>0.624</v>
      </c>
      <c r="M102" s="296">
        <v>0.637</v>
      </c>
      <c r="N102" s="100">
        <f t="shared" si="55"/>
        <v>0.1057</v>
      </c>
      <c r="O102" s="101">
        <f t="shared" ref="O102:O104" si="58">M102/J102-1</f>
        <v>0.2290179433</v>
      </c>
      <c r="P102" s="102">
        <f t="shared" si="57"/>
        <v>17805</v>
      </c>
      <c r="Q102" s="32"/>
      <c r="R102" s="32"/>
      <c r="S102" s="292"/>
      <c r="T102" s="15"/>
      <c r="U102" s="15"/>
      <c r="V102" s="15" t="s">
        <v>202</v>
      </c>
      <c r="W102" s="41">
        <v>45245.0</v>
      </c>
      <c r="X102" s="297">
        <v>0.637</v>
      </c>
      <c r="Y102" s="20">
        <v>95550.0</v>
      </c>
      <c r="Z102" s="104"/>
      <c r="AA102" s="105"/>
      <c r="AB102" s="109"/>
      <c r="AC102" s="20"/>
    </row>
    <row r="103">
      <c r="A103" s="38"/>
      <c r="B103" s="32"/>
      <c r="C103" s="14">
        <f>I103/E116</f>
        <v>0</v>
      </c>
      <c r="D103" s="15" t="s">
        <v>200</v>
      </c>
      <c r="E103" s="42" t="s">
        <v>201</v>
      </c>
      <c r="F103" s="17">
        <v>7.4</v>
      </c>
      <c r="G103" s="97">
        <v>150000.0</v>
      </c>
      <c r="H103" s="19">
        <f t="shared" si="53"/>
        <v>77745</v>
      </c>
      <c r="I103" s="20">
        <v>0.0</v>
      </c>
      <c r="J103" s="111">
        <v>0.5183</v>
      </c>
      <c r="K103" s="98"/>
      <c r="L103" s="295">
        <v>0.624</v>
      </c>
      <c r="M103" s="296">
        <v>0.693</v>
      </c>
      <c r="N103" s="100">
        <f t="shared" si="55"/>
        <v>0.1057</v>
      </c>
      <c r="O103" s="101">
        <f t="shared" si="58"/>
        <v>0.3370634768</v>
      </c>
      <c r="P103" s="102">
        <f t="shared" si="57"/>
        <v>26205</v>
      </c>
      <c r="Q103" s="32"/>
      <c r="R103" s="32"/>
      <c r="S103" s="292"/>
      <c r="T103" s="15"/>
      <c r="U103" s="15"/>
      <c r="V103" s="15" t="s">
        <v>202</v>
      </c>
      <c r="W103" s="41">
        <v>45237.0</v>
      </c>
      <c r="X103" s="297">
        <v>0.693</v>
      </c>
      <c r="Y103" s="20">
        <v>103950.0</v>
      </c>
      <c r="Z103" s="104"/>
      <c r="AA103" s="105"/>
      <c r="AB103" s="109"/>
      <c r="AC103" s="20"/>
    </row>
    <row r="104">
      <c r="A104" s="38"/>
      <c r="B104" s="32"/>
      <c r="C104" s="14">
        <f>I104/E116</f>
        <v>0</v>
      </c>
      <c r="D104" s="15" t="s">
        <v>460</v>
      </c>
      <c r="E104" s="42" t="s">
        <v>207</v>
      </c>
      <c r="F104" s="17">
        <v>7.3</v>
      </c>
      <c r="G104" s="97">
        <v>400.0</v>
      </c>
      <c r="H104" s="19">
        <f t="shared" si="53"/>
        <v>94000</v>
      </c>
      <c r="I104" s="20">
        <v>0.0</v>
      </c>
      <c r="J104" s="21">
        <v>235.0</v>
      </c>
      <c r="K104" s="98"/>
      <c r="L104" s="99">
        <v>266.0</v>
      </c>
      <c r="M104" s="283">
        <v>214.5</v>
      </c>
      <c r="N104" s="100">
        <f t="shared" si="55"/>
        <v>31</v>
      </c>
      <c r="O104" s="101">
        <f t="shared" si="58"/>
        <v>-0.08723404255</v>
      </c>
      <c r="P104" s="102">
        <f t="shared" si="57"/>
        <v>-8200</v>
      </c>
      <c r="Q104" s="32"/>
      <c r="R104" s="32"/>
      <c r="S104" s="292"/>
      <c r="T104" s="15"/>
      <c r="U104" s="15"/>
      <c r="V104" s="15" t="s">
        <v>208</v>
      </c>
      <c r="W104" s="41">
        <v>45208.0</v>
      </c>
      <c r="X104" s="21">
        <v>214.5</v>
      </c>
      <c r="Y104" s="20">
        <v>85800.0</v>
      </c>
      <c r="Z104" s="104"/>
      <c r="AA104" s="105"/>
      <c r="AB104" s="109"/>
      <c r="AC104" s="20"/>
    </row>
    <row r="105">
      <c r="A105" s="38"/>
      <c r="B105" s="32"/>
      <c r="C105" s="14">
        <f>I105/E116</f>
        <v>0.007440394515</v>
      </c>
      <c r="D105" s="15" t="s">
        <v>415</v>
      </c>
      <c r="E105" s="15" t="s">
        <v>195</v>
      </c>
      <c r="F105" s="17">
        <v>7.5</v>
      </c>
      <c r="G105" s="97">
        <v>15000.0</v>
      </c>
      <c r="H105" s="19">
        <f t="shared" si="53"/>
        <v>105450</v>
      </c>
      <c r="I105" s="20">
        <f>H105+P105</f>
        <v>126750</v>
      </c>
      <c r="J105" s="21">
        <v>7.03</v>
      </c>
      <c r="K105" s="98"/>
      <c r="L105" s="122">
        <v>8.45</v>
      </c>
      <c r="M105" s="283"/>
      <c r="N105" s="100">
        <f t="shared" si="55"/>
        <v>1.42</v>
      </c>
      <c r="O105" s="101">
        <f>L105/J105-1</f>
        <v>0.2019914651</v>
      </c>
      <c r="P105" s="102">
        <f t="shared" si="57"/>
        <v>21300</v>
      </c>
      <c r="Q105" s="32"/>
      <c r="R105" s="32"/>
      <c r="S105" s="21"/>
      <c r="T105" s="15"/>
      <c r="U105" s="15"/>
      <c r="V105" s="15"/>
      <c r="W105" s="41"/>
      <c r="X105" s="21"/>
      <c r="Y105" s="20"/>
      <c r="Z105" s="104" t="s">
        <v>196</v>
      </c>
      <c r="AA105" s="105">
        <v>45280.0</v>
      </c>
      <c r="AB105" s="109">
        <v>7.03</v>
      </c>
      <c r="AC105" s="20">
        <v>105450.0</v>
      </c>
    </row>
    <row r="106">
      <c r="A106" s="38"/>
      <c r="B106" s="32"/>
      <c r="C106" s="14">
        <f>I106/E116</f>
        <v>0</v>
      </c>
      <c r="D106" s="15" t="s">
        <v>415</v>
      </c>
      <c r="E106" s="15" t="s">
        <v>195</v>
      </c>
      <c r="F106" s="17">
        <v>7.5</v>
      </c>
      <c r="G106" s="97">
        <v>20000.0</v>
      </c>
      <c r="H106" s="19">
        <f t="shared" si="53"/>
        <v>79400</v>
      </c>
      <c r="I106" s="20">
        <v>0.0</v>
      </c>
      <c r="J106" s="21">
        <v>3.97</v>
      </c>
      <c r="K106" s="98"/>
      <c r="L106" s="122">
        <v>8.45</v>
      </c>
      <c r="M106" s="283">
        <v>5.15</v>
      </c>
      <c r="N106" s="100">
        <f t="shared" si="55"/>
        <v>4.48</v>
      </c>
      <c r="O106" s="101">
        <f>M106/J106-1</f>
        <v>0.2972292191</v>
      </c>
      <c r="P106" s="102">
        <f t="shared" si="57"/>
        <v>23600</v>
      </c>
      <c r="Q106" s="32"/>
      <c r="R106" s="32"/>
      <c r="S106" s="21"/>
      <c r="T106" s="15"/>
      <c r="U106" s="15"/>
      <c r="V106" s="15" t="s">
        <v>196</v>
      </c>
      <c r="W106" s="41">
        <v>45251.0</v>
      </c>
      <c r="X106" s="21">
        <v>5.15</v>
      </c>
      <c r="Y106" s="20">
        <v>103000.0</v>
      </c>
      <c r="Z106" s="104" t="s">
        <v>196</v>
      </c>
      <c r="AA106" s="105">
        <v>45222.0</v>
      </c>
      <c r="AB106" s="109">
        <v>3.97</v>
      </c>
      <c r="AC106" s="20">
        <v>79400.0</v>
      </c>
    </row>
    <row r="107">
      <c r="A107" s="38"/>
      <c r="B107" s="32"/>
      <c r="C107" s="14">
        <f>I107/E116</f>
        <v>0.005714575196</v>
      </c>
      <c r="D107" s="15" t="s">
        <v>416</v>
      </c>
      <c r="E107" s="15" t="s">
        <v>360</v>
      </c>
      <c r="F107" s="17">
        <v>7.3</v>
      </c>
      <c r="G107" s="97">
        <v>3000.0</v>
      </c>
      <c r="H107" s="19">
        <f t="shared" si="53"/>
        <v>83970</v>
      </c>
      <c r="I107" s="20">
        <f t="shared" ref="I107:I108" si="59">H107+P107</f>
        <v>97350</v>
      </c>
      <c r="J107" s="21">
        <v>27.99</v>
      </c>
      <c r="K107" s="98"/>
      <c r="L107" s="122">
        <v>32.45</v>
      </c>
      <c r="M107" s="283"/>
      <c r="N107" s="100">
        <f t="shared" si="55"/>
        <v>4.46</v>
      </c>
      <c r="O107" s="101">
        <f t="shared" ref="O107:O108" si="60">L107/J107-1</f>
        <v>0.1593426224</v>
      </c>
      <c r="P107" s="102">
        <f t="shared" si="57"/>
        <v>13380</v>
      </c>
      <c r="Q107" s="32"/>
      <c r="R107" s="32"/>
      <c r="S107" s="21"/>
      <c r="T107" s="15"/>
      <c r="U107" s="15"/>
      <c r="V107" s="15"/>
      <c r="W107" s="41"/>
      <c r="X107" s="21"/>
      <c r="Y107" s="20"/>
      <c r="Z107" s="104"/>
      <c r="AA107" s="105"/>
      <c r="AB107" s="109"/>
      <c r="AC107" s="106"/>
    </row>
    <row r="108">
      <c r="A108" s="38"/>
      <c r="B108" s="32"/>
      <c r="C108" s="14">
        <f>I108/E116</f>
        <v>0.005029530588</v>
      </c>
      <c r="D108" s="16" t="s">
        <v>417</v>
      </c>
      <c r="E108" s="16" t="s">
        <v>418</v>
      </c>
      <c r="F108" s="17">
        <v>7.3</v>
      </c>
      <c r="G108" s="97">
        <v>3000.0</v>
      </c>
      <c r="H108" s="19">
        <f t="shared" si="53"/>
        <v>81390</v>
      </c>
      <c r="I108" s="20">
        <f t="shared" si="59"/>
        <v>85680</v>
      </c>
      <c r="J108" s="21">
        <v>27.13</v>
      </c>
      <c r="K108" s="98"/>
      <c r="L108" s="122">
        <v>28.56</v>
      </c>
      <c r="M108" s="100"/>
      <c r="N108" s="100">
        <f t="shared" si="55"/>
        <v>1.43</v>
      </c>
      <c r="O108" s="101">
        <f t="shared" si="60"/>
        <v>0.05270917803</v>
      </c>
      <c r="P108" s="102">
        <f t="shared" si="57"/>
        <v>4290</v>
      </c>
      <c r="Q108" s="32"/>
      <c r="R108" s="32"/>
      <c r="S108" s="21"/>
      <c r="T108" s="15"/>
      <c r="U108" s="15"/>
      <c r="V108" s="15"/>
      <c r="W108" s="41"/>
      <c r="X108" s="21"/>
      <c r="Y108" s="20"/>
      <c r="Z108" s="104"/>
      <c r="AA108" s="105"/>
      <c r="AB108" s="109"/>
      <c r="AC108" s="106"/>
    </row>
    <row r="109">
      <c r="A109" s="38"/>
      <c r="B109" s="32"/>
      <c r="C109" s="14">
        <f>I109/E116</f>
        <v>0</v>
      </c>
      <c r="D109" s="16" t="s">
        <v>417</v>
      </c>
      <c r="E109" s="16" t="s">
        <v>418</v>
      </c>
      <c r="F109" s="17">
        <v>7.3</v>
      </c>
      <c r="G109" s="97">
        <v>2000.0</v>
      </c>
      <c r="H109" s="19">
        <f t="shared" si="53"/>
        <v>54260</v>
      </c>
      <c r="I109" s="20">
        <v>0.0</v>
      </c>
      <c r="J109" s="21">
        <v>27.13</v>
      </c>
      <c r="K109" s="98"/>
      <c r="L109" s="122">
        <v>28.56</v>
      </c>
      <c r="M109" s="283">
        <v>28.88</v>
      </c>
      <c r="N109" s="100">
        <f t="shared" si="55"/>
        <v>1.43</v>
      </c>
      <c r="O109" s="101">
        <f>M109/J109-1</f>
        <v>0.06450423885</v>
      </c>
      <c r="P109" s="102">
        <f t="shared" si="57"/>
        <v>3500</v>
      </c>
      <c r="Q109" s="32"/>
      <c r="R109" s="32"/>
      <c r="S109" s="21"/>
      <c r="T109" s="15"/>
      <c r="U109" s="15"/>
      <c r="V109" s="15" t="s">
        <v>419</v>
      </c>
      <c r="W109" s="41">
        <v>45280.0</v>
      </c>
      <c r="X109" s="21">
        <v>28.88</v>
      </c>
      <c r="Y109" s="20">
        <v>57760.0</v>
      </c>
      <c r="Z109" s="104"/>
      <c r="AA109" s="105"/>
      <c r="AB109" s="109"/>
      <c r="AC109" s="106"/>
    </row>
    <row r="110">
      <c r="A110" s="48"/>
      <c r="B110" s="6"/>
      <c r="C110" s="6" t="s">
        <v>89</v>
      </c>
      <c r="D110" s="53"/>
      <c r="E110" s="53"/>
      <c r="F110" s="53"/>
      <c r="G110" s="11"/>
      <c r="H110" s="49">
        <f>SUM(H99:H109)</f>
        <v>1049365</v>
      </c>
      <c r="I110" s="191">
        <v>846010.0</v>
      </c>
      <c r="J110" s="54"/>
      <c r="K110" s="53"/>
      <c r="L110" s="6"/>
      <c r="M110" s="53"/>
      <c r="N110" s="53"/>
      <c r="O110" s="71">
        <f>F114</f>
        <v>0.3143989689</v>
      </c>
      <c r="P110" s="191">
        <v>242705.0</v>
      </c>
      <c r="Q110" s="53"/>
      <c r="R110" s="53"/>
      <c r="S110" s="173"/>
      <c r="T110" s="6"/>
      <c r="U110" s="6"/>
      <c r="V110" s="6" t="s">
        <v>89</v>
      </c>
      <c r="W110" s="53"/>
      <c r="X110" s="54"/>
      <c r="Y110" s="49">
        <f>SUM(Y99:Y109)</f>
        <v>446060</v>
      </c>
      <c r="Z110" s="6" t="s">
        <v>89</v>
      </c>
      <c r="AA110" s="53"/>
      <c r="AB110" s="174"/>
      <c r="AC110" s="49">
        <f>SUM(AC99:AC109)</f>
        <v>277400</v>
      </c>
    </row>
    <row r="111">
      <c r="A111" s="48" t="s">
        <v>227</v>
      </c>
      <c r="B111" s="6" t="s">
        <v>228</v>
      </c>
      <c r="C111" s="6" t="s">
        <v>229</v>
      </c>
      <c r="D111" s="5" t="s">
        <v>230</v>
      </c>
      <c r="E111" s="5" t="s">
        <v>323</v>
      </c>
      <c r="F111" s="6" t="s">
        <v>14</v>
      </c>
      <c r="G111" s="5" t="s">
        <v>232</v>
      </c>
      <c r="H111" s="6" t="s">
        <v>233</v>
      </c>
      <c r="I111" s="5" t="s">
        <v>422</v>
      </c>
      <c r="J111" s="5" t="s">
        <v>235</v>
      </c>
      <c r="K111" s="6" t="s">
        <v>423</v>
      </c>
      <c r="L111" s="53"/>
      <c r="M111" s="53"/>
      <c r="N111" s="53"/>
      <c r="O111" s="53"/>
      <c r="P111" s="53"/>
      <c r="Q111" s="53"/>
      <c r="R111" s="175"/>
      <c r="S111" s="176"/>
      <c r="T111" s="177"/>
      <c r="U111" s="175"/>
      <c r="V111" s="175"/>
      <c r="W111" s="175"/>
      <c r="X111" s="175"/>
      <c r="Y111" s="175"/>
      <c r="Z111" s="175"/>
      <c r="AA111" s="175"/>
      <c r="AB111" s="175"/>
      <c r="AC111" s="175"/>
    </row>
    <row r="112">
      <c r="A112" s="178" t="s">
        <v>424</v>
      </c>
      <c r="B112" s="14">
        <f>E112/E116</f>
        <v>0.7784710145</v>
      </c>
      <c r="C112" s="19">
        <f>H69+H56+H44+H35+H77+H84</f>
        <v>15127721</v>
      </c>
      <c r="D112" s="277">
        <v>1.1355257E7</v>
      </c>
      <c r="E112" s="20">
        <v>1.3261555E7</v>
      </c>
      <c r="F112" s="25">
        <f>G112/D112</f>
        <v>0.1144668941</v>
      </c>
      <c r="G112" s="180">
        <v>1299801.0</v>
      </c>
      <c r="H112" s="180">
        <f>T97+T77+T69+T35+T44+T56</f>
        <v>141398</v>
      </c>
      <c r="I112" s="179">
        <f>R97+R77+R69+R35</f>
        <v>24280</v>
      </c>
      <c r="J112" s="180">
        <f>Y128+AB128</f>
        <v>62690</v>
      </c>
      <c r="K112" s="179">
        <f>G112+H112+I112+J112</f>
        <v>1528169</v>
      </c>
      <c r="L112" s="32"/>
      <c r="M112" s="32"/>
      <c r="N112" s="32"/>
      <c r="O112" s="32"/>
      <c r="P112" s="32"/>
      <c r="Q112" s="32"/>
      <c r="R112" s="175"/>
      <c r="S112" s="176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</row>
    <row r="113">
      <c r="A113" s="178" t="s">
        <v>425</v>
      </c>
      <c r="B113" s="14">
        <f>E113/E116</f>
        <v>0.1668967074</v>
      </c>
      <c r="C113" s="19">
        <f>H97</f>
        <v>2664500</v>
      </c>
      <c r="D113" s="20">
        <v>2664500.0</v>
      </c>
      <c r="E113" s="20">
        <v>2843150.0</v>
      </c>
      <c r="F113" s="25">
        <f>O97</f>
        <v>0.1825295553</v>
      </c>
      <c r="G113" s="180">
        <v>468800.0</v>
      </c>
      <c r="H113" s="182"/>
      <c r="I113" s="182"/>
      <c r="J113" s="182"/>
      <c r="K113" s="25">
        <f>K112/D112</f>
        <v>0.1345781077</v>
      </c>
      <c r="L113" s="32"/>
      <c r="M113" s="32"/>
      <c r="N113" s="32"/>
      <c r="O113" s="32"/>
      <c r="P113" s="32"/>
      <c r="Q113" s="32"/>
      <c r="R113" s="175"/>
      <c r="S113" s="176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</row>
    <row r="114">
      <c r="A114" s="89" t="s">
        <v>240</v>
      </c>
      <c r="B114" s="14">
        <f>E114/E116</f>
        <v>0.04966191845</v>
      </c>
      <c r="C114" s="19">
        <f>H110</f>
        <v>1049365</v>
      </c>
      <c r="D114" s="20">
        <v>771965.0</v>
      </c>
      <c r="E114" s="20">
        <v>846010.0</v>
      </c>
      <c r="F114" s="25">
        <f>G114/D114</f>
        <v>0.3143989689</v>
      </c>
      <c r="G114" s="180">
        <v>242705.0</v>
      </c>
      <c r="H114" s="186"/>
      <c r="I114" s="187"/>
      <c r="J114" s="186"/>
      <c r="K114" s="186"/>
      <c r="L114" s="32"/>
      <c r="M114" s="32"/>
      <c r="N114" s="32"/>
      <c r="O114" s="32"/>
      <c r="P114" s="32"/>
      <c r="Q114" s="32"/>
      <c r="R114" s="175"/>
      <c r="S114" s="176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</row>
    <row r="115">
      <c r="A115" s="89" t="s">
        <v>461</v>
      </c>
      <c r="B115" s="14">
        <f>E115/E116</f>
        <v>0.00497035964</v>
      </c>
      <c r="C115" s="29" t="s">
        <v>128</v>
      </c>
      <c r="D115" s="20">
        <v>12481.0</v>
      </c>
      <c r="E115" s="20">
        <v>84672.0</v>
      </c>
      <c r="F115" s="188" t="s">
        <v>128</v>
      </c>
      <c r="G115" s="180">
        <v>228368.0</v>
      </c>
      <c r="H115" s="189" t="s">
        <v>462</v>
      </c>
      <c r="I115" s="189" t="s">
        <v>463</v>
      </c>
      <c r="J115" s="189" t="s">
        <v>464</v>
      </c>
      <c r="K115" s="189" t="s">
        <v>465</v>
      </c>
      <c r="L115" s="32"/>
      <c r="M115" s="32"/>
      <c r="N115" s="32"/>
      <c r="O115" s="32"/>
      <c r="P115" s="32"/>
      <c r="Q115" s="32"/>
      <c r="R115" s="175"/>
      <c r="S115" s="176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</row>
    <row r="116">
      <c r="A116" s="48" t="s">
        <v>246</v>
      </c>
      <c r="B116" s="190">
        <v>1.0</v>
      </c>
      <c r="C116" s="49" t="s">
        <v>128</v>
      </c>
      <c r="D116" s="191">
        <f>SUM(D112:D115)</f>
        <v>14804203</v>
      </c>
      <c r="E116" s="191">
        <v>1.7035387E7</v>
      </c>
      <c r="F116" s="25">
        <f>G116/D116</f>
        <v>0.151286361</v>
      </c>
      <c r="G116" s="191">
        <v>2239674.0</v>
      </c>
      <c r="H116" s="192">
        <v>1.1602008E7</v>
      </c>
      <c r="I116" s="193">
        <f>E116</f>
        <v>17035387</v>
      </c>
      <c r="J116" s="11">
        <f>I116-H116</f>
        <v>5433379</v>
      </c>
      <c r="K116" s="182">
        <f>J116/H116</f>
        <v>0.4683136747</v>
      </c>
      <c r="L116" s="53"/>
      <c r="M116" s="53"/>
      <c r="N116" s="53"/>
      <c r="O116" s="53"/>
      <c r="P116" s="53"/>
      <c r="Q116" s="53"/>
      <c r="R116" s="175"/>
      <c r="S116" s="176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</row>
    <row r="117">
      <c r="A117" s="194" t="s">
        <v>247</v>
      </c>
      <c r="B117" s="195"/>
      <c r="C117" s="196"/>
      <c r="D117" s="196"/>
      <c r="E117" s="196"/>
      <c r="F117" s="196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75"/>
    </row>
    <row r="118">
      <c r="A118" s="198" t="s">
        <v>248</v>
      </c>
      <c r="B118" s="199"/>
      <c r="C118" s="200" t="s">
        <v>466</v>
      </c>
      <c r="D118" s="200" t="s">
        <v>467</v>
      </c>
      <c r="E118" s="200" t="s">
        <v>468</v>
      </c>
      <c r="F118" s="201" t="s">
        <v>469</v>
      </c>
      <c r="G118" s="202"/>
      <c r="H118" s="203" t="s">
        <v>253</v>
      </c>
      <c r="I118" s="203" t="s">
        <v>254</v>
      </c>
      <c r="J118" s="203" t="s">
        <v>255</v>
      </c>
      <c r="K118" s="203" t="s">
        <v>256</v>
      </c>
      <c r="L118" s="203" t="s">
        <v>257</v>
      </c>
      <c r="M118" s="203" t="s">
        <v>258</v>
      </c>
      <c r="N118" s="203" t="s">
        <v>259</v>
      </c>
      <c r="O118" s="203" t="s">
        <v>260</v>
      </c>
      <c r="P118" s="203" t="s">
        <v>261</v>
      </c>
      <c r="Q118" s="203" t="s">
        <v>262</v>
      </c>
      <c r="R118" s="175"/>
      <c r="S118" s="203" t="s">
        <v>263</v>
      </c>
      <c r="T118" s="203" t="s">
        <v>254</v>
      </c>
      <c r="U118" s="203" t="s">
        <v>264</v>
      </c>
      <c r="V118" s="203" t="s">
        <v>256</v>
      </c>
      <c r="W118" s="203" t="s">
        <v>257</v>
      </c>
      <c r="X118" s="203" t="s">
        <v>258</v>
      </c>
      <c r="Y118" s="203" t="s">
        <v>259</v>
      </c>
      <c r="Z118" s="203" t="s">
        <v>260</v>
      </c>
      <c r="AA118" s="203" t="s">
        <v>261</v>
      </c>
      <c r="AB118" s="203" t="s">
        <v>262</v>
      </c>
      <c r="AC118" s="175"/>
    </row>
    <row r="119">
      <c r="A119" s="89" t="s">
        <v>265</v>
      </c>
      <c r="B119" s="16" t="s">
        <v>266</v>
      </c>
      <c r="C119" s="204">
        <v>33508.0</v>
      </c>
      <c r="D119" s="204">
        <v>37690.0</v>
      </c>
      <c r="E119" s="206">
        <f t="shared" ref="E119:E123" si="61">D119-C119</f>
        <v>4182</v>
      </c>
      <c r="F119" s="207">
        <f t="shared" ref="F119:F123" si="62">D119/C119-1</f>
        <v>0.1248060165</v>
      </c>
      <c r="G119" s="208"/>
      <c r="H119" s="306">
        <v>20000.0</v>
      </c>
      <c r="I119" s="104" t="s">
        <v>46</v>
      </c>
      <c r="J119" s="108">
        <v>45210.0</v>
      </c>
      <c r="K119" s="108">
        <v>45247.0</v>
      </c>
      <c r="L119" s="216">
        <v>19.0</v>
      </c>
      <c r="M119" s="216">
        <v>1.33</v>
      </c>
      <c r="N119" s="217">
        <v>26600.0</v>
      </c>
      <c r="O119" s="108">
        <v>45211.0</v>
      </c>
      <c r="P119" s="216">
        <v>1.1</v>
      </c>
      <c r="Q119" s="217">
        <v>5600.0</v>
      </c>
      <c r="R119" s="175"/>
      <c r="S119" s="214"/>
      <c r="T119" s="104" t="s">
        <v>46</v>
      </c>
      <c r="U119" s="108">
        <v>45219.0</v>
      </c>
      <c r="V119" s="108">
        <v>45247.0</v>
      </c>
      <c r="W119" s="215">
        <v>12.0</v>
      </c>
      <c r="X119" s="216">
        <v>0.17</v>
      </c>
      <c r="Y119" s="217">
        <v>6000.0</v>
      </c>
      <c r="Z119" s="108">
        <v>45232.0</v>
      </c>
      <c r="AA119" s="216">
        <v>0.04</v>
      </c>
      <c r="AB119" s="217">
        <v>-4560.0</v>
      </c>
      <c r="AC119" s="175"/>
    </row>
    <row r="120">
      <c r="A120" s="89" t="s">
        <v>267</v>
      </c>
      <c r="B120" s="16" t="s">
        <v>268</v>
      </c>
      <c r="C120" s="204">
        <v>4288.0</v>
      </c>
      <c r="D120" s="204">
        <v>4770.0</v>
      </c>
      <c r="E120" s="206">
        <f t="shared" si="61"/>
        <v>482</v>
      </c>
      <c r="F120" s="207">
        <f t="shared" si="62"/>
        <v>0.1124067164</v>
      </c>
      <c r="G120" s="208"/>
      <c r="H120" s="306">
        <v>1000.0</v>
      </c>
      <c r="I120" s="104" t="s">
        <v>311</v>
      </c>
      <c r="J120" s="108">
        <v>45210.0</v>
      </c>
      <c r="K120" s="108">
        <v>45247.0</v>
      </c>
      <c r="L120" s="216">
        <v>135.0</v>
      </c>
      <c r="M120" s="216">
        <v>9.25</v>
      </c>
      <c r="N120" s="217">
        <v>9250.0</v>
      </c>
      <c r="O120" s="108">
        <v>45211.0</v>
      </c>
      <c r="P120" s="216">
        <v>7.15</v>
      </c>
      <c r="Q120" s="217">
        <v>2100.0</v>
      </c>
      <c r="R120" s="175"/>
      <c r="S120" s="214"/>
      <c r="T120" s="104" t="s">
        <v>46</v>
      </c>
      <c r="U120" s="108">
        <v>45219.0</v>
      </c>
      <c r="V120" s="108">
        <v>45247.0</v>
      </c>
      <c r="W120" s="215">
        <v>13.0</v>
      </c>
      <c r="X120" s="216">
        <v>0.31</v>
      </c>
      <c r="Y120" s="217">
        <v>6000.0</v>
      </c>
      <c r="Z120" s="108">
        <v>45230.0</v>
      </c>
      <c r="AA120" s="216">
        <v>0.46</v>
      </c>
      <c r="AB120" s="217">
        <v>2880.0</v>
      </c>
      <c r="AC120" s="175"/>
    </row>
    <row r="121">
      <c r="A121" s="89" t="s">
        <v>269</v>
      </c>
      <c r="B121" s="16" t="s">
        <v>270</v>
      </c>
      <c r="C121" s="204">
        <v>13219.0</v>
      </c>
      <c r="D121" s="204">
        <v>15011.0</v>
      </c>
      <c r="E121" s="206">
        <f t="shared" si="61"/>
        <v>1792</v>
      </c>
      <c r="F121" s="207">
        <f t="shared" si="62"/>
        <v>0.135562448</v>
      </c>
      <c r="G121" s="208"/>
      <c r="H121" s="225">
        <v>2000.0</v>
      </c>
      <c r="I121" s="104" t="s">
        <v>385</v>
      </c>
      <c r="J121" s="108">
        <v>45210.0</v>
      </c>
      <c r="K121" s="108">
        <v>45247.0</v>
      </c>
      <c r="L121" s="216">
        <v>60.0</v>
      </c>
      <c r="M121" s="216">
        <v>3.65</v>
      </c>
      <c r="N121" s="217">
        <v>7300.0</v>
      </c>
      <c r="O121" s="108">
        <v>45211.0</v>
      </c>
      <c r="P121" s="216">
        <v>3.2</v>
      </c>
      <c r="Q121" s="217">
        <v>900.0</v>
      </c>
      <c r="R121" s="175"/>
      <c r="S121" s="224"/>
      <c r="T121" s="104" t="s">
        <v>40</v>
      </c>
      <c r="U121" s="108">
        <v>45219.0</v>
      </c>
      <c r="V121" s="108">
        <v>45247.0</v>
      </c>
      <c r="W121" s="215">
        <v>90.0</v>
      </c>
      <c r="X121" s="216">
        <v>1.9</v>
      </c>
      <c r="Y121" s="217">
        <v>5000.0</v>
      </c>
      <c r="Z121" s="108">
        <v>45225.0</v>
      </c>
      <c r="AA121" s="216">
        <v>3.83</v>
      </c>
      <c r="AB121" s="217">
        <v>5050.0</v>
      </c>
      <c r="AC121" s="175"/>
    </row>
    <row r="122">
      <c r="A122" s="89" t="s">
        <v>271</v>
      </c>
      <c r="B122" s="16" t="s">
        <v>272</v>
      </c>
      <c r="C122" s="204">
        <v>1785.0</v>
      </c>
      <c r="D122" s="204">
        <v>2027.0</v>
      </c>
      <c r="E122" s="206">
        <f t="shared" si="61"/>
        <v>242</v>
      </c>
      <c r="F122" s="207">
        <f t="shared" si="62"/>
        <v>0.1355742297</v>
      </c>
      <c r="G122" s="208"/>
      <c r="H122" s="225">
        <v>500.0</v>
      </c>
      <c r="I122" s="104" t="s">
        <v>291</v>
      </c>
      <c r="J122" s="108">
        <v>45210.0</v>
      </c>
      <c r="K122" s="108">
        <v>45247.0</v>
      </c>
      <c r="L122" s="216">
        <v>340.0</v>
      </c>
      <c r="M122" s="216">
        <v>22.27</v>
      </c>
      <c r="N122" s="217">
        <v>11135.0</v>
      </c>
      <c r="O122" s="108">
        <v>45211.0</v>
      </c>
      <c r="P122" s="216">
        <v>18.5</v>
      </c>
      <c r="Q122" s="217">
        <v>1885.0</v>
      </c>
      <c r="R122" s="175"/>
      <c r="S122" s="224"/>
      <c r="T122" s="104" t="s">
        <v>291</v>
      </c>
      <c r="U122" s="108">
        <v>45223.0</v>
      </c>
      <c r="V122" s="108">
        <v>45275.0</v>
      </c>
      <c r="W122" s="215">
        <v>180.0</v>
      </c>
      <c r="X122" s="216">
        <v>5.0</v>
      </c>
      <c r="Y122" s="217">
        <v>4250.0</v>
      </c>
      <c r="Z122" s="108">
        <v>45230.0</v>
      </c>
      <c r="AA122" s="216">
        <v>6.8</v>
      </c>
      <c r="AB122" s="217">
        <v>1530.0</v>
      </c>
      <c r="AC122" s="175"/>
    </row>
    <row r="123">
      <c r="A123" s="89" t="s">
        <v>273</v>
      </c>
      <c r="B123" s="16" t="s">
        <v>274</v>
      </c>
      <c r="C123" s="204">
        <v>15398.0</v>
      </c>
      <c r="D123" s="204">
        <v>16853.0</v>
      </c>
      <c r="E123" s="206">
        <f t="shared" si="61"/>
        <v>1455</v>
      </c>
      <c r="F123" s="207">
        <f t="shared" si="62"/>
        <v>0.09449279127</v>
      </c>
      <c r="G123" s="208"/>
      <c r="H123" s="225">
        <v>5000.0</v>
      </c>
      <c r="I123" s="104" t="s">
        <v>132</v>
      </c>
      <c r="J123" s="108">
        <v>45210.0</v>
      </c>
      <c r="K123" s="108">
        <v>45247.0</v>
      </c>
      <c r="L123" s="216">
        <v>37.5</v>
      </c>
      <c r="M123" s="216">
        <v>1.74</v>
      </c>
      <c r="N123" s="217">
        <v>8700.0</v>
      </c>
      <c r="O123" s="108">
        <v>45211.0</v>
      </c>
      <c r="P123" s="216">
        <v>1.25</v>
      </c>
      <c r="Q123" s="217">
        <v>2450.0</v>
      </c>
      <c r="R123" s="175"/>
      <c r="S123" s="224"/>
      <c r="T123" s="104" t="s">
        <v>311</v>
      </c>
      <c r="U123" s="108">
        <v>45224.0</v>
      </c>
      <c r="V123" s="108">
        <v>45275.0</v>
      </c>
      <c r="W123" s="215">
        <v>80.0</v>
      </c>
      <c r="X123" s="216">
        <v>3.85</v>
      </c>
      <c r="Y123" s="217">
        <v>5200.0</v>
      </c>
      <c r="Z123" s="108">
        <v>45230.0</v>
      </c>
      <c r="AA123" s="216">
        <v>6.15</v>
      </c>
      <c r="AB123" s="217">
        <v>3120.0</v>
      </c>
      <c r="AC123" s="175"/>
    </row>
    <row r="124">
      <c r="H124" s="225">
        <v>2500.0</v>
      </c>
      <c r="I124" s="104" t="s">
        <v>40</v>
      </c>
      <c r="J124" s="108">
        <v>45210.0</v>
      </c>
      <c r="K124" s="108">
        <v>45247.0</v>
      </c>
      <c r="L124" s="216">
        <v>110.0</v>
      </c>
      <c r="M124" s="216">
        <v>6.75</v>
      </c>
      <c r="N124" s="217">
        <v>16875.0</v>
      </c>
      <c r="O124" s="108">
        <v>45211.0</v>
      </c>
      <c r="P124" s="216">
        <v>6.2</v>
      </c>
      <c r="Q124" s="217">
        <v>1375.0</v>
      </c>
      <c r="S124" s="224"/>
      <c r="T124" s="104" t="s">
        <v>336</v>
      </c>
      <c r="U124" s="108">
        <v>45224.0</v>
      </c>
      <c r="V124" s="108">
        <v>45275.0</v>
      </c>
      <c r="W124" s="215">
        <v>30.0</v>
      </c>
      <c r="X124" s="216">
        <v>0.54</v>
      </c>
      <c r="Y124" s="217">
        <v>8800.0</v>
      </c>
      <c r="Z124" s="108">
        <v>45225.0</v>
      </c>
      <c r="AA124" s="216">
        <v>0.95</v>
      </c>
      <c r="AB124" s="217">
        <v>6600.0</v>
      </c>
    </row>
    <row r="125">
      <c r="A125" s="226" t="s">
        <v>248</v>
      </c>
      <c r="B125" s="227"/>
      <c r="C125" s="228" t="s">
        <v>470</v>
      </c>
      <c r="D125" s="228" t="s">
        <v>471</v>
      </c>
      <c r="E125" s="228" t="s">
        <v>472</v>
      </c>
      <c r="F125" s="228" t="s">
        <v>473</v>
      </c>
      <c r="H125" s="209">
        <v>1000.0</v>
      </c>
      <c r="I125" s="210" t="s">
        <v>36</v>
      </c>
      <c r="J125" s="108">
        <v>45210.0</v>
      </c>
      <c r="K125" s="211">
        <v>45247.0</v>
      </c>
      <c r="L125" s="212">
        <v>270.0</v>
      </c>
      <c r="M125" s="212">
        <v>15.0</v>
      </c>
      <c r="N125" s="213">
        <v>15000.0</v>
      </c>
      <c r="O125" s="108">
        <v>45248.0</v>
      </c>
      <c r="P125" s="212">
        <v>5.8</v>
      </c>
      <c r="Q125" s="213">
        <v>9200.0</v>
      </c>
      <c r="S125" s="229"/>
      <c r="T125" s="210" t="s">
        <v>311</v>
      </c>
      <c r="U125" s="211">
        <v>45226.0</v>
      </c>
      <c r="V125" s="211">
        <v>45275.0</v>
      </c>
      <c r="W125" s="230">
        <v>70.0</v>
      </c>
      <c r="X125" s="212">
        <v>2.17</v>
      </c>
      <c r="Y125" s="213">
        <v>6050.0</v>
      </c>
      <c r="Z125" s="211">
        <v>45232.0</v>
      </c>
      <c r="AA125" s="212">
        <v>2.7</v>
      </c>
      <c r="AB125" s="213">
        <v>1450.0</v>
      </c>
    </row>
    <row r="126">
      <c r="A126" s="231" t="s">
        <v>265</v>
      </c>
      <c r="B126" s="231" t="s">
        <v>266</v>
      </c>
      <c r="C126" s="232">
        <v>33147.0</v>
      </c>
      <c r="D126" s="232">
        <v>37690.0</v>
      </c>
      <c r="E126" s="234">
        <f t="shared" ref="E126:E130" si="63">D126-C126</f>
        <v>4543</v>
      </c>
      <c r="F126" s="235">
        <f t="shared" ref="F126:F130" si="64">D126/C126-1</f>
        <v>0.1370561438</v>
      </c>
      <c r="H126" s="209">
        <v>1000.0</v>
      </c>
      <c r="I126" s="210" t="s">
        <v>311</v>
      </c>
      <c r="J126" s="211">
        <v>45211.0</v>
      </c>
      <c r="K126" s="211">
        <v>45247.0</v>
      </c>
      <c r="L126" s="212">
        <v>130.0</v>
      </c>
      <c r="M126" s="212">
        <v>8.9</v>
      </c>
      <c r="N126" s="213">
        <v>8900.0</v>
      </c>
      <c r="O126" s="211">
        <v>45211.0</v>
      </c>
      <c r="P126" s="212">
        <v>7.65</v>
      </c>
      <c r="Q126" s="213">
        <v>1250.0</v>
      </c>
      <c r="S126" s="229"/>
      <c r="T126" s="210" t="s">
        <v>46</v>
      </c>
      <c r="U126" s="211">
        <v>45231.0</v>
      </c>
      <c r="V126" s="211">
        <v>45275.0</v>
      </c>
      <c r="W126" s="230">
        <v>12.0</v>
      </c>
      <c r="X126" s="212">
        <v>0.41</v>
      </c>
      <c r="Y126" s="213">
        <v>6000.0</v>
      </c>
      <c r="Z126" s="211">
        <v>45232.0</v>
      </c>
      <c r="AA126" s="212">
        <v>0.11</v>
      </c>
      <c r="AB126" s="213">
        <v>-4380.0</v>
      </c>
    </row>
    <row r="127">
      <c r="A127" s="231" t="s">
        <v>267</v>
      </c>
      <c r="B127" s="231" t="s">
        <v>268</v>
      </c>
      <c r="C127" s="232">
        <v>3840.0</v>
      </c>
      <c r="D127" s="232">
        <v>4770.0</v>
      </c>
      <c r="E127" s="234">
        <f t="shared" si="63"/>
        <v>930</v>
      </c>
      <c r="F127" s="235">
        <f t="shared" si="64"/>
        <v>0.2421875</v>
      </c>
      <c r="H127" s="255">
        <v>500.0</v>
      </c>
      <c r="I127" s="210" t="s">
        <v>291</v>
      </c>
      <c r="J127" s="211">
        <v>45211.0</v>
      </c>
      <c r="K127" s="211">
        <v>45247.0</v>
      </c>
      <c r="L127" s="212">
        <v>320.0</v>
      </c>
      <c r="M127" s="212">
        <v>22.0</v>
      </c>
      <c r="N127" s="213">
        <v>11000.0</v>
      </c>
      <c r="O127" s="211">
        <v>45211.0</v>
      </c>
      <c r="P127" s="212">
        <v>15.6</v>
      </c>
      <c r="Q127" s="213">
        <v>3200.0</v>
      </c>
      <c r="S127" s="229"/>
      <c r="T127" s="210" t="s">
        <v>291</v>
      </c>
      <c r="U127" s="211">
        <v>45231.0</v>
      </c>
      <c r="V127" s="211">
        <v>45275.0</v>
      </c>
      <c r="W127" s="230">
        <v>180.0</v>
      </c>
      <c r="X127" s="212">
        <v>4.45</v>
      </c>
      <c r="Y127" s="213">
        <v>5000.0</v>
      </c>
      <c r="Z127" s="211">
        <v>45232.0</v>
      </c>
      <c r="AA127" s="212">
        <v>3.28</v>
      </c>
      <c r="AB127" s="213">
        <v>-1300.0</v>
      </c>
    </row>
    <row r="128">
      <c r="A128" s="231" t="s">
        <v>269</v>
      </c>
      <c r="B128" s="231" t="s">
        <v>270</v>
      </c>
      <c r="C128" s="232">
        <v>10466.0</v>
      </c>
      <c r="D128" s="232">
        <v>15011.0</v>
      </c>
      <c r="E128" s="234">
        <f t="shared" si="63"/>
        <v>4545</v>
      </c>
      <c r="F128" s="235">
        <f t="shared" si="64"/>
        <v>0.4342633289</v>
      </c>
      <c r="H128" s="209">
        <v>5000.0</v>
      </c>
      <c r="I128" s="237" t="s">
        <v>132</v>
      </c>
      <c r="J128" s="220">
        <v>45211.0</v>
      </c>
      <c r="K128" s="211">
        <v>45247.0</v>
      </c>
      <c r="L128" s="221">
        <v>35.0</v>
      </c>
      <c r="M128" s="221">
        <v>2.24</v>
      </c>
      <c r="N128" s="222">
        <v>11200.0</v>
      </c>
      <c r="O128" s="220">
        <v>45222.0</v>
      </c>
      <c r="P128" s="221">
        <v>1.38</v>
      </c>
      <c r="Q128" s="222">
        <v>4300.0</v>
      </c>
      <c r="S128" s="238" t="s">
        <v>89</v>
      </c>
      <c r="T128" s="239"/>
      <c r="U128" s="239"/>
      <c r="V128" s="239"/>
      <c r="W128" s="239"/>
      <c r="X128" s="239"/>
      <c r="Y128" s="240">
        <f>SUM(Y119:Y127)</f>
        <v>52300</v>
      </c>
      <c r="Z128" s="239"/>
      <c r="AA128" s="241"/>
      <c r="AB128" s="240">
        <f>SUM(AB119:AB127)</f>
        <v>10390</v>
      </c>
    </row>
    <row r="129">
      <c r="A129" s="231" t="s">
        <v>271</v>
      </c>
      <c r="B129" s="231" t="s">
        <v>272</v>
      </c>
      <c r="C129" s="232">
        <v>1761.0</v>
      </c>
      <c r="D129" s="232">
        <v>2027.0</v>
      </c>
      <c r="E129" s="234">
        <f t="shared" si="63"/>
        <v>266</v>
      </c>
      <c r="F129" s="235">
        <f t="shared" si="64"/>
        <v>0.1510505395</v>
      </c>
      <c r="H129" s="209">
        <v>1500.0</v>
      </c>
      <c r="I129" s="210" t="s">
        <v>40</v>
      </c>
      <c r="J129" s="211">
        <v>45211.0</v>
      </c>
      <c r="K129" s="211">
        <v>45247.0</v>
      </c>
      <c r="L129" s="212">
        <v>110.0</v>
      </c>
      <c r="M129" s="212">
        <v>6.2</v>
      </c>
      <c r="N129" s="213">
        <v>9300.0</v>
      </c>
      <c r="O129" s="211">
        <v>45211.0</v>
      </c>
      <c r="P129" s="212">
        <v>5.55</v>
      </c>
      <c r="Q129" s="213">
        <v>975.0</v>
      </c>
    </row>
    <row r="130">
      <c r="A130" s="231" t="s">
        <v>273</v>
      </c>
      <c r="B130" s="231" t="s">
        <v>274</v>
      </c>
      <c r="C130" s="232">
        <v>15184.0</v>
      </c>
      <c r="D130" s="232">
        <v>16853.0</v>
      </c>
      <c r="E130" s="234">
        <f t="shared" si="63"/>
        <v>1669</v>
      </c>
      <c r="F130" s="235">
        <f t="shared" si="64"/>
        <v>0.1099183351</v>
      </c>
      <c r="H130" s="209">
        <v>2500.0</v>
      </c>
      <c r="I130" s="210" t="s">
        <v>40</v>
      </c>
      <c r="J130" s="211">
        <v>45215.0</v>
      </c>
      <c r="K130" s="211">
        <v>45247.0</v>
      </c>
      <c r="L130" s="212">
        <v>110.0</v>
      </c>
      <c r="M130" s="212">
        <v>5.05</v>
      </c>
      <c r="N130" s="213">
        <v>12625.0</v>
      </c>
      <c r="O130" s="211">
        <v>45216.0</v>
      </c>
      <c r="P130" s="212">
        <v>3.51</v>
      </c>
      <c r="Q130" s="213">
        <v>3850.0</v>
      </c>
    </row>
    <row r="131">
      <c r="H131" s="209">
        <v>1000.0</v>
      </c>
      <c r="I131" s="210" t="s">
        <v>311</v>
      </c>
      <c r="J131" s="211">
        <v>45215.0</v>
      </c>
      <c r="K131" s="211">
        <v>45247.0</v>
      </c>
      <c r="L131" s="212">
        <v>130.0</v>
      </c>
      <c r="M131" s="212">
        <v>9.45</v>
      </c>
      <c r="N131" s="213">
        <v>9450.0</v>
      </c>
      <c r="O131" s="211">
        <v>45216.0</v>
      </c>
      <c r="P131" s="212">
        <v>9.2</v>
      </c>
      <c r="Q131" s="213">
        <v>250.0</v>
      </c>
    </row>
    <row r="132">
      <c r="A132" s="242" t="s">
        <v>278</v>
      </c>
      <c r="B132" s="243" t="s">
        <v>279</v>
      </c>
      <c r="C132" s="244"/>
      <c r="D132" s="244"/>
      <c r="H132" s="255">
        <v>500.0</v>
      </c>
      <c r="I132" s="210" t="s">
        <v>291</v>
      </c>
      <c r="J132" s="211">
        <v>45215.0</v>
      </c>
      <c r="K132" s="211">
        <v>45247.0</v>
      </c>
      <c r="L132" s="212">
        <v>320.0</v>
      </c>
      <c r="M132" s="212">
        <v>18.5</v>
      </c>
      <c r="N132" s="213">
        <v>9250.0</v>
      </c>
      <c r="O132" s="211">
        <v>45216.0</v>
      </c>
      <c r="P132" s="212">
        <v>13.74</v>
      </c>
      <c r="Q132" s="213">
        <v>2380.0</v>
      </c>
    </row>
    <row r="133">
      <c r="A133" s="242" t="s">
        <v>280</v>
      </c>
      <c r="B133" s="243" t="s">
        <v>281</v>
      </c>
      <c r="C133" s="244"/>
      <c r="D133" s="244"/>
      <c r="H133" s="209">
        <v>20000.0</v>
      </c>
      <c r="I133" s="210" t="s">
        <v>46</v>
      </c>
      <c r="J133" s="211">
        <v>45215.0</v>
      </c>
      <c r="K133" s="211">
        <v>45247.0</v>
      </c>
      <c r="L133" s="212">
        <v>18.0</v>
      </c>
      <c r="M133" s="212">
        <v>1.25</v>
      </c>
      <c r="N133" s="213">
        <v>25000.0</v>
      </c>
      <c r="O133" s="211">
        <v>45216.0</v>
      </c>
      <c r="P133" s="212">
        <v>1.15</v>
      </c>
      <c r="Q133" s="213">
        <v>2000.0</v>
      </c>
    </row>
    <row r="134">
      <c r="A134" s="242" t="s">
        <v>282</v>
      </c>
      <c r="B134" s="246" t="s">
        <v>283</v>
      </c>
      <c r="C134" s="244"/>
      <c r="D134" s="244"/>
      <c r="H134" s="209">
        <v>3000.0</v>
      </c>
      <c r="I134" s="210" t="s">
        <v>97</v>
      </c>
      <c r="J134" s="211">
        <v>45215.0</v>
      </c>
      <c r="K134" s="211">
        <v>45247.0</v>
      </c>
      <c r="L134" s="212">
        <v>42.5</v>
      </c>
      <c r="M134" s="212">
        <v>1.94</v>
      </c>
      <c r="N134" s="213">
        <v>5820.0</v>
      </c>
      <c r="O134" s="211">
        <v>45216.0</v>
      </c>
      <c r="P134" s="212">
        <v>2.0</v>
      </c>
      <c r="Q134" s="213">
        <v>-180.0</v>
      </c>
    </row>
    <row r="135">
      <c r="H135" s="209">
        <v>4000.0</v>
      </c>
      <c r="I135" s="210" t="s">
        <v>336</v>
      </c>
      <c r="J135" s="211">
        <v>45215.0</v>
      </c>
      <c r="K135" s="211">
        <v>45247.0</v>
      </c>
      <c r="L135" s="212">
        <v>50.0</v>
      </c>
      <c r="M135" s="212">
        <v>3.12</v>
      </c>
      <c r="N135" s="213">
        <v>12480.0</v>
      </c>
      <c r="O135" s="211">
        <v>45216.0</v>
      </c>
      <c r="P135" s="212">
        <v>3.0</v>
      </c>
      <c r="Q135" s="213">
        <v>480.0</v>
      </c>
    </row>
    <row r="136">
      <c r="H136" s="209">
        <v>25000.0</v>
      </c>
      <c r="I136" s="210" t="s">
        <v>46</v>
      </c>
      <c r="J136" s="211">
        <v>45216.0</v>
      </c>
      <c r="K136" s="211">
        <v>45247.0</v>
      </c>
      <c r="L136" s="212">
        <v>19.0</v>
      </c>
      <c r="M136" s="212">
        <v>1.05</v>
      </c>
      <c r="N136" s="213">
        <v>26250.0</v>
      </c>
      <c r="O136" s="211">
        <v>45218.0</v>
      </c>
      <c r="P136" s="212">
        <v>0.52</v>
      </c>
      <c r="Q136" s="213">
        <v>13250.0</v>
      </c>
    </row>
    <row r="137">
      <c r="H137" s="255">
        <v>500.0</v>
      </c>
      <c r="I137" s="210" t="s">
        <v>291</v>
      </c>
      <c r="J137" s="211">
        <v>45216.0</v>
      </c>
      <c r="K137" s="211">
        <v>45247.0</v>
      </c>
      <c r="L137" s="212">
        <v>320.0</v>
      </c>
      <c r="M137" s="212">
        <v>20.6</v>
      </c>
      <c r="N137" s="213">
        <v>10300.0</v>
      </c>
      <c r="O137" s="211">
        <v>45218.0</v>
      </c>
      <c r="P137" s="212">
        <v>11.8</v>
      </c>
      <c r="Q137" s="213">
        <v>4400.0</v>
      </c>
    </row>
    <row r="138">
      <c r="H138" s="209">
        <v>2500.0</v>
      </c>
      <c r="I138" s="237" t="s">
        <v>40</v>
      </c>
      <c r="J138" s="211">
        <v>45216.0</v>
      </c>
      <c r="K138" s="211">
        <v>45247.0</v>
      </c>
      <c r="L138" s="221">
        <v>110.0</v>
      </c>
      <c r="M138" s="221">
        <v>4.45</v>
      </c>
      <c r="N138" s="222">
        <v>11125.0</v>
      </c>
      <c r="O138" s="220">
        <v>45223.0</v>
      </c>
      <c r="P138" s="221">
        <v>2.2</v>
      </c>
      <c r="Q138" s="222">
        <v>625.0</v>
      </c>
    </row>
    <row r="139">
      <c r="H139" s="209">
        <v>2000.0</v>
      </c>
      <c r="I139" s="210" t="s">
        <v>385</v>
      </c>
      <c r="J139" s="211">
        <v>45216.0</v>
      </c>
      <c r="K139" s="211">
        <v>45247.0</v>
      </c>
      <c r="L139" s="212">
        <v>60.0</v>
      </c>
      <c r="M139" s="212">
        <v>3.7</v>
      </c>
      <c r="N139" s="213">
        <v>7400.0</v>
      </c>
      <c r="O139" s="211">
        <v>45218.0</v>
      </c>
      <c r="P139" s="212">
        <v>1.24</v>
      </c>
      <c r="Q139" s="213">
        <v>4920.0</v>
      </c>
    </row>
    <row r="140">
      <c r="H140" s="251">
        <v>1500.0</v>
      </c>
      <c r="I140" s="210" t="s">
        <v>301</v>
      </c>
      <c r="J140" s="211">
        <v>45216.0</v>
      </c>
      <c r="K140" s="211">
        <v>45247.0</v>
      </c>
      <c r="L140" s="212">
        <v>105.0</v>
      </c>
      <c r="M140" s="212">
        <v>5.2</v>
      </c>
      <c r="N140" s="213">
        <v>7800.0</v>
      </c>
      <c r="O140" s="211">
        <v>45230.0</v>
      </c>
      <c r="P140" s="212">
        <v>1.9</v>
      </c>
      <c r="Q140" s="213">
        <v>4995.0</v>
      </c>
    </row>
    <row r="141">
      <c r="H141" s="252">
        <v>1000.0</v>
      </c>
      <c r="I141" s="210" t="s">
        <v>311</v>
      </c>
      <c r="J141" s="211">
        <v>45216.0</v>
      </c>
      <c r="K141" s="211">
        <v>45247.0</v>
      </c>
      <c r="L141" s="212">
        <v>135.0</v>
      </c>
      <c r="M141" s="212">
        <v>8.5</v>
      </c>
      <c r="N141" s="213">
        <v>8500.0</v>
      </c>
      <c r="O141" s="211">
        <v>45217.0</v>
      </c>
      <c r="P141" s="212">
        <v>6.05</v>
      </c>
      <c r="Q141" s="213">
        <v>2450.0</v>
      </c>
    </row>
    <row r="142">
      <c r="H142" s="253">
        <v>500.0</v>
      </c>
      <c r="I142" s="210" t="s">
        <v>291</v>
      </c>
      <c r="J142" s="211">
        <v>45217.0</v>
      </c>
      <c r="K142" s="211">
        <v>45247.0</v>
      </c>
      <c r="L142" s="212">
        <v>310.0</v>
      </c>
      <c r="M142" s="212">
        <v>19.25</v>
      </c>
      <c r="N142" s="213">
        <v>9625.0</v>
      </c>
      <c r="O142" s="211">
        <v>45218.0</v>
      </c>
      <c r="P142" s="212">
        <v>12.0</v>
      </c>
      <c r="Q142" s="213">
        <v>3625.0</v>
      </c>
    </row>
    <row r="143">
      <c r="H143" s="252">
        <v>1000.0</v>
      </c>
      <c r="I143" s="210" t="s">
        <v>36</v>
      </c>
      <c r="J143" s="211">
        <v>45217.0</v>
      </c>
      <c r="K143" s="211">
        <v>45247.0</v>
      </c>
      <c r="L143" s="212">
        <v>250.0</v>
      </c>
      <c r="M143" s="212">
        <v>12.25</v>
      </c>
      <c r="N143" s="213">
        <v>12250.0</v>
      </c>
      <c r="O143" s="211">
        <v>45218.0</v>
      </c>
      <c r="P143" s="212">
        <v>3.4</v>
      </c>
      <c r="Q143" s="213">
        <v>8850.0</v>
      </c>
    </row>
    <row r="144">
      <c r="H144" s="252">
        <v>2500.0</v>
      </c>
      <c r="I144" s="210" t="s">
        <v>299</v>
      </c>
      <c r="J144" s="211">
        <v>45217.0</v>
      </c>
      <c r="K144" s="211">
        <v>45247.0</v>
      </c>
      <c r="L144" s="212">
        <v>45.0</v>
      </c>
      <c r="M144" s="212">
        <v>3.3</v>
      </c>
      <c r="N144" s="213">
        <v>8250.0</v>
      </c>
      <c r="O144" s="211">
        <v>45224.0</v>
      </c>
      <c r="P144" s="212">
        <v>2.0</v>
      </c>
      <c r="Q144" s="213">
        <v>3250.0</v>
      </c>
    </row>
    <row r="145">
      <c r="H145" s="209">
        <v>1000.0</v>
      </c>
      <c r="I145" s="237" t="s">
        <v>36</v>
      </c>
      <c r="J145" s="220">
        <v>45219.0</v>
      </c>
      <c r="K145" s="220">
        <v>45247.0</v>
      </c>
      <c r="L145" s="222">
        <v>220.0</v>
      </c>
      <c r="M145" s="223">
        <v>11.4</v>
      </c>
      <c r="N145" s="222">
        <v>11400.0</v>
      </c>
      <c r="O145" s="220">
        <v>45223.0</v>
      </c>
      <c r="P145" s="221">
        <v>9.6</v>
      </c>
      <c r="Q145" s="222">
        <v>1800.0</v>
      </c>
    </row>
    <row r="146">
      <c r="H146" s="209">
        <v>20000.0</v>
      </c>
      <c r="I146" s="210" t="s">
        <v>46</v>
      </c>
      <c r="J146" s="211">
        <v>45219.0</v>
      </c>
      <c r="K146" s="211">
        <v>45247.0</v>
      </c>
      <c r="L146" s="212">
        <v>17.0</v>
      </c>
      <c r="M146" s="212">
        <v>1.2</v>
      </c>
      <c r="N146" s="213">
        <v>24000.0</v>
      </c>
      <c r="O146" s="211">
        <v>45222.0</v>
      </c>
      <c r="P146" s="212">
        <v>1.04</v>
      </c>
      <c r="Q146" s="213">
        <v>-14800.0</v>
      </c>
    </row>
    <row r="147">
      <c r="H147" s="251">
        <v>4000.0</v>
      </c>
      <c r="I147" s="210" t="s">
        <v>336</v>
      </c>
      <c r="J147" s="211">
        <v>45219.0</v>
      </c>
      <c r="K147" s="211">
        <v>45247.0</v>
      </c>
      <c r="L147" s="212">
        <v>50.0</v>
      </c>
      <c r="M147" s="212">
        <v>2.0</v>
      </c>
      <c r="N147" s="213">
        <v>8000.0</v>
      </c>
      <c r="O147" s="211">
        <v>45225.0</v>
      </c>
      <c r="P147" s="212">
        <v>0.95</v>
      </c>
      <c r="Q147" s="213">
        <v>4200.0</v>
      </c>
    </row>
    <row r="148">
      <c r="H148" s="255">
        <v>500.0</v>
      </c>
      <c r="I148" s="210" t="s">
        <v>36</v>
      </c>
      <c r="J148" s="211">
        <v>45223.0</v>
      </c>
      <c r="K148" s="211">
        <v>45275.0</v>
      </c>
      <c r="L148" s="212">
        <v>335.0</v>
      </c>
      <c r="M148" s="212">
        <v>9.25</v>
      </c>
      <c r="N148" s="213">
        <v>4625.0</v>
      </c>
      <c r="O148" s="211">
        <v>45226.0</v>
      </c>
      <c r="P148" s="212">
        <v>7.1</v>
      </c>
      <c r="Q148" s="213">
        <v>1075.0</v>
      </c>
    </row>
    <row r="149">
      <c r="H149" s="255">
        <v>500.0</v>
      </c>
      <c r="I149" s="210" t="s">
        <v>291</v>
      </c>
      <c r="J149" s="211">
        <v>45223.0</v>
      </c>
      <c r="K149" s="211">
        <v>45275.0</v>
      </c>
      <c r="L149" s="212">
        <v>300.0</v>
      </c>
      <c r="M149" s="212">
        <v>19.0</v>
      </c>
      <c r="N149" s="213">
        <v>9500.0</v>
      </c>
      <c r="O149" s="211">
        <v>45226.0</v>
      </c>
      <c r="P149" s="212">
        <v>12.6</v>
      </c>
      <c r="Q149" s="213">
        <v>-7050.0</v>
      </c>
    </row>
    <row r="150">
      <c r="H150" s="209">
        <v>1000.0</v>
      </c>
      <c r="I150" s="210" t="s">
        <v>311</v>
      </c>
      <c r="J150" s="211">
        <v>45224.0</v>
      </c>
      <c r="K150" s="211">
        <v>45285.0</v>
      </c>
      <c r="L150" s="212">
        <v>95.0</v>
      </c>
      <c r="M150" s="212">
        <v>10.4</v>
      </c>
      <c r="N150" s="213">
        <v>10400.0</v>
      </c>
      <c r="O150" s="211">
        <v>45226.0</v>
      </c>
      <c r="P150" s="212">
        <v>2.14</v>
      </c>
      <c r="Q150" s="213">
        <v>3060.0</v>
      </c>
      <c r="S150" s="254" t="s">
        <v>286</v>
      </c>
    </row>
    <row r="151">
      <c r="H151" s="209">
        <v>4000.0</v>
      </c>
      <c r="I151" s="210" t="s">
        <v>336</v>
      </c>
      <c r="J151" s="211">
        <v>45224.0</v>
      </c>
      <c r="K151" s="211">
        <v>45285.0</v>
      </c>
      <c r="L151" s="212">
        <v>45.0</v>
      </c>
      <c r="M151" s="212">
        <v>4.4</v>
      </c>
      <c r="N151" s="213">
        <v>17600.0</v>
      </c>
      <c r="O151" s="211">
        <v>45225.0</v>
      </c>
      <c r="P151" s="212">
        <v>2.72</v>
      </c>
      <c r="Q151" s="213">
        <v>-2080.0</v>
      </c>
    </row>
    <row r="152">
      <c r="H152" s="209">
        <v>1000.0</v>
      </c>
      <c r="I152" s="210" t="s">
        <v>311</v>
      </c>
      <c r="J152" s="211">
        <v>45226.0</v>
      </c>
      <c r="K152" s="211">
        <v>45285.0</v>
      </c>
      <c r="L152" s="212">
        <v>85.0</v>
      </c>
      <c r="M152" s="212">
        <v>6.05</v>
      </c>
      <c r="N152" s="213">
        <v>6050.0</v>
      </c>
      <c r="O152" s="211">
        <v>45232.0</v>
      </c>
      <c r="P152" s="212">
        <v>4.0</v>
      </c>
      <c r="Q152" s="213">
        <v>-4000.0</v>
      </c>
    </row>
    <row r="153">
      <c r="H153" s="209">
        <v>20000.0</v>
      </c>
      <c r="I153" s="210" t="s">
        <v>46</v>
      </c>
      <c r="J153" s="211">
        <v>45236.0</v>
      </c>
      <c r="K153" s="211">
        <v>45285.0</v>
      </c>
      <c r="L153" s="212">
        <v>19.0</v>
      </c>
      <c r="M153" s="212">
        <v>1.15</v>
      </c>
      <c r="N153" s="213">
        <v>23000.0</v>
      </c>
      <c r="O153" s="211">
        <v>45239.0</v>
      </c>
      <c r="P153" s="212">
        <v>0.94</v>
      </c>
      <c r="Q153" s="213">
        <v>4200.0</v>
      </c>
    </row>
    <row r="154">
      <c r="H154" s="209">
        <v>1500.0</v>
      </c>
      <c r="I154" s="210" t="s">
        <v>40</v>
      </c>
      <c r="J154" s="211">
        <v>45236.0</v>
      </c>
      <c r="K154" s="211">
        <v>45285.0</v>
      </c>
      <c r="L154" s="212">
        <v>115.0</v>
      </c>
      <c r="M154" s="212">
        <v>4.8</v>
      </c>
      <c r="N154" s="213">
        <v>7200.0</v>
      </c>
      <c r="O154" s="211">
        <v>45237.0</v>
      </c>
      <c r="P154" s="212">
        <v>5.8</v>
      </c>
      <c r="Q154" s="213">
        <v>-1500.0</v>
      </c>
    </row>
    <row r="155">
      <c r="H155" s="255">
        <v>500.0</v>
      </c>
      <c r="I155" s="210" t="s">
        <v>291</v>
      </c>
      <c r="J155" s="211">
        <v>45236.0</v>
      </c>
      <c r="K155" s="211">
        <v>45285.0</v>
      </c>
      <c r="L155" s="212">
        <v>280.0</v>
      </c>
      <c r="M155" s="212">
        <v>11.2</v>
      </c>
      <c r="N155" s="213">
        <v>5600.0</v>
      </c>
      <c r="O155" s="211">
        <v>45237.0</v>
      </c>
      <c r="P155" s="212">
        <v>11.2</v>
      </c>
      <c r="Q155" s="213">
        <v>0.0</v>
      </c>
    </row>
    <row r="156">
      <c r="H156" s="209">
        <v>8000.0</v>
      </c>
      <c r="I156" s="237" t="s">
        <v>336</v>
      </c>
      <c r="J156" s="220">
        <v>45244.0</v>
      </c>
      <c r="K156" s="220">
        <v>45310.0</v>
      </c>
      <c r="L156" s="221">
        <v>45.0</v>
      </c>
      <c r="M156" s="221">
        <v>2.3</v>
      </c>
      <c r="N156" s="222">
        <v>18400.0</v>
      </c>
      <c r="O156" s="220">
        <v>45258.0</v>
      </c>
      <c r="P156" s="221">
        <v>0.56</v>
      </c>
      <c r="Q156" s="222">
        <v>13920.0</v>
      </c>
    </row>
    <row r="157">
      <c r="H157" s="251">
        <v>1000.0</v>
      </c>
      <c r="I157" s="237" t="s">
        <v>36</v>
      </c>
      <c r="J157" s="220">
        <v>45244.0</v>
      </c>
      <c r="K157" s="220">
        <v>45310.0</v>
      </c>
      <c r="L157" s="221">
        <v>250.0</v>
      </c>
      <c r="M157" s="221">
        <v>12.35</v>
      </c>
      <c r="N157" s="222">
        <v>12350.0</v>
      </c>
      <c r="O157" s="220">
        <v>45254.0</v>
      </c>
      <c r="P157" s="221">
        <v>11.0</v>
      </c>
      <c r="Q157" s="222">
        <v>1350.0</v>
      </c>
    </row>
    <row r="158">
      <c r="H158" s="209">
        <v>25000.0</v>
      </c>
      <c r="I158" s="210" t="s">
        <v>46</v>
      </c>
      <c r="J158" s="211">
        <v>45244.0</v>
      </c>
      <c r="K158" s="211">
        <v>45310.0</v>
      </c>
      <c r="L158" s="212">
        <v>20.0</v>
      </c>
      <c r="M158" s="212">
        <v>1.81</v>
      </c>
      <c r="N158" s="213">
        <v>45250.0</v>
      </c>
      <c r="O158" s="211">
        <v>45245.0</v>
      </c>
      <c r="P158" s="212">
        <v>1.97</v>
      </c>
      <c r="Q158" s="213">
        <v>-4000.0</v>
      </c>
    </row>
    <row r="159">
      <c r="H159" s="209">
        <v>2500.0</v>
      </c>
      <c r="I159" s="210" t="s">
        <v>40</v>
      </c>
      <c r="J159" s="211">
        <v>45244.0</v>
      </c>
      <c r="K159" s="211">
        <v>45310.0</v>
      </c>
      <c r="L159" s="212">
        <v>120.0</v>
      </c>
      <c r="M159" s="212">
        <v>8.5</v>
      </c>
      <c r="N159" s="213">
        <v>21250.0</v>
      </c>
      <c r="O159" s="211">
        <v>45247.0</v>
      </c>
      <c r="P159" s="212">
        <v>7.91</v>
      </c>
      <c r="Q159" s="213">
        <v>1475.0</v>
      </c>
    </row>
    <row r="160">
      <c r="H160" s="255">
        <v>300.0</v>
      </c>
      <c r="I160" s="210" t="s">
        <v>53</v>
      </c>
      <c r="J160" s="211">
        <v>45244.0</v>
      </c>
      <c r="K160" s="211">
        <v>45310.0</v>
      </c>
      <c r="L160" s="212">
        <v>500.0</v>
      </c>
      <c r="M160" s="212">
        <v>37.5</v>
      </c>
      <c r="N160" s="213">
        <v>11250.0</v>
      </c>
      <c r="O160" s="211">
        <v>45245.0</v>
      </c>
      <c r="P160" s="212">
        <v>35.6</v>
      </c>
      <c r="Q160" s="213">
        <v>570.0</v>
      </c>
    </row>
    <row r="161">
      <c r="H161" s="255">
        <v>500.0</v>
      </c>
      <c r="I161" s="210" t="s">
        <v>291</v>
      </c>
      <c r="J161" s="211">
        <v>45244.0</v>
      </c>
      <c r="K161" s="211">
        <v>45310.0</v>
      </c>
      <c r="L161" s="212">
        <v>320.0</v>
      </c>
      <c r="M161" s="212">
        <v>20.5</v>
      </c>
      <c r="N161" s="213">
        <v>10250.0</v>
      </c>
      <c r="O161" s="211">
        <v>45247.0</v>
      </c>
      <c r="P161" s="212">
        <v>18.08</v>
      </c>
      <c r="Q161" s="213">
        <v>1210.0</v>
      </c>
    </row>
    <row r="162">
      <c r="H162" s="209">
        <v>5000.0</v>
      </c>
      <c r="I162" s="210" t="s">
        <v>340</v>
      </c>
      <c r="J162" s="211">
        <v>45244.0</v>
      </c>
      <c r="K162" s="211">
        <v>45310.0</v>
      </c>
      <c r="L162" s="212">
        <v>65.0</v>
      </c>
      <c r="M162" s="212">
        <v>3.75</v>
      </c>
      <c r="N162" s="213">
        <v>18750.0</v>
      </c>
      <c r="O162" s="211">
        <v>45250.0</v>
      </c>
      <c r="P162" s="212">
        <v>5.0</v>
      </c>
      <c r="Q162" s="213">
        <v>-6250.0</v>
      </c>
    </row>
    <row r="163">
      <c r="H163" s="209">
        <v>20000.0</v>
      </c>
      <c r="I163" s="210" t="s">
        <v>46</v>
      </c>
      <c r="J163" s="211">
        <v>45251.0</v>
      </c>
      <c r="K163" s="211">
        <v>45310.0</v>
      </c>
      <c r="L163" s="212">
        <v>25.0</v>
      </c>
      <c r="M163" s="212">
        <v>0.75</v>
      </c>
      <c r="N163" s="213">
        <v>15000.0</v>
      </c>
      <c r="O163" s="211">
        <v>45252.0</v>
      </c>
      <c r="P163" s="212">
        <v>0.38</v>
      </c>
      <c r="Q163" s="213">
        <v>7400.0</v>
      </c>
    </row>
    <row r="164">
      <c r="H164" s="255">
        <v>500.0</v>
      </c>
      <c r="I164" s="210" t="s">
        <v>291</v>
      </c>
      <c r="J164" s="211">
        <v>45251.0</v>
      </c>
      <c r="K164" s="211">
        <v>45310.0</v>
      </c>
      <c r="L164" s="212">
        <v>330.0</v>
      </c>
      <c r="M164" s="212">
        <v>18.0</v>
      </c>
      <c r="N164" s="213">
        <v>9000.0</v>
      </c>
      <c r="O164" s="211">
        <v>45252.0</v>
      </c>
      <c r="P164" s="212">
        <v>11.0</v>
      </c>
      <c r="Q164" s="213">
        <v>3500.0</v>
      </c>
    </row>
    <row r="165">
      <c r="H165" s="209">
        <v>2000.0</v>
      </c>
      <c r="I165" s="210" t="s">
        <v>385</v>
      </c>
      <c r="J165" s="211">
        <v>45251.0</v>
      </c>
      <c r="K165" s="211">
        <v>45310.0</v>
      </c>
      <c r="L165" s="212">
        <v>65.0</v>
      </c>
      <c r="M165" s="212">
        <v>3.0</v>
      </c>
      <c r="N165" s="213">
        <v>6000.0</v>
      </c>
      <c r="O165" s="211">
        <v>45252.0</v>
      </c>
      <c r="P165" s="212">
        <v>2.6</v>
      </c>
      <c r="Q165" s="213">
        <v>800.0</v>
      </c>
    </row>
    <row r="166">
      <c r="H166" s="209">
        <v>1000.0</v>
      </c>
      <c r="I166" s="210" t="s">
        <v>311</v>
      </c>
      <c r="J166" s="211">
        <v>45251.0</v>
      </c>
      <c r="K166" s="211">
        <v>45310.0</v>
      </c>
      <c r="L166" s="212">
        <v>100.0</v>
      </c>
      <c r="M166" s="212">
        <v>7.6</v>
      </c>
      <c r="N166" s="213">
        <v>7600.0</v>
      </c>
      <c r="O166" s="211">
        <v>45252.0</v>
      </c>
      <c r="P166" s="212">
        <v>7.75</v>
      </c>
      <c r="Q166" s="213">
        <v>-150.0</v>
      </c>
    </row>
    <row r="167">
      <c r="H167" s="218">
        <v>25000.0</v>
      </c>
      <c r="I167" s="219" t="s">
        <v>46</v>
      </c>
      <c r="J167" s="220">
        <v>45252.0</v>
      </c>
      <c r="K167" s="220">
        <v>45310.0</v>
      </c>
      <c r="L167" s="221">
        <v>22.0</v>
      </c>
      <c r="M167" s="221">
        <v>0.94</v>
      </c>
      <c r="N167" s="222">
        <v>23500.0</v>
      </c>
      <c r="O167" s="220">
        <v>45258.0</v>
      </c>
      <c r="P167" s="221">
        <v>0.73</v>
      </c>
      <c r="Q167" s="222">
        <v>5250.0</v>
      </c>
    </row>
    <row r="168">
      <c r="H168" s="315">
        <v>500.0</v>
      </c>
      <c r="I168" s="219" t="s">
        <v>291</v>
      </c>
      <c r="J168" s="220">
        <v>45252.0</v>
      </c>
      <c r="K168" s="220">
        <v>45310.0</v>
      </c>
      <c r="L168" s="223">
        <v>320.0</v>
      </c>
      <c r="M168" s="221">
        <v>14.0</v>
      </c>
      <c r="N168" s="222">
        <v>7000.0</v>
      </c>
      <c r="O168" s="220">
        <v>45258.0</v>
      </c>
      <c r="P168" s="221">
        <v>12.3</v>
      </c>
      <c r="Q168" s="222">
        <v>850.0</v>
      </c>
    </row>
    <row r="169">
      <c r="H169" s="251">
        <v>20000.0</v>
      </c>
      <c r="I169" s="219" t="s">
        <v>46</v>
      </c>
      <c r="J169" s="220">
        <v>45260.0</v>
      </c>
      <c r="K169" s="220">
        <v>45310.0</v>
      </c>
      <c r="L169" s="221">
        <v>22.0</v>
      </c>
      <c r="M169" s="221">
        <v>0.9</v>
      </c>
      <c r="N169" s="222">
        <v>18000.0</v>
      </c>
      <c r="O169" s="220">
        <v>45264.0</v>
      </c>
      <c r="P169" s="223">
        <v>0.4</v>
      </c>
      <c r="Q169" s="222">
        <v>10000.0</v>
      </c>
    </row>
    <row r="170">
      <c r="H170" s="218">
        <v>2000.0</v>
      </c>
      <c r="I170" s="219" t="s">
        <v>40</v>
      </c>
      <c r="J170" s="220">
        <v>45260.0</v>
      </c>
      <c r="K170" s="220">
        <v>45310.0</v>
      </c>
      <c r="L170" s="221">
        <v>125.0</v>
      </c>
      <c r="M170" s="221">
        <v>4.75</v>
      </c>
      <c r="N170" s="222">
        <v>9500.0</v>
      </c>
      <c r="O170" s="220">
        <v>45264.0</v>
      </c>
      <c r="P170" s="223">
        <v>3.33</v>
      </c>
      <c r="Q170" s="222">
        <v>2840.0</v>
      </c>
    </row>
    <row r="171">
      <c r="H171" s="218">
        <v>4000.0</v>
      </c>
      <c r="I171" s="219" t="s">
        <v>336</v>
      </c>
      <c r="J171" s="220">
        <v>45260.0</v>
      </c>
      <c r="K171" s="220">
        <v>45310.0</v>
      </c>
      <c r="L171" s="221">
        <v>40.0</v>
      </c>
      <c r="M171" s="221">
        <v>1.4</v>
      </c>
      <c r="N171" s="222">
        <v>5600.0</v>
      </c>
      <c r="O171" s="220">
        <v>45273.0</v>
      </c>
      <c r="P171" s="223">
        <v>1.55</v>
      </c>
      <c r="Q171" s="222">
        <v>-600.0</v>
      </c>
    </row>
    <row r="172">
      <c r="H172" s="315">
        <v>500.0</v>
      </c>
      <c r="I172" s="219" t="s">
        <v>291</v>
      </c>
      <c r="J172" s="220">
        <v>45260.0</v>
      </c>
      <c r="K172" s="220">
        <v>45310.0</v>
      </c>
      <c r="L172" s="221">
        <v>300.0</v>
      </c>
      <c r="M172" s="221">
        <v>15.3</v>
      </c>
      <c r="N172" s="222">
        <v>7650.0</v>
      </c>
      <c r="O172" s="220">
        <v>45264.0</v>
      </c>
      <c r="P172" s="223">
        <v>10.7</v>
      </c>
      <c r="Q172" s="222">
        <v>2300.0</v>
      </c>
    </row>
    <row r="173">
      <c r="H173" s="218">
        <v>1000.0</v>
      </c>
      <c r="I173" s="219" t="s">
        <v>36</v>
      </c>
      <c r="J173" s="220">
        <v>45260.0</v>
      </c>
      <c r="K173" s="220">
        <v>45310.0</v>
      </c>
      <c r="L173" s="221">
        <v>250.0</v>
      </c>
      <c r="M173" s="221">
        <v>14.5</v>
      </c>
      <c r="N173" s="222">
        <v>14500.0</v>
      </c>
      <c r="O173" s="220">
        <v>45265.0</v>
      </c>
      <c r="P173" s="223">
        <v>13.5</v>
      </c>
      <c r="Q173" s="222">
        <v>1000.0</v>
      </c>
    </row>
    <row r="174">
      <c r="H174" s="218">
        <v>1500.0</v>
      </c>
      <c r="I174" s="219" t="s">
        <v>301</v>
      </c>
      <c r="J174" s="220">
        <v>45260.0</v>
      </c>
      <c r="K174" s="220">
        <v>45310.0</v>
      </c>
      <c r="L174" s="221">
        <v>150.0</v>
      </c>
      <c r="M174" s="221">
        <v>6.2</v>
      </c>
      <c r="N174" s="222">
        <v>9300.0</v>
      </c>
      <c r="O174" s="220">
        <v>45267.0</v>
      </c>
      <c r="P174" s="223">
        <v>3.75</v>
      </c>
      <c r="Q174" s="222">
        <v>3675.0</v>
      </c>
    </row>
    <row r="175">
      <c r="H175" s="218">
        <v>3000.0</v>
      </c>
      <c r="I175" s="219" t="s">
        <v>299</v>
      </c>
      <c r="J175" s="220">
        <v>45265.0</v>
      </c>
      <c r="K175" s="220">
        <v>45310.0</v>
      </c>
      <c r="L175" s="221">
        <v>65.0</v>
      </c>
      <c r="M175" s="221">
        <v>3.4</v>
      </c>
      <c r="N175" s="222">
        <v>10200.0</v>
      </c>
      <c r="O175" s="220"/>
      <c r="P175" s="223"/>
      <c r="Q175" s="222">
        <v>10200.0</v>
      </c>
    </row>
    <row r="176">
      <c r="H176" s="218">
        <v>1000.0</v>
      </c>
      <c r="I176" s="219" t="s">
        <v>311</v>
      </c>
      <c r="J176" s="220">
        <v>45265.0</v>
      </c>
      <c r="K176" s="220">
        <v>45310.0</v>
      </c>
      <c r="L176" s="221">
        <v>115.0</v>
      </c>
      <c r="M176" s="221">
        <v>6.45</v>
      </c>
      <c r="N176" s="222">
        <v>6450.0</v>
      </c>
      <c r="O176" s="220">
        <v>45633.0</v>
      </c>
      <c r="P176" s="223">
        <v>5.0</v>
      </c>
      <c r="Q176" s="222">
        <v>1450.0</v>
      </c>
    </row>
    <row r="177">
      <c r="H177" s="218">
        <v>2500.0</v>
      </c>
      <c r="I177" s="219" t="s">
        <v>382</v>
      </c>
      <c r="J177" s="220">
        <v>45268.0</v>
      </c>
      <c r="K177" s="220">
        <v>45338.0</v>
      </c>
      <c r="L177" s="221">
        <v>60.0</v>
      </c>
      <c r="M177" s="221">
        <v>4.0</v>
      </c>
      <c r="N177" s="222">
        <v>10000.0</v>
      </c>
      <c r="O177" s="316"/>
      <c r="P177" s="317"/>
      <c r="Q177" s="222">
        <v>10000.0</v>
      </c>
    </row>
    <row r="178">
      <c r="H178" s="218">
        <v>2000.0</v>
      </c>
      <c r="I178" s="219" t="s">
        <v>385</v>
      </c>
      <c r="J178" s="220">
        <v>45274.0</v>
      </c>
      <c r="K178" s="220">
        <v>45338.0</v>
      </c>
      <c r="L178" s="221">
        <v>80.0</v>
      </c>
      <c r="M178" s="221">
        <v>4.3</v>
      </c>
      <c r="N178" s="222">
        <v>8600.0</v>
      </c>
      <c r="O178" s="316"/>
      <c r="P178" s="317"/>
      <c r="Q178" s="222">
        <v>8600.0</v>
      </c>
    </row>
    <row r="179">
      <c r="H179" s="315">
        <v>500.0</v>
      </c>
      <c r="I179" s="219" t="s">
        <v>291</v>
      </c>
      <c r="J179" s="220">
        <v>45274.0</v>
      </c>
      <c r="K179" s="220">
        <v>45338.0</v>
      </c>
      <c r="L179" s="221">
        <v>320.0</v>
      </c>
      <c r="M179" s="221">
        <v>22.7</v>
      </c>
      <c r="N179" s="222">
        <v>11350.0</v>
      </c>
      <c r="O179" s="220">
        <v>45281.0</v>
      </c>
      <c r="P179" s="221">
        <v>31.8</v>
      </c>
      <c r="Q179" s="222">
        <v>-4550.0</v>
      </c>
    </row>
    <row r="180">
      <c r="H180" s="218">
        <v>2500.0</v>
      </c>
      <c r="I180" s="219" t="s">
        <v>40</v>
      </c>
      <c r="J180" s="220">
        <v>45274.0</v>
      </c>
      <c r="K180" s="220">
        <v>45338.0</v>
      </c>
      <c r="L180" s="221">
        <v>140.0</v>
      </c>
      <c r="M180" s="221">
        <v>9.0</v>
      </c>
      <c r="N180" s="222">
        <v>22500.0</v>
      </c>
      <c r="O180" s="220">
        <v>45281.0</v>
      </c>
      <c r="P180" s="221">
        <v>8.7</v>
      </c>
      <c r="Q180" s="222">
        <v>750.0</v>
      </c>
    </row>
    <row r="181">
      <c r="H181" s="218">
        <v>1000.0</v>
      </c>
      <c r="I181" s="219" t="s">
        <v>311</v>
      </c>
      <c r="J181" s="220">
        <v>45274.0</v>
      </c>
      <c r="K181" s="220">
        <v>45338.0</v>
      </c>
      <c r="L181" s="221">
        <v>130.0</v>
      </c>
      <c r="M181" s="221">
        <v>11.5</v>
      </c>
      <c r="N181" s="222">
        <v>11500.0</v>
      </c>
      <c r="O181" s="220">
        <v>45281.0</v>
      </c>
      <c r="P181" s="221">
        <v>11.5</v>
      </c>
      <c r="Q181" s="222">
        <v>0.0</v>
      </c>
    </row>
    <row r="182">
      <c r="H182" s="209">
        <v>10000.0</v>
      </c>
      <c r="I182" s="237" t="s">
        <v>451</v>
      </c>
      <c r="J182" s="220">
        <v>45274.0</v>
      </c>
      <c r="K182" s="220">
        <v>45401.0</v>
      </c>
      <c r="L182" s="221">
        <v>20.0</v>
      </c>
      <c r="M182" s="221">
        <v>1.5</v>
      </c>
      <c r="N182" s="222">
        <v>15000.0</v>
      </c>
      <c r="O182" s="220">
        <v>45280.0</v>
      </c>
      <c r="P182" s="221">
        <v>1.15</v>
      </c>
      <c r="Q182" s="222">
        <v>3500.0</v>
      </c>
    </row>
    <row r="183">
      <c r="H183" s="318"/>
      <c r="I183" s="257"/>
      <c r="J183" s="257"/>
      <c r="K183" s="257"/>
      <c r="L183" s="258"/>
      <c r="M183" s="258"/>
      <c r="N183" s="258"/>
      <c r="O183" s="257"/>
      <c r="P183" s="258"/>
      <c r="Q183" s="258"/>
    </row>
    <row r="184">
      <c r="H184" s="229"/>
      <c r="I184" s="257"/>
      <c r="J184" s="257"/>
      <c r="K184" s="257"/>
      <c r="L184" s="258"/>
      <c r="M184" s="258"/>
      <c r="N184" s="258"/>
      <c r="O184" s="257"/>
      <c r="P184" s="258"/>
      <c r="Q184" s="258"/>
    </row>
    <row r="185">
      <c r="H185" s="229"/>
      <c r="I185" s="257"/>
      <c r="J185" s="257"/>
      <c r="K185" s="257"/>
      <c r="L185" s="258"/>
      <c r="M185" s="258"/>
      <c r="N185" s="258"/>
      <c r="O185" s="257"/>
      <c r="P185" s="258"/>
      <c r="Q185" s="258"/>
    </row>
    <row r="186">
      <c r="H186" s="229"/>
      <c r="I186" s="257"/>
      <c r="J186" s="257"/>
      <c r="K186" s="257"/>
      <c r="L186" s="258"/>
      <c r="M186" s="258"/>
      <c r="N186" s="258"/>
      <c r="O186" s="257"/>
      <c r="P186" s="258"/>
      <c r="Q186" s="258"/>
    </row>
    <row r="187">
      <c r="H187" s="229"/>
      <c r="I187" s="257"/>
      <c r="J187" s="257"/>
      <c r="K187" s="257"/>
      <c r="L187" s="258"/>
      <c r="M187" s="258"/>
      <c r="N187" s="258"/>
      <c r="O187" s="257"/>
      <c r="P187" s="258"/>
      <c r="Q187" s="258"/>
    </row>
    <row r="188">
      <c r="H188" s="229"/>
      <c r="I188" s="257"/>
      <c r="J188" s="257"/>
      <c r="K188" s="257"/>
      <c r="L188" s="258"/>
      <c r="M188" s="258"/>
      <c r="N188" s="258"/>
      <c r="O188" s="257"/>
      <c r="P188" s="258"/>
      <c r="Q188" s="258"/>
    </row>
    <row r="189">
      <c r="H189" s="229"/>
      <c r="I189" s="257"/>
      <c r="J189" s="257"/>
      <c r="K189" s="257"/>
      <c r="L189" s="258"/>
      <c r="M189" s="258"/>
      <c r="N189" s="258"/>
      <c r="O189" s="257"/>
      <c r="P189" s="258"/>
      <c r="Q189" s="258"/>
    </row>
    <row r="190">
      <c r="H190" s="229"/>
      <c r="I190" s="257"/>
      <c r="J190" s="257"/>
      <c r="K190" s="257"/>
      <c r="L190" s="258"/>
      <c r="M190" s="258"/>
      <c r="N190" s="258"/>
      <c r="O190" s="257"/>
      <c r="P190" s="258"/>
      <c r="Q190" s="258"/>
    </row>
    <row r="191">
      <c r="H191" s="229"/>
      <c r="I191" s="257"/>
      <c r="J191" s="257"/>
      <c r="K191" s="257"/>
      <c r="L191" s="258"/>
      <c r="M191" s="258"/>
      <c r="N191" s="258"/>
      <c r="O191" s="257"/>
      <c r="P191" s="258"/>
      <c r="Q191" s="258"/>
    </row>
    <row r="192">
      <c r="H192" s="238" t="s">
        <v>113</v>
      </c>
      <c r="I192" s="239"/>
      <c r="J192" s="239"/>
      <c r="K192" s="239"/>
      <c r="L192" s="239"/>
      <c r="M192" s="239"/>
      <c r="N192" s="260"/>
      <c r="O192" s="239"/>
      <c r="P192" s="239"/>
      <c r="Q192" s="240">
        <f>SUM(Q119:Q191)</f>
        <v>148375</v>
      </c>
    </row>
    <row r="193">
      <c r="H193" s="319" t="s">
        <v>474</v>
      </c>
    </row>
  </sheetData>
  <hyperlinks>
    <hyperlink r:id="rId1" ref="B132"/>
    <hyperlink r:id="rId2" ref="B133"/>
    <hyperlink r:id="rId3" ref="B13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46.38"/>
    <col customWidth="1" min="3" max="3" width="19.88"/>
    <col customWidth="1" min="4" max="4" width="20.0"/>
    <col customWidth="1" min="5" max="5" width="24.13"/>
    <col customWidth="1" min="6" max="6" width="17.0"/>
    <col customWidth="1" min="7" max="7" width="9.0"/>
    <col customWidth="1" min="8" max="8" width="22.63"/>
    <col customWidth="1" min="9" max="9" width="23.75"/>
    <col customWidth="1" min="10" max="10" width="20.13"/>
    <col customWidth="1" min="11" max="11" width="20.5"/>
    <col customWidth="1" min="12" max="12" width="11.25"/>
    <col customWidth="1" min="13" max="14" width="11.13"/>
    <col customWidth="1" min="15" max="15" width="10.63"/>
    <col customWidth="1" min="16" max="16" width="9.13"/>
    <col customWidth="1" min="17" max="17" width="7.75"/>
    <col customWidth="1" min="18" max="18" width="9.63"/>
    <col customWidth="1" min="19" max="19" width="34.88"/>
    <col customWidth="1" min="20" max="20" width="10.63"/>
    <col customWidth="1" min="21" max="21" width="12.25"/>
    <col customWidth="1" min="22" max="22" width="13.25"/>
    <col customWidth="1" min="23" max="23" width="7.63"/>
    <col customWidth="1" min="24" max="24" width="9.13"/>
    <col customWidth="1" min="25" max="25" width="11.38"/>
    <col customWidth="1" min="26" max="26" width="13.0"/>
    <col customWidth="1" min="27" max="27" width="9.75"/>
    <col customWidth="1" min="28" max="28" width="10.25"/>
    <col customWidth="1" min="29" max="29" width="10.88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>
      <c r="A2" s="48" t="s">
        <v>374</v>
      </c>
      <c r="B2" s="6" t="s">
        <v>435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320" t="s">
        <v>475</v>
      </c>
      <c r="M2" s="9" t="s">
        <v>476</v>
      </c>
      <c r="N2" s="10" t="s">
        <v>13</v>
      </c>
      <c r="O2" s="6" t="s">
        <v>14</v>
      </c>
      <c r="P2" s="10" t="s">
        <v>15</v>
      </c>
      <c r="Q2" s="6" t="s">
        <v>16</v>
      </c>
      <c r="R2" s="11" t="s">
        <v>17</v>
      </c>
      <c r="S2" s="9" t="s">
        <v>477</v>
      </c>
      <c r="T2" s="5" t="s">
        <v>19</v>
      </c>
      <c r="U2" s="5" t="s">
        <v>91</v>
      </c>
      <c r="V2" s="6" t="s">
        <v>21</v>
      </c>
      <c r="W2" s="6" t="s">
        <v>22</v>
      </c>
      <c r="X2" s="12" t="s">
        <v>23</v>
      </c>
      <c r="Y2" s="12" t="s">
        <v>24</v>
      </c>
      <c r="Z2" s="6" t="s">
        <v>25</v>
      </c>
      <c r="AA2" s="6" t="s">
        <v>26</v>
      </c>
      <c r="AB2" s="6" t="s">
        <v>27</v>
      </c>
      <c r="AC2" s="5" t="s">
        <v>28</v>
      </c>
    </row>
    <row r="3">
      <c r="A3" s="48" t="s">
        <v>29</v>
      </c>
      <c r="B3" s="6" t="s">
        <v>29</v>
      </c>
      <c r="C3" s="14">
        <f>I3/E120</f>
        <v>0.06507949128</v>
      </c>
      <c r="D3" s="15" t="s">
        <v>331</v>
      </c>
      <c r="E3" s="16" t="s">
        <v>31</v>
      </c>
      <c r="F3" s="17">
        <v>8.2</v>
      </c>
      <c r="G3" s="18">
        <v>5000.0</v>
      </c>
      <c r="H3" s="19">
        <f t="shared" ref="H3:H38" si="1">G3*J3</f>
        <v>604850</v>
      </c>
      <c r="I3" s="20">
        <f t="shared" ref="I3:I8" si="2">H3+P3</f>
        <v>963450</v>
      </c>
      <c r="J3" s="21">
        <v>120.97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/>
      <c r="N3" s="24">
        <f t="shared" ref="N3:N38" si="3">L3-J3</f>
        <v>71.72</v>
      </c>
      <c r="O3" s="25">
        <f t="shared" ref="O3:O8" si="4">L3/J3-1</f>
        <v>0.5928742663</v>
      </c>
      <c r="P3" s="19">
        <f t="shared" ref="P3:P38" si="5">H3*O3</f>
        <v>358600</v>
      </c>
      <c r="Q3" s="34"/>
      <c r="R3" s="29"/>
      <c r="S3" s="28"/>
      <c r="T3" s="29"/>
      <c r="U3" s="29"/>
      <c r="V3" s="16"/>
      <c r="W3" s="30"/>
      <c r="X3" s="31"/>
      <c r="Y3" s="29"/>
      <c r="Z3" s="16"/>
      <c r="AA3" s="32"/>
      <c r="AB3" s="31"/>
      <c r="AC3" s="27"/>
    </row>
    <row r="4">
      <c r="A4" s="321">
        <f>B116</f>
        <v>0.7670292686</v>
      </c>
      <c r="B4" s="57">
        <f>I39/E120</f>
        <v>1.080096443</v>
      </c>
      <c r="C4" s="14">
        <f>I4/E120</f>
        <v>0.02954566348</v>
      </c>
      <c r="D4" s="42" t="s">
        <v>478</v>
      </c>
      <c r="E4" s="45" t="s">
        <v>299</v>
      </c>
      <c r="F4" s="44">
        <v>8.0</v>
      </c>
      <c r="G4" s="18">
        <v>5000.0</v>
      </c>
      <c r="H4" s="19">
        <f t="shared" si="1"/>
        <v>332850</v>
      </c>
      <c r="I4" s="20">
        <f t="shared" si="2"/>
        <v>437400</v>
      </c>
      <c r="J4" s="21">
        <v>66.57</v>
      </c>
      <c r="K4" s="22">
        <f>IFERROR(__xludf.DUMMYFUNCTION("GOOGLEFINANCE(E4,""changepct"")"),-1.67)</f>
        <v>-1.67</v>
      </c>
      <c r="L4" s="23">
        <f>IFERROR(__xludf.DUMMYFUNCTION("googlefinance(E4,""price"")"),87.48)</f>
        <v>87.48</v>
      </c>
      <c r="M4" s="24"/>
      <c r="N4" s="24">
        <f t="shared" si="3"/>
        <v>20.91</v>
      </c>
      <c r="O4" s="25">
        <f t="shared" si="4"/>
        <v>0.3141054529</v>
      </c>
      <c r="P4" s="19">
        <f t="shared" si="5"/>
        <v>104550</v>
      </c>
      <c r="Q4" s="34"/>
      <c r="R4" s="29"/>
      <c r="S4" s="35"/>
      <c r="T4" s="27"/>
      <c r="U4" s="27"/>
      <c r="V4" s="15"/>
      <c r="W4" s="36"/>
      <c r="X4" s="37"/>
      <c r="Y4" s="27"/>
      <c r="Z4" s="16"/>
      <c r="AA4" s="32"/>
      <c r="AB4" s="31"/>
      <c r="AC4" s="29"/>
    </row>
    <row r="5">
      <c r="A5" s="38"/>
      <c r="B5" s="32"/>
      <c r="C5" s="14">
        <f>I5/E120</f>
        <v>0.01772739809</v>
      </c>
      <c r="D5" s="45" t="s">
        <v>298</v>
      </c>
      <c r="E5" s="45" t="s">
        <v>299</v>
      </c>
      <c r="F5" s="44">
        <v>8.0</v>
      </c>
      <c r="G5" s="18">
        <v>3000.0</v>
      </c>
      <c r="H5" s="19">
        <f t="shared" si="1"/>
        <v>220200</v>
      </c>
      <c r="I5" s="20">
        <f t="shared" si="2"/>
        <v>262440</v>
      </c>
      <c r="J5" s="21">
        <v>73.4</v>
      </c>
      <c r="K5" s="22">
        <f>IFERROR(__xludf.DUMMYFUNCTION("GOOGLEFINANCE(E5,""changepct"")"),-1.67)</f>
        <v>-1.67</v>
      </c>
      <c r="L5" s="23">
        <f>IFERROR(__xludf.DUMMYFUNCTION("googlefinance(E5,""price"")"),87.48)</f>
        <v>87.48</v>
      </c>
      <c r="M5" s="24"/>
      <c r="N5" s="24">
        <f t="shared" si="3"/>
        <v>14.08</v>
      </c>
      <c r="O5" s="25">
        <f t="shared" si="4"/>
        <v>0.1918256131</v>
      </c>
      <c r="P5" s="19">
        <f t="shared" si="5"/>
        <v>42240</v>
      </c>
      <c r="Q5" s="34"/>
      <c r="R5" s="29"/>
      <c r="S5" s="39"/>
      <c r="T5" s="27"/>
      <c r="U5" s="27"/>
      <c r="V5" s="15"/>
      <c r="W5" s="36"/>
      <c r="X5" s="37"/>
      <c r="Y5" s="27"/>
      <c r="Z5" s="15" t="s">
        <v>299</v>
      </c>
      <c r="AA5" s="41">
        <v>45141.0</v>
      </c>
      <c r="AB5" s="21">
        <v>73.4</v>
      </c>
      <c r="AC5" s="20">
        <v>220200.0</v>
      </c>
    </row>
    <row r="6">
      <c r="A6" s="38"/>
      <c r="B6" s="32"/>
      <c r="C6" s="14">
        <f>I6/E120</f>
        <v>0.01181826539</v>
      </c>
      <c r="D6" s="45" t="s">
        <v>298</v>
      </c>
      <c r="E6" s="45" t="s">
        <v>299</v>
      </c>
      <c r="F6" s="44">
        <v>8.0</v>
      </c>
      <c r="G6" s="18">
        <v>2000.0</v>
      </c>
      <c r="H6" s="19">
        <f t="shared" si="1"/>
        <v>113360</v>
      </c>
      <c r="I6" s="20">
        <f t="shared" si="2"/>
        <v>174960</v>
      </c>
      <c r="J6" s="21">
        <v>56.68</v>
      </c>
      <c r="K6" s="22">
        <f>IFERROR(__xludf.DUMMYFUNCTION("GOOGLEFINANCE(E6,""changepct"")"),-1.67)</f>
        <v>-1.67</v>
      </c>
      <c r="L6" s="23">
        <f>IFERROR(__xludf.DUMMYFUNCTION("googlefinance(E6,""price"")"),87.48)</f>
        <v>87.48</v>
      </c>
      <c r="M6" s="24"/>
      <c r="N6" s="24">
        <f t="shared" si="3"/>
        <v>30.8</v>
      </c>
      <c r="O6" s="25">
        <f t="shared" si="4"/>
        <v>0.5434015526</v>
      </c>
      <c r="P6" s="19">
        <f t="shared" si="5"/>
        <v>61600</v>
      </c>
      <c r="Q6" s="34"/>
      <c r="R6" s="29"/>
      <c r="S6" s="39"/>
      <c r="T6" s="27"/>
      <c r="U6" s="27"/>
      <c r="V6" s="15"/>
      <c r="W6" s="36"/>
      <c r="X6" s="37"/>
      <c r="Y6" s="27"/>
      <c r="Z6" s="15" t="s">
        <v>299</v>
      </c>
      <c r="AA6" s="41">
        <v>45156.0</v>
      </c>
      <c r="AB6" s="21">
        <v>56.68</v>
      </c>
      <c r="AC6" s="20">
        <v>113360.0</v>
      </c>
    </row>
    <row r="7">
      <c r="A7" s="38"/>
      <c r="B7" s="32"/>
      <c r="C7" s="14">
        <f>I7/E120</f>
        <v>0.02255629702</v>
      </c>
      <c r="D7" s="15" t="s">
        <v>37</v>
      </c>
      <c r="E7" s="15" t="s">
        <v>36</v>
      </c>
      <c r="F7" s="17">
        <v>8.1</v>
      </c>
      <c r="G7" s="18">
        <v>800.0</v>
      </c>
      <c r="H7" s="19">
        <f t="shared" si="1"/>
        <v>196288</v>
      </c>
      <c r="I7" s="20">
        <f t="shared" si="2"/>
        <v>333928</v>
      </c>
      <c r="J7" s="21">
        <v>245.36</v>
      </c>
      <c r="K7" s="22">
        <f>IFERROR(__xludf.DUMMYFUNCTION("GOOGLEFINANCE(E7,""changepct"")"),-3.3)</f>
        <v>-3.3</v>
      </c>
      <c r="L7" s="23">
        <f>IFERROR(__xludf.DUMMYFUNCTION("googlefinance(E7,""price"")"),417.41)</f>
        <v>417.41</v>
      </c>
      <c r="M7" s="24"/>
      <c r="N7" s="24">
        <f t="shared" si="3"/>
        <v>172.05</v>
      </c>
      <c r="O7" s="25">
        <f t="shared" si="4"/>
        <v>0.7012145419</v>
      </c>
      <c r="P7" s="19">
        <f t="shared" si="5"/>
        <v>137640</v>
      </c>
      <c r="Q7" s="34"/>
      <c r="R7" s="29"/>
      <c r="S7" s="39"/>
      <c r="T7" s="27"/>
      <c r="U7" s="27"/>
      <c r="V7" s="15"/>
      <c r="W7" s="36"/>
      <c r="X7" s="37"/>
      <c r="Y7" s="27"/>
      <c r="Z7" s="15" t="s">
        <v>36</v>
      </c>
      <c r="AA7" s="41">
        <v>45197.0</v>
      </c>
      <c r="AB7" s="21">
        <v>245.36</v>
      </c>
      <c r="AC7" s="20">
        <v>196288.0</v>
      </c>
    </row>
    <row r="8">
      <c r="A8" s="38"/>
      <c r="B8" s="32"/>
      <c r="C8" s="14">
        <f>I8/E120</f>
        <v>0.03383444553</v>
      </c>
      <c r="D8" s="15" t="s">
        <v>35</v>
      </c>
      <c r="E8" s="15" t="s">
        <v>36</v>
      </c>
      <c r="F8" s="17">
        <v>8.1</v>
      </c>
      <c r="G8" s="18">
        <v>1200.0</v>
      </c>
      <c r="H8" s="19">
        <f t="shared" si="1"/>
        <v>314124</v>
      </c>
      <c r="I8" s="20">
        <f t="shared" si="2"/>
        <v>500892</v>
      </c>
      <c r="J8" s="21">
        <v>261.77</v>
      </c>
      <c r="K8" s="22">
        <f>IFERROR(__xludf.DUMMYFUNCTION("GOOGLEFINANCE(E8,""changepct"")"),-3.3)</f>
        <v>-3.3</v>
      </c>
      <c r="L8" s="23">
        <f>IFERROR(__xludf.DUMMYFUNCTION("googlefinance(E8,""price"")"),417.41)</f>
        <v>417.41</v>
      </c>
      <c r="M8" s="24"/>
      <c r="N8" s="24">
        <f t="shared" si="3"/>
        <v>155.64</v>
      </c>
      <c r="O8" s="25">
        <f t="shared" si="4"/>
        <v>0.5945677503</v>
      </c>
      <c r="P8" s="19">
        <f t="shared" si="5"/>
        <v>186768</v>
      </c>
      <c r="Q8" s="34"/>
      <c r="R8" s="29"/>
      <c r="S8" s="39"/>
      <c r="T8" s="27">
        <v>6510.0</v>
      </c>
      <c r="U8" s="27"/>
      <c r="V8" s="15"/>
      <c r="W8" s="36"/>
      <c r="X8" s="37"/>
      <c r="Y8" s="27"/>
      <c r="Z8" s="15"/>
      <c r="AA8" s="41"/>
      <c r="AB8" s="21"/>
      <c r="AC8" s="20"/>
    </row>
    <row r="9">
      <c r="A9" s="38"/>
      <c r="B9" s="32"/>
      <c r="C9" s="14">
        <f>I9/E120</f>
        <v>0</v>
      </c>
      <c r="D9" s="16" t="s">
        <v>479</v>
      </c>
      <c r="E9" s="16" t="s">
        <v>480</v>
      </c>
      <c r="F9" s="17">
        <v>4.5</v>
      </c>
      <c r="G9" s="18">
        <v>20000.0</v>
      </c>
      <c r="H9" s="19">
        <f t="shared" si="1"/>
        <v>137800</v>
      </c>
      <c r="I9" s="20">
        <v>0.0</v>
      </c>
      <c r="J9" s="21">
        <v>6.89</v>
      </c>
      <c r="K9" s="22">
        <f>IFERROR(__xludf.DUMMYFUNCTION("GOOGLEFINANCE(E9,""changepct"")"),-1.56)</f>
        <v>-1.56</v>
      </c>
      <c r="L9" s="23">
        <f>IFERROR(__xludf.DUMMYFUNCTION("googlefinance(E9,""price"")"),3.15)</f>
        <v>3.15</v>
      </c>
      <c r="M9" s="21">
        <v>5.65</v>
      </c>
      <c r="N9" s="24">
        <f t="shared" si="3"/>
        <v>-3.74</v>
      </c>
      <c r="O9" s="25">
        <f>M9/J9-1</f>
        <v>-0.1799709724</v>
      </c>
      <c r="P9" s="19">
        <f t="shared" si="5"/>
        <v>-24800</v>
      </c>
      <c r="Q9" s="34"/>
      <c r="R9" s="29"/>
      <c r="S9" s="35"/>
      <c r="T9" s="27">
        <v>29400.0</v>
      </c>
      <c r="U9" s="27"/>
      <c r="V9" s="15" t="s">
        <v>480</v>
      </c>
      <c r="W9" s="36">
        <v>45198.0</v>
      </c>
      <c r="X9" s="37">
        <v>5.65</v>
      </c>
      <c r="Y9" s="27">
        <v>113000.0</v>
      </c>
      <c r="Z9" s="15"/>
      <c r="AA9" s="41"/>
      <c r="AB9" s="21"/>
      <c r="AC9" s="20"/>
    </row>
    <row r="10">
      <c r="A10" s="38"/>
      <c r="B10" s="32"/>
      <c r="C10" s="14">
        <f>I10/E120</f>
        <v>0.006386699777</v>
      </c>
      <c r="D10" s="42" t="s">
        <v>438</v>
      </c>
      <c r="E10" s="42" t="s">
        <v>439</v>
      </c>
      <c r="F10" s="44">
        <v>7.7</v>
      </c>
      <c r="G10" s="18">
        <v>5000.0</v>
      </c>
      <c r="H10" s="19">
        <f t="shared" si="1"/>
        <v>95100</v>
      </c>
      <c r="I10" s="20">
        <f t="shared" ref="I10:I11" si="6">H10+P10</f>
        <v>94550</v>
      </c>
      <c r="J10" s="21">
        <v>19.02</v>
      </c>
      <c r="K10" s="22">
        <f>IFERROR(__xludf.DUMMYFUNCTION("GOOGLEFINANCE(E10,""changepct"")"),-0.32)</f>
        <v>-0.32</v>
      </c>
      <c r="L10" s="23">
        <f>IFERROR(__xludf.DUMMYFUNCTION("googlefinance(E10,""price"")"),18.91)</f>
        <v>18.91</v>
      </c>
      <c r="M10" s="24"/>
      <c r="N10" s="24">
        <f t="shared" si="3"/>
        <v>-0.11</v>
      </c>
      <c r="O10" s="25">
        <f t="shared" ref="O10:O11" si="7">L10/J10-1</f>
        <v>-0.00578338591</v>
      </c>
      <c r="P10" s="19">
        <f t="shared" si="5"/>
        <v>-550</v>
      </c>
      <c r="Q10" s="26">
        <v>0.055</v>
      </c>
      <c r="R10" s="27"/>
      <c r="S10" s="35"/>
      <c r="T10" s="27">
        <v>16050.0</v>
      </c>
      <c r="U10" s="27"/>
      <c r="V10" s="15"/>
      <c r="W10" s="41"/>
      <c r="X10" s="21"/>
      <c r="Y10" s="20"/>
      <c r="Z10" s="42" t="s">
        <v>439</v>
      </c>
      <c r="AA10" s="36">
        <v>45124.0</v>
      </c>
      <c r="AB10" s="37">
        <v>19.02</v>
      </c>
      <c r="AC10" s="27">
        <v>95100.0</v>
      </c>
    </row>
    <row r="11">
      <c r="A11" s="38"/>
      <c r="B11" s="32"/>
      <c r="C11" s="14">
        <f>I11/E120</f>
        <v>0.01277339955</v>
      </c>
      <c r="D11" s="42" t="s">
        <v>438</v>
      </c>
      <c r="E11" s="42" t="s">
        <v>439</v>
      </c>
      <c r="F11" s="44">
        <v>7.7</v>
      </c>
      <c r="G11" s="18">
        <v>10000.0</v>
      </c>
      <c r="H11" s="19">
        <f t="shared" si="1"/>
        <v>198700</v>
      </c>
      <c r="I11" s="20">
        <f t="shared" si="6"/>
        <v>189100</v>
      </c>
      <c r="J11" s="21">
        <v>19.87</v>
      </c>
      <c r="K11" s="22">
        <f>IFERROR(__xludf.DUMMYFUNCTION("GOOGLEFINANCE(E11,""changepct"")"),-0.32)</f>
        <v>-0.32</v>
      </c>
      <c r="L11" s="23">
        <f>IFERROR(__xludf.DUMMYFUNCTION("googlefinance(E11,""price"")"),18.91)</f>
        <v>18.91</v>
      </c>
      <c r="M11" s="24"/>
      <c r="N11" s="24">
        <f t="shared" si="3"/>
        <v>-0.96</v>
      </c>
      <c r="O11" s="25">
        <f t="shared" si="7"/>
        <v>-0.04831404127</v>
      </c>
      <c r="P11" s="19">
        <f t="shared" si="5"/>
        <v>-9600</v>
      </c>
      <c r="Q11" s="26">
        <v>0.055</v>
      </c>
      <c r="R11" s="27"/>
      <c r="S11" s="43"/>
      <c r="T11" s="27">
        <v>11250.0</v>
      </c>
      <c r="U11" s="27"/>
      <c r="V11" s="15"/>
      <c r="W11" s="41"/>
      <c r="X11" s="21"/>
      <c r="Y11" s="20"/>
      <c r="Z11" s="42"/>
      <c r="AA11" s="36"/>
      <c r="AB11" s="37"/>
      <c r="AC11" s="27"/>
    </row>
    <row r="12">
      <c r="A12" s="38"/>
      <c r="B12" s="32"/>
      <c r="C12" s="14">
        <f>I12/E120</f>
        <v>0</v>
      </c>
      <c r="D12" s="42" t="s">
        <v>438</v>
      </c>
      <c r="E12" s="42" t="s">
        <v>439</v>
      </c>
      <c r="F12" s="44">
        <v>7.7</v>
      </c>
      <c r="G12" s="18">
        <v>15000.0</v>
      </c>
      <c r="H12" s="19">
        <f t="shared" si="1"/>
        <v>193350</v>
      </c>
      <c r="I12" s="20">
        <v>0.0</v>
      </c>
      <c r="J12" s="21">
        <v>12.89</v>
      </c>
      <c r="K12" s="22">
        <f>IFERROR(__xludf.DUMMYFUNCTION("GOOGLEFINANCE(E12,""changepct"")"),-0.32)</f>
        <v>-0.32</v>
      </c>
      <c r="L12" s="23">
        <f>IFERROR(__xludf.DUMMYFUNCTION("googlefinance(E12,""price"")"),18.91)</f>
        <v>18.91</v>
      </c>
      <c r="M12" s="21">
        <v>13.19</v>
      </c>
      <c r="N12" s="24">
        <f t="shared" si="3"/>
        <v>6.02</v>
      </c>
      <c r="O12" s="25">
        <f>M12/J12-1</f>
        <v>0.0232738557</v>
      </c>
      <c r="P12" s="19">
        <f t="shared" si="5"/>
        <v>4500</v>
      </c>
      <c r="Q12" s="26">
        <v>0.055</v>
      </c>
      <c r="R12" s="29"/>
      <c r="S12" s="310"/>
      <c r="T12" s="27"/>
      <c r="U12" s="27"/>
      <c r="V12" s="15" t="s">
        <v>439</v>
      </c>
      <c r="W12" s="41">
        <v>45190.0</v>
      </c>
      <c r="X12" s="21">
        <v>13.19</v>
      </c>
      <c r="Y12" s="20">
        <v>197850.0</v>
      </c>
      <c r="Z12" s="42" t="s">
        <v>439</v>
      </c>
      <c r="AA12" s="36">
        <v>45162.0</v>
      </c>
      <c r="AB12" s="37">
        <v>12.89</v>
      </c>
      <c r="AC12" s="27">
        <v>193350.0</v>
      </c>
    </row>
    <row r="13">
      <c r="A13" s="38"/>
      <c r="B13" s="32"/>
      <c r="C13" s="14">
        <f>I13/E120</f>
        <v>0.01240593634</v>
      </c>
      <c r="D13" s="42" t="s">
        <v>41</v>
      </c>
      <c r="E13" s="42" t="s">
        <v>40</v>
      </c>
      <c r="F13" s="44">
        <v>8.1</v>
      </c>
      <c r="G13" s="18">
        <v>1500.0</v>
      </c>
      <c r="H13" s="19">
        <f t="shared" si="1"/>
        <v>145980</v>
      </c>
      <c r="I13" s="20">
        <f t="shared" ref="I13:I19" si="8">H13+P13</f>
        <v>183660</v>
      </c>
      <c r="J13" s="21">
        <v>97.32</v>
      </c>
      <c r="K13" s="22">
        <f>IFERROR(__xludf.DUMMYFUNCTION("GOOGLEFINANCE(E13,""changepct"")"),-2.2)</f>
        <v>-2.2</v>
      </c>
      <c r="L13" s="23">
        <f>IFERROR(__xludf.DUMMYFUNCTION("googlefinance(E13,""price"")"),122.44)</f>
        <v>122.44</v>
      </c>
      <c r="M13" s="24"/>
      <c r="N13" s="24">
        <f t="shared" si="3"/>
        <v>25.12</v>
      </c>
      <c r="O13" s="25">
        <f t="shared" ref="O13:O19" si="9">L13/J13-1</f>
        <v>0.2581175503</v>
      </c>
      <c r="P13" s="19">
        <f t="shared" si="5"/>
        <v>37680</v>
      </c>
      <c r="Q13" s="34"/>
      <c r="R13" s="29"/>
      <c r="S13" s="43"/>
      <c r="T13" s="27"/>
      <c r="U13" s="27"/>
      <c r="V13" s="15"/>
      <c r="W13" s="41"/>
      <c r="X13" s="21"/>
      <c r="Y13" s="20"/>
      <c r="Z13" s="42" t="s">
        <v>40</v>
      </c>
      <c r="AA13" s="36">
        <v>45190.0</v>
      </c>
      <c r="AB13" s="37">
        <v>97.32</v>
      </c>
      <c r="AC13" s="27">
        <v>145980.0</v>
      </c>
    </row>
    <row r="14">
      <c r="A14" s="38"/>
      <c r="B14" s="32"/>
      <c r="C14" s="14">
        <f>I14/E120</f>
        <v>0.01240593634</v>
      </c>
      <c r="D14" s="42" t="s">
        <v>41</v>
      </c>
      <c r="E14" s="42" t="s">
        <v>40</v>
      </c>
      <c r="F14" s="44">
        <v>8.1</v>
      </c>
      <c r="G14" s="18">
        <v>1500.0</v>
      </c>
      <c r="H14" s="19">
        <f t="shared" si="1"/>
        <v>153930</v>
      </c>
      <c r="I14" s="20">
        <f t="shared" si="8"/>
        <v>183660</v>
      </c>
      <c r="J14" s="21">
        <v>102.62</v>
      </c>
      <c r="K14" s="22">
        <f>IFERROR(__xludf.DUMMYFUNCTION("GOOGLEFINANCE(E14,""changepct"")"),-2.2)</f>
        <v>-2.2</v>
      </c>
      <c r="L14" s="23">
        <f>IFERROR(__xludf.DUMMYFUNCTION("googlefinance(E14,""price"")"),122.44)</f>
        <v>122.44</v>
      </c>
      <c r="M14" s="24"/>
      <c r="N14" s="24">
        <f t="shared" si="3"/>
        <v>19.82</v>
      </c>
      <c r="O14" s="25">
        <f t="shared" si="9"/>
        <v>0.1931397388</v>
      </c>
      <c r="P14" s="19">
        <f t="shared" si="5"/>
        <v>29730</v>
      </c>
      <c r="Q14" s="34"/>
      <c r="R14" s="29"/>
      <c r="S14" s="43"/>
      <c r="T14" s="27">
        <v>6675.0</v>
      </c>
      <c r="U14" s="27"/>
      <c r="V14" s="15"/>
      <c r="W14" s="41"/>
      <c r="X14" s="21"/>
      <c r="Y14" s="20"/>
      <c r="Z14" s="42" t="s">
        <v>40</v>
      </c>
      <c r="AA14" s="36">
        <v>45162.0</v>
      </c>
      <c r="AB14" s="37">
        <v>102.62</v>
      </c>
      <c r="AC14" s="27">
        <v>153930.0</v>
      </c>
    </row>
    <row r="15">
      <c r="A15" s="38"/>
      <c r="B15" s="32"/>
      <c r="C15" s="14">
        <f>I15/E120</f>
        <v>0.01240593634</v>
      </c>
      <c r="D15" s="42" t="s">
        <v>41</v>
      </c>
      <c r="E15" s="42" t="s">
        <v>40</v>
      </c>
      <c r="F15" s="44">
        <v>8.1</v>
      </c>
      <c r="G15" s="18">
        <v>1500.0</v>
      </c>
      <c r="H15" s="19">
        <f t="shared" si="1"/>
        <v>164475</v>
      </c>
      <c r="I15" s="20">
        <f t="shared" si="8"/>
        <v>183660</v>
      </c>
      <c r="J15" s="21">
        <v>109.65</v>
      </c>
      <c r="K15" s="22">
        <f>IFERROR(__xludf.DUMMYFUNCTION("GOOGLEFINANCE(E15,""changepct"")"),-2.2)</f>
        <v>-2.2</v>
      </c>
      <c r="L15" s="23">
        <f>IFERROR(__xludf.DUMMYFUNCTION("googlefinance(E15,""price"")"),122.44)</f>
        <v>122.44</v>
      </c>
      <c r="M15" s="24"/>
      <c r="N15" s="24">
        <f t="shared" si="3"/>
        <v>12.79</v>
      </c>
      <c r="O15" s="25">
        <f t="shared" si="9"/>
        <v>0.1166438668</v>
      </c>
      <c r="P15" s="19">
        <f t="shared" si="5"/>
        <v>19185</v>
      </c>
      <c r="Q15" s="34"/>
      <c r="R15" s="29"/>
      <c r="S15" s="310"/>
      <c r="T15" s="27"/>
      <c r="U15" s="27"/>
      <c r="V15" s="15"/>
      <c r="W15" s="41"/>
      <c r="X15" s="21"/>
      <c r="Y15" s="20"/>
      <c r="Z15" s="42" t="s">
        <v>40</v>
      </c>
      <c r="AA15" s="36">
        <v>45140.0</v>
      </c>
      <c r="AB15" s="37">
        <v>109.65</v>
      </c>
      <c r="AC15" s="27">
        <v>164475.0</v>
      </c>
    </row>
    <row r="16">
      <c r="A16" s="38"/>
      <c r="B16" s="32"/>
      <c r="C16" s="14">
        <f>I16/E120</f>
        <v>0.02481187268</v>
      </c>
      <c r="D16" s="42" t="s">
        <v>39</v>
      </c>
      <c r="E16" s="42" t="s">
        <v>40</v>
      </c>
      <c r="F16" s="44">
        <v>8.1</v>
      </c>
      <c r="G16" s="18">
        <v>3000.0</v>
      </c>
      <c r="H16" s="19">
        <f t="shared" si="1"/>
        <v>341730</v>
      </c>
      <c r="I16" s="20">
        <f t="shared" si="8"/>
        <v>367320</v>
      </c>
      <c r="J16" s="21">
        <v>113.91</v>
      </c>
      <c r="K16" s="22">
        <f>IFERROR(__xludf.DUMMYFUNCTION("GOOGLEFINANCE(E16,""changepct"")"),-2.2)</f>
        <v>-2.2</v>
      </c>
      <c r="L16" s="23">
        <f>IFERROR(__xludf.DUMMYFUNCTION("googlefinance(E16,""price"")"),122.44)</f>
        <v>122.44</v>
      </c>
      <c r="M16" s="24"/>
      <c r="N16" s="24">
        <f t="shared" si="3"/>
        <v>8.53</v>
      </c>
      <c r="O16" s="25">
        <f t="shared" si="9"/>
        <v>0.0748836801</v>
      </c>
      <c r="P16" s="19">
        <f t="shared" si="5"/>
        <v>25590</v>
      </c>
      <c r="Q16" s="34"/>
      <c r="R16" s="29"/>
      <c r="S16" s="310"/>
      <c r="T16" s="27">
        <v>3000.0</v>
      </c>
      <c r="U16" s="27"/>
      <c r="V16" s="15"/>
      <c r="W16" s="41"/>
      <c r="X16" s="21"/>
      <c r="Y16" s="20"/>
      <c r="Z16" s="42"/>
      <c r="AA16" s="36"/>
      <c r="AB16" s="37"/>
      <c r="AC16" s="27"/>
    </row>
    <row r="17">
      <c r="A17" s="38"/>
      <c r="B17" s="32"/>
      <c r="C17" s="14">
        <f>I17/E120</f>
        <v>0.07474228771</v>
      </c>
      <c r="D17" s="42" t="s">
        <v>42</v>
      </c>
      <c r="E17" s="45" t="s">
        <v>43</v>
      </c>
      <c r="F17" s="44">
        <v>8.0</v>
      </c>
      <c r="G17" s="18">
        <v>5000.0</v>
      </c>
      <c r="H17" s="19">
        <f t="shared" si="1"/>
        <v>651800</v>
      </c>
      <c r="I17" s="20">
        <f t="shared" si="8"/>
        <v>1106500</v>
      </c>
      <c r="J17" s="21">
        <v>130.36</v>
      </c>
      <c r="K17" s="22">
        <f>IFERROR(__xludf.DUMMYFUNCTION("GOOGLEFINANCE(E17,""changepct"")"),-1.09)</f>
        <v>-1.09</v>
      </c>
      <c r="L17" s="23">
        <f>IFERROR(__xludf.DUMMYFUNCTION("googlefinance(E17,""price"")"),221.3)</f>
        <v>221.3</v>
      </c>
      <c r="M17" s="24"/>
      <c r="N17" s="24">
        <f t="shared" si="3"/>
        <v>90.94</v>
      </c>
      <c r="O17" s="25">
        <f t="shared" si="9"/>
        <v>0.6976066278</v>
      </c>
      <c r="P17" s="19">
        <f t="shared" si="5"/>
        <v>454700</v>
      </c>
      <c r="Q17" s="34"/>
      <c r="R17" s="29"/>
      <c r="S17" s="310"/>
      <c r="T17" s="27"/>
      <c r="U17" s="27"/>
      <c r="V17" s="15"/>
      <c r="W17" s="41"/>
      <c r="X17" s="21"/>
      <c r="Y17" s="20"/>
      <c r="Z17" s="42"/>
      <c r="AA17" s="36"/>
      <c r="AB17" s="37"/>
      <c r="AC17" s="27"/>
    </row>
    <row r="18">
      <c r="A18" s="38"/>
      <c r="B18" s="32"/>
      <c r="C18" s="14">
        <f>I18/E120</f>
        <v>0.1042676867</v>
      </c>
      <c r="D18" s="42" t="s">
        <v>48</v>
      </c>
      <c r="E18" s="45" t="s">
        <v>46</v>
      </c>
      <c r="F18" s="44">
        <v>8.3</v>
      </c>
      <c r="G18" s="18">
        <v>20000.0</v>
      </c>
      <c r="H18" s="19">
        <f t="shared" si="1"/>
        <v>312400</v>
      </c>
      <c r="I18" s="20">
        <f t="shared" si="8"/>
        <v>1543600</v>
      </c>
      <c r="J18" s="21">
        <v>15.62</v>
      </c>
      <c r="K18" s="22">
        <f>IFERROR(__xludf.DUMMYFUNCTION("GOOGLEFINANCE(E18,""changepct"")"),-2.4)</f>
        <v>-2.4</v>
      </c>
      <c r="L18" s="23">
        <f>IFERROR(__xludf.DUMMYFUNCTION("googlefinance(E18,""price"")"),77.18)</f>
        <v>77.18</v>
      </c>
      <c r="M18" s="24"/>
      <c r="N18" s="24">
        <f t="shared" si="3"/>
        <v>61.56</v>
      </c>
      <c r="O18" s="25">
        <f t="shared" si="9"/>
        <v>3.941101152</v>
      </c>
      <c r="P18" s="19">
        <f t="shared" si="5"/>
        <v>1231200</v>
      </c>
      <c r="Q18" s="34"/>
      <c r="R18" s="29"/>
      <c r="S18" s="282"/>
      <c r="T18" s="27">
        <v>24600.0</v>
      </c>
      <c r="U18" s="27"/>
      <c r="V18" s="15"/>
      <c r="W18" s="36"/>
      <c r="X18" s="37"/>
      <c r="Y18" s="27"/>
      <c r="Z18" s="42" t="s">
        <v>46</v>
      </c>
      <c r="AA18" s="41">
        <v>45153.0</v>
      </c>
      <c r="AB18" s="21">
        <v>15.62</v>
      </c>
      <c r="AC18" s="20">
        <v>312400.0</v>
      </c>
    </row>
    <row r="19">
      <c r="A19" s="38"/>
      <c r="B19" s="32"/>
      <c r="C19" s="14">
        <f>I19/E120</f>
        <v>0.4170707467</v>
      </c>
      <c r="D19" s="42" t="s">
        <v>45</v>
      </c>
      <c r="E19" s="45" t="s">
        <v>46</v>
      </c>
      <c r="F19" s="44">
        <v>8.3</v>
      </c>
      <c r="G19" s="18">
        <v>80000.0</v>
      </c>
      <c r="H19" s="19">
        <f t="shared" si="1"/>
        <v>1226400</v>
      </c>
      <c r="I19" s="20">
        <f t="shared" si="8"/>
        <v>6174400</v>
      </c>
      <c r="J19" s="21">
        <v>15.33</v>
      </c>
      <c r="K19" s="22">
        <f>IFERROR(__xludf.DUMMYFUNCTION("GOOGLEFINANCE(E19,""changepct"")"),-2.4)</f>
        <v>-2.4</v>
      </c>
      <c r="L19" s="23">
        <f>IFERROR(__xludf.DUMMYFUNCTION("googlefinance(E19,""price"")"),77.18)</f>
        <v>77.18</v>
      </c>
      <c r="M19" s="24"/>
      <c r="N19" s="24">
        <f t="shared" si="3"/>
        <v>61.85</v>
      </c>
      <c r="O19" s="25">
        <f t="shared" si="9"/>
        <v>4.034572733</v>
      </c>
      <c r="P19" s="19">
        <f t="shared" si="5"/>
        <v>4948000</v>
      </c>
      <c r="Q19" s="34"/>
      <c r="R19" s="29"/>
      <c r="S19" s="35"/>
      <c r="T19" s="27">
        <v>24410.0</v>
      </c>
      <c r="U19" s="27">
        <v>-500.0</v>
      </c>
      <c r="V19" s="15"/>
      <c r="W19" s="36"/>
      <c r="X19" s="37"/>
      <c r="Y19" s="27"/>
      <c r="Z19" s="42"/>
      <c r="AA19" s="41"/>
      <c r="AB19" s="21"/>
      <c r="AC19" s="20"/>
    </row>
    <row r="20">
      <c r="A20" s="38"/>
      <c r="B20" s="32"/>
      <c r="C20" s="14">
        <f>I20/E120</f>
        <v>0</v>
      </c>
      <c r="D20" s="45" t="s">
        <v>440</v>
      </c>
      <c r="E20" s="45" t="s">
        <v>77</v>
      </c>
      <c r="F20" s="44">
        <v>8.2</v>
      </c>
      <c r="G20" s="18">
        <v>1000.0</v>
      </c>
      <c r="H20" s="19">
        <f t="shared" si="1"/>
        <v>111210</v>
      </c>
      <c r="I20" s="20">
        <v>0.0</v>
      </c>
      <c r="J20" s="21">
        <v>111.21</v>
      </c>
      <c r="K20" s="22">
        <f>IFERROR(__xludf.DUMMYFUNCTION("GOOGLEFINANCE(E20,""changepct"")"),-1.69)</f>
        <v>-1.69</v>
      </c>
      <c r="L20" s="23">
        <f>IFERROR(__xludf.DUMMYFUNCTION("googlefinance(E20,""price"")"),154.58)</f>
        <v>154.58</v>
      </c>
      <c r="M20" s="21">
        <v>108.86</v>
      </c>
      <c r="N20" s="24">
        <f t="shared" si="3"/>
        <v>43.37</v>
      </c>
      <c r="O20" s="25">
        <f>M20/J20-1</f>
        <v>-0.02113119324</v>
      </c>
      <c r="P20" s="19">
        <f t="shared" si="5"/>
        <v>-2350</v>
      </c>
      <c r="Q20" s="47"/>
      <c r="R20" s="27"/>
      <c r="S20" s="35"/>
      <c r="T20" s="27"/>
      <c r="U20" s="27"/>
      <c r="V20" s="15" t="s">
        <v>77</v>
      </c>
      <c r="W20" s="41">
        <v>45190.0</v>
      </c>
      <c r="X20" s="21">
        <v>108.86</v>
      </c>
      <c r="Y20" s="20">
        <v>108860.0</v>
      </c>
      <c r="Z20" s="42" t="s">
        <v>77</v>
      </c>
      <c r="AA20" s="41">
        <v>45161.0</v>
      </c>
      <c r="AB20" s="21">
        <v>111.21</v>
      </c>
      <c r="AC20" s="20">
        <v>111210.0</v>
      </c>
    </row>
    <row r="21">
      <c r="A21" s="38"/>
      <c r="B21" s="32"/>
      <c r="C21" s="14">
        <f>I21/E120</f>
        <v>0.02088325863</v>
      </c>
      <c r="D21" s="45" t="s">
        <v>440</v>
      </c>
      <c r="E21" s="45" t="s">
        <v>77</v>
      </c>
      <c r="F21" s="44">
        <v>8.2</v>
      </c>
      <c r="G21" s="18">
        <v>2000.0</v>
      </c>
      <c r="H21" s="19">
        <f t="shared" si="1"/>
        <v>238080</v>
      </c>
      <c r="I21" s="20">
        <f t="shared" ref="I21:I31" si="10">H21+P21</f>
        <v>309160</v>
      </c>
      <c r="J21" s="21">
        <v>119.04</v>
      </c>
      <c r="K21" s="22">
        <f>IFERROR(__xludf.DUMMYFUNCTION("GOOGLEFINANCE(E21,""changepct"")"),-1.69)</f>
        <v>-1.69</v>
      </c>
      <c r="L21" s="23">
        <f>IFERROR(__xludf.DUMMYFUNCTION("googlefinance(E21,""price"")"),154.58)</f>
        <v>154.58</v>
      </c>
      <c r="M21" s="24"/>
      <c r="N21" s="24">
        <f t="shared" si="3"/>
        <v>35.54</v>
      </c>
      <c r="O21" s="25">
        <f t="shared" ref="O21:O31" si="11">L21/J21-1</f>
        <v>0.2985551075</v>
      </c>
      <c r="P21" s="19">
        <f t="shared" si="5"/>
        <v>71080</v>
      </c>
      <c r="Q21" s="47">
        <v>0.027</v>
      </c>
      <c r="R21" s="27">
        <v>1600.0</v>
      </c>
      <c r="S21" s="35"/>
      <c r="T21" s="27">
        <v>-1750.0</v>
      </c>
      <c r="U21" s="27"/>
      <c r="V21" s="15"/>
      <c r="W21" s="41"/>
      <c r="X21" s="21"/>
      <c r="Y21" s="20"/>
      <c r="Z21" s="15"/>
      <c r="AA21" s="41"/>
      <c r="AB21" s="21"/>
      <c r="AC21" s="20"/>
    </row>
    <row r="22">
      <c r="A22" s="38"/>
      <c r="B22" s="32"/>
      <c r="C22" s="14">
        <f>I22/E120</f>
        <v>0.01117655574</v>
      </c>
      <c r="D22" s="42" t="s">
        <v>441</v>
      </c>
      <c r="E22" s="42" t="s">
        <v>340</v>
      </c>
      <c r="F22" s="44">
        <v>8.1</v>
      </c>
      <c r="G22" s="18">
        <v>2000.0</v>
      </c>
      <c r="H22" s="19">
        <f t="shared" si="1"/>
        <v>132360</v>
      </c>
      <c r="I22" s="20">
        <f t="shared" si="10"/>
        <v>165460</v>
      </c>
      <c r="J22" s="21">
        <v>66.18</v>
      </c>
      <c r="K22" s="22">
        <f>IFERROR(__xludf.DUMMYFUNCTION("GOOGLEFINANCE(E22,""changepct"")"),-1.3)</f>
        <v>-1.3</v>
      </c>
      <c r="L22" s="23">
        <f>IFERROR(__xludf.DUMMYFUNCTION("googlefinance(E22,""price"")"),82.73)</f>
        <v>82.73</v>
      </c>
      <c r="M22" s="24"/>
      <c r="N22" s="24">
        <f t="shared" si="3"/>
        <v>16.55</v>
      </c>
      <c r="O22" s="25">
        <f t="shared" si="11"/>
        <v>0.2500755515</v>
      </c>
      <c r="P22" s="19">
        <f t="shared" si="5"/>
        <v>33100</v>
      </c>
      <c r="Q22" s="34"/>
      <c r="R22" s="29"/>
      <c r="S22" s="310"/>
      <c r="T22" s="27"/>
      <c r="U22" s="27"/>
      <c r="V22" s="15"/>
      <c r="W22" s="41"/>
      <c r="X22" s="21"/>
      <c r="Y22" s="20"/>
      <c r="Z22" s="15" t="s">
        <v>340</v>
      </c>
      <c r="AA22" s="36">
        <v>45156.0</v>
      </c>
      <c r="AB22" s="37">
        <v>66.18</v>
      </c>
      <c r="AC22" s="27">
        <v>132360.0</v>
      </c>
    </row>
    <row r="23">
      <c r="A23" s="38"/>
      <c r="B23" s="32"/>
      <c r="C23" s="14">
        <f>I23/E120</f>
        <v>0.01676483361</v>
      </c>
      <c r="D23" s="42" t="s">
        <v>441</v>
      </c>
      <c r="E23" s="42" t="s">
        <v>340</v>
      </c>
      <c r="F23" s="44">
        <v>8.1</v>
      </c>
      <c r="G23" s="18">
        <v>3000.0</v>
      </c>
      <c r="H23" s="19">
        <f t="shared" si="1"/>
        <v>203640</v>
      </c>
      <c r="I23" s="20">
        <f t="shared" si="10"/>
        <v>248190</v>
      </c>
      <c r="J23" s="21">
        <v>67.88</v>
      </c>
      <c r="K23" s="22">
        <f>IFERROR(__xludf.DUMMYFUNCTION("GOOGLEFINANCE(E23,""changepct"")"),-1.3)</f>
        <v>-1.3</v>
      </c>
      <c r="L23" s="23">
        <f>IFERROR(__xludf.DUMMYFUNCTION("googlefinance(E23,""price"")"),82.73)</f>
        <v>82.73</v>
      </c>
      <c r="M23" s="24"/>
      <c r="N23" s="24">
        <f t="shared" si="3"/>
        <v>14.85</v>
      </c>
      <c r="O23" s="25">
        <f t="shared" si="11"/>
        <v>0.2187684148</v>
      </c>
      <c r="P23" s="19">
        <f t="shared" si="5"/>
        <v>44550</v>
      </c>
      <c r="Q23" s="34"/>
      <c r="R23" s="29"/>
      <c r="S23" s="21"/>
      <c r="T23" s="27"/>
      <c r="U23" s="27"/>
      <c r="V23" s="15"/>
      <c r="W23" s="41"/>
      <c r="X23" s="21"/>
      <c r="Y23" s="20"/>
      <c r="Z23" s="15"/>
      <c r="AA23" s="36"/>
      <c r="AB23" s="37"/>
      <c r="AC23" s="27"/>
    </row>
    <row r="24">
      <c r="A24" s="38"/>
      <c r="B24" s="32"/>
      <c r="C24" s="14">
        <f>I24/E120</f>
        <v>0.01591777686</v>
      </c>
      <c r="D24" s="15" t="s">
        <v>376</v>
      </c>
      <c r="E24" s="15" t="s">
        <v>377</v>
      </c>
      <c r="F24" s="17">
        <v>7.7</v>
      </c>
      <c r="G24" s="18">
        <v>3000.0</v>
      </c>
      <c r="H24" s="19">
        <f t="shared" si="1"/>
        <v>169080</v>
      </c>
      <c r="I24" s="20">
        <f t="shared" si="10"/>
        <v>235650</v>
      </c>
      <c r="J24" s="21">
        <v>56.36</v>
      </c>
      <c r="K24" s="22">
        <f>IFERROR(__xludf.DUMMYFUNCTION("GOOGLEFINANCE(E24,""changepct"")"),-2.29)</f>
        <v>-2.29</v>
      </c>
      <c r="L24" s="23">
        <f>IFERROR(__xludf.DUMMYFUNCTION("googlefinance(E24,""price"")"),78.55)</f>
        <v>78.55</v>
      </c>
      <c r="M24" s="24"/>
      <c r="N24" s="24">
        <f t="shared" si="3"/>
        <v>22.19</v>
      </c>
      <c r="O24" s="25">
        <f t="shared" si="11"/>
        <v>0.3937189496</v>
      </c>
      <c r="P24" s="19">
        <f t="shared" si="5"/>
        <v>66570</v>
      </c>
      <c r="Q24" s="14"/>
      <c r="R24" s="19"/>
      <c r="S24" s="37"/>
      <c r="T24" s="27"/>
      <c r="U24" s="27"/>
      <c r="V24" s="15"/>
      <c r="W24" s="36"/>
      <c r="X24" s="37"/>
      <c r="Y24" s="27"/>
      <c r="Z24" s="15"/>
      <c r="AA24" s="36"/>
      <c r="AB24" s="37"/>
      <c r="AC24" s="27"/>
    </row>
    <row r="25">
      <c r="A25" s="38"/>
      <c r="B25" s="32"/>
      <c r="C25" s="14">
        <f>I25/E120</f>
        <v>0.01167438733</v>
      </c>
      <c r="D25" s="15" t="s">
        <v>378</v>
      </c>
      <c r="E25" s="15" t="s">
        <v>379</v>
      </c>
      <c r="F25" s="17">
        <v>7.6</v>
      </c>
      <c r="G25" s="18">
        <v>3000.0</v>
      </c>
      <c r="H25" s="19">
        <f t="shared" si="1"/>
        <v>132420</v>
      </c>
      <c r="I25" s="20">
        <f t="shared" si="10"/>
        <v>172830</v>
      </c>
      <c r="J25" s="21">
        <v>44.14</v>
      </c>
      <c r="K25" s="22">
        <f>IFERROR(__xludf.DUMMYFUNCTION("GOOGLEFINANCE(E25,""changepct"")"),-2.8)</f>
        <v>-2.8</v>
      </c>
      <c r="L25" s="23">
        <f>IFERROR(__xludf.DUMMYFUNCTION("googlefinance(E25,""price"")"),57.61)</f>
        <v>57.61</v>
      </c>
      <c r="M25" s="24"/>
      <c r="N25" s="24">
        <f t="shared" si="3"/>
        <v>13.47</v>
      </c>
      <c r="O25" s="25">
        <f t="shared" si="11"/>
        <v>0.3051653829</v>
      </c>
      <c r="P25" s="19">
        <f t="shared" si="5"/>
        <v>40410</v>
      </c>
      <c r="Q25" s="14"/>
      <c r="R25" s="19"/>
      <c r="S25" s="37"/>
      <c r="T25" s="27"/>
      <c r="U25" s="27"/>
      <c r="V25" s="15"/>
      <c r="W25" s="36"/>
      <c r="X25" s="288"/>
      <c r="Y25" s="27"/>
      <c r="Z25" s="15"/>
      <c r="AA25" s="36"/>
      <c r="AB25" s="37"/>
      <c r="AC25" s="27"/>
    </row>
    <row r="26">
      <c r="A26" s="38"/>
      <c r="B26" s="32"/>
      <c r="C26" s="14">
        <f>I26/E120</f>
        <v>0.02223219987</v>
      </c>
      <c r="D26" s="104" t="s">
        <v>333</v>
      </c>
      <c r="E26" s="278" t="s">
        <v>334</v>
      </c>
      <c r="F26" s="279">
        <v>7.7</v>
      </c>
      <c r="G26" s="18">
        <v>3000.0</v>
      </c>
      <c r="H26" s="19">
        <f t="shared" si="1"/>
        <v>175830</v>
      </c>
      <c r="I26" s="20">
        <f t="shared" si="10"/>
        <v>329130</v>
      </c>
      <c r="J26" s="21">
        <v>58.61</v>
      </c>
      <c r="K26" s="22">
        <f>IFERROR(__xludf.DUMMYFUNCTION("GOOGLEFINANCE(E26,""changepct"")"),-1.76)</f>
        <v>-1.76</v>
      </c>
      <c r="L26" s="23">
        <f>IFERROR(__xludf.DUMMYFUNCTION("googlefinance(E26,""price"")"),109.71)</f>
        <v>109.71</v>
      </c>
      <c r="M26" s="24"/>
      <c r="N26" s="24">
        <f t="shared" si="3"/>
        <v>51.1</v>
      </c>
      <c r="O26" s="25">
        <f t="shared" si="11"/>
        <v>0.8718648695</v>
      </c>
      <c r="P26" s="19">
        <f t="shared" si="5"/>
        <v>153300</v>
      </c>
      <c r="Q26" s="14"/>
      <c r="R26" s="19"/>
      <c r="S26" s="37"/>
      <c r="T26" s="27"/>
      <c r="U26" s="27"/>
      <c r="V26" s="15"/>
      <c r="W26" s="36"/>
      <c r="X26" s="37"/>
      <c r="Y26" s="27"/>
      <c r="Z26" s="15"/>
      <c r="AA26" s="36"/>
      <c r="AB26" s="37"/>
      <c r="AC26" s="27"/>
    </row>
    <row r="27">
      <c r="A27" s="38"/>
      <c r="B27" s="32"/>
      <c r="C27" s="14">
        <f>I27/E120</f>
        <v>0.0110779351</v>
      </c>
      <c r="D27" s="42" t="s">
        <v>288</v>
      </c>
      <c r="E27" s="42" t="s">
        <v>289</v>
      </c>
      <c r="F27" s="44">
        <v>8.0</v>
      </c>
      <c r="G27" s="18">
        <v>5000.0</v>
      </c>
      <c r="H27" s="19">
        <f t="shared" si="1"/>
        <v>222250</v>
      </c>
      <c r="I27" s="20">
        <f t="shared" si="10"/>
        <v>164000</v>
      </c>
      <c r="J27" s="21">
        <v>44.45</v>
      </c>
      <c r="K27" s="22">
        <f>IFERROR(__xludf.DUMMYFUNCTION("GOOGLEFINANCE(E27,""changepct"")"),-1.12)</f>
        <v>-1.12</v>
      </c>
      <c r="L27" s="23">
        <f>IFERROR(__xludf.DUMMYFUNCTION("googlefinance(E27,""price"")"),32.8)</f>
        <v>32.8</v>
      </c>
      <c r="M27" s="24"/>
      <c r="N27" s="24">
        <f t="shared" si="3"/>
        <v>-11.65</v>
      </c>
      <c r="O27" s="25">
        <f t="shared" si="11"/>
        <v>-0.2620922385</v>
      </c>
      <c r="P27" s="19">
        <f t="shared" si="5"/>
        <v>-58250</v>
      </c>
      <c r="Q27" s="14"/>
      <c r="R27" s="19"/>
      <c r="S27" s="37"/>
      <c r="T27" s="27"/>
      <c r="U27" s="29"/>
      <c r="V27" s="16"/>
      <c r="W27" s="30"/>
      <c r="X27" s="31"/>
      <c r="Y27" s="29"/>
      <c r="Z27" s="15" t="s">
        <v>289</v>
      </c>
      <c r="AA27" s="36">
        <v>45156.0</v>
      </c>
      <c r="AB27" s="37">
        <v>44.45</v>
      </c>
      <c r="AC27" s="27">
        <v>222250.0</v>
      </c>
    </row>
    <row r="28">
      <c r="A28" s="38"/>
      <c r="B28" s="32"/>
      <c r="C28" s="14">
        <f>I28/E120</f>
        <v>0.0110779351</v>
      </c>
      <c r="D28" s="42" t="s">
        <v>288</v>
      </c>
      <c r="E28" s="42" t="s">
        <v>289</v>
      </c>
      <c r="F28" s="44">
        <v>8.0</v>
      </c>
      <c r="G28" s="18">
        <v>5000.0</v>
      </c>
      <c r="H28" s="19">
        <f t="shared" si="1"/>
        <v>209250</v>
      </c>
      <c r="I28" s="20">
        <f t="shared" si="10"/>
        <v>164000</v>
      </c>
      <c r="J28" s="21">
        <v>41.85</v>
      </c>
      <c r="K28" s="22">
        <f>IFERROR(__xludf.DUMMYFUNCTION("GOOGLEFINANCE(E28,""changepct"")"),-1.12)</f>
        <v>-1.12</v>
      </c>
      <c r="L28" s="23">
        <f>IFERROR(__xludf.DUMMYFUNCTION("googlefinance(E28,""price"")"),32.8)</f>
        <v>32.8</v>
      </c>
      <c r="M28" s="24"/>
      <c r="N28" s="24">
        <f t="shared" si="3"/>
        <v>-9.05</v>
      </c>
      <c r="O28" s="25">
        <f t="shared" si="11"/>
        <v>-0.2162485066</v>
      </c>
      <c r="P28" s="19">
        <f t="shared" si="5"/>
        <v>-45250</v>
      </c>
      <c r="Q28" s="14"/>
      <c r="R28" s="19"/>
      <c r="S28" s="37"/>
      <c r="T28" s="27">
        <v>2125.0</v>
      </c>
      <c r="U28" s="29"/>
      <c r="V28" s="16"/>
      <c r="W28" s="30"/>
      <c r="X28" s="31"/>
      <c r="Y28" s="29"/>
      <c r="Z28" s="15"/>
      <c r="AA28" s="36"/>
      <c r="AB28" s="37"/>
      <c r="AC28" s="27"/>
    </row>
    <row r="29">
      <c r="A29" s="38"/>
      <c r="B29" s="32"/>
      <c r="C29" s="14">
        <f>I29/E120</f>
        <v>0.001657907555</v>
      </c>
      <c r="D29" s="42" t="s">
        <v>290</v>
      </c>
      <c r="E29" s="42" t="s">
        <v>291</v>
      </c>
      <c r="F29" s="44">
        <v>7.8</v>
      </c>
      <c r="G29" s="18">
        <v>800.0</v>
      </c>
      <c r="H29" s="19">
        <f t="shared" si="1"/>
        <v>195080</v>
      </c>
      <c r="I29" s="20">
        <f t="shared" si="10"/>
        <v>24544</v>
      </c>
      <c r="J29" s="21">
        <v>243.85</v>
      </c>
      <c r="K29" s="22">
        <f>IFERROR(__xludf.DUMMYFUNCTION("GOOGLEFINANCE(E29,""changepct"")"),-4.07)</f>
        <v>-4.07</v>
      </c>
      <c r="L29" s="23">
        <f>IFERROR(__xludf.DUMMYFUNCTION("googlefinance(E29,""price"")"),30.68)</f>
        <v>30.68</v>
      </c>
      <c r="M29" s="24"/>
      <c r="N29" s="24">
        <f t="shared" si="3"/>
        <v>-213.17</v>
      </c>
      <c r="O29" s="25">
        <f t="shared" si="11"/>
        <v>-0.8741849498</v>
      </c>
      <c r="P29" s="19">
        <f t="shared" si="5"/>
        <v>-170536</v>
      </c>
      <c r="Q29" s="47"/>
      <c r="R29" s="20"/>
      <c r="S29" s="37"/>
      <c r="T29" s="27">
        <v>9680.0</v>
      </c>
      <c r="U29" s="29"/>
      <c r="V29" s="16"/>
      <c r="W29" s="30"/>
      <c r="X29" s="31"/>
      <c r="Y29" s="29"/>
      <c r="Z29" s="15" t="s">
        <v>291</v>
      </c>
      <c r="AA29" s="36">
        <v>45156.0</v>
      </c>
      <c r="AB29" s="37">
        <v>243.85</v>
      </c>
      <c r="AC29" s="27">
        <v>195080.0</v>
      </c>
    </row>
    <row r="30">
      <c r="A30" s="38"/>
      <c r="B30" s="32"/>
      <c r="C30" s="14">
        <f>I30/E120</f>
        <v>0.002486861333</v>
      </c>
      <c r="D30" s="42" t="s">
        <v>290</v>
      </c>
      <c r="E30" s="42" t="s">
        <v>291</v>
      </c>
      <c r="F30" s="44">
        <v>7.8</v>
      </c>
      <c r="G30" s="18">
        <v>1200.0</v>
      </c>
      <c r="H30" s="19">
        <f t="shared" si="1"/>
        <v>304500</v>
      </c>
      <c r="I30" s="20">
        <f t="shared" si="10"/>
        <v>36816</v>
      </c>
      <c r="J30" s="21">
        <v>253.75</v>
      </c>
      <c r="K30" s="22">
        <f>IFERROR(__xludf.DUMMYFUNCTION("GOOGLEFINANCE(E30,""changepct"")"),-4.07)</f>
        <v>-4.07</v>
      </c>
      <c r="L30" s="23">
        <f>IFERROR(__xludf.DUMMYFUNCTION("googlefinance(E30,""price"")"),30.68)</f>
        <v>30.68</v>
      </c>
      <c r="M30" s="24"/>
      <c r="N30" s="24">
        <f t="shared" si="3"/>
        <v>-223.07</v>
      </c>
      <c r="O30" s="25">
        <f t="shared" si="11"/>
        <v>-0.8790935961</v>
      </c>
      <c r="P30" s="19">
        <f t="shared" si="5"/>
        <v>-267684</v>
      </c>
      <c r="Q30" s="47"/>
      <c r="R30" s="20"/>
      <c r="S30" s="31"/>
      <c r="T30" s="29"/>
      <c r="U30" s="29"/>
      <c r="V30" s="16"/>
      <c r="W30" s="30"/>
      <c r="X30" s="31"/>
      <c r="Y30" s="29"/>
      <c r="Z30" s="15" t="s">
        <v>291</v>
      </c>
      <c r="AA30" s="36">
        <v>45152.0</v>
      </c>
      <c r="AB30" s="37">
        <v>253.75</v>
      </c>
      <c r="AC30" s="27">
        <v>304500.0</v>
      </c>
    </row>
    <row r="31">
      <c r="A31" s="38"/>
      <c r="B31" s="32"/>
      <c r="C31" s="14">
        <f>I31/E120</f>
        <v>0.05808080313</v>
      </c>
      <c r="D31" s="42" t="s">
        <v>335</v>
      </c>
      <c r="E31" s="42" t="s">
        <v>336</v>
      </c>
      <c r="F31" s="44">
        <v>7.8</v>
      </c>
      <c r="G31" s="18">
        <v>8000.0</v>
      </c>
      <c r="H31" s="19">
        <f t="shared" si="1"/>
        <v>283920</v>
      </c>
      <c r="I31" s="20">
        <f t="shared" si="10"/>
        <v>859840</v>
      </c>
      <c r="J31" s="21">
        <v>35.49</v>
      </c>
      <c r="K31" s="22">
        <f>IFERROR(__xludf.DUMMYFUNCTION("GOOGLEFINANCE(E31,""changepct"")"),-1.14)</f>
        <v>-1.14</v>
      </c>
      <c r="L31" s="23">
        <f>IFERROR(__xludf.DUMMYFUNCTION("googlefinance(E31,""price"")"),107.48)</f>
        <v>107.48</v>
      </c>
      <c r="M31" s="21"/>
      <c r="N31" s="24">
        <f t="shared" si="3"/>
        <v>71.99</v>
      </c>
      <c r="O31" s="25">
        <f t="shared" si="11"/>
        <v>2.028458721</v>
      </c>
      <c r="P31" s="19">
        <f t="shared" si="5"/>
        <v>575920</v>
      </c>
      <c r="Q31" s="47"/>
      <c r="R31" s="20"/>
      <c r="S31" s="31"/>
      <c r="T31" s="29"/>
      <c r="U31" s="29"/>
      <c r="V31" s="15"/>
      <c r="W31" s="36"/>
      <c r="X31" s="37"/>
      <c r="Y31" s="27"/>
      <c r="Z31" s="15" t="s">
        <v>336</v>
      </c>
      <c r="AA31" s="36">
        <v>45190.0</v>
      </c>
      <c r="AB31" s="37">
        <v>35.49</v>
      </c>
      <c r="AC31" s="27">
        <v>283920.0</v>
      </c>
    </row>
    <row r="32">
      <c r="A32" s="38"/>
      <c r="B32" s="32"/>
      <c r="C32" s="14">
        <f>I32/E120</f>
        <v>0</v>
      </c>
      <c r="D32" s="42" t="s">
        <v>335</v>
      </c>
      <c r="E32" s="42" t="s">
        <v>336</v>
      </c>
      <c r="F32" s="44">
        <v>7.8</v>
      </c>
      <c r="G32" s="18">
        <v>5000.0</v>
      </c>
      <c r="H32" s="19">
        <f t="shared" si="1"/>
        <v>198950</v>
      </c>
      <c r="I32" s="20">
        <v>0.0</v>
      </c>
      <c r="J32" s="21">
        <v>39.79</v>
      </c>
      <c r="K32" s="22">
        <f>IFERROR(__xludf.DUMMYFUNCTION("GOOGLEFINANCE(E32,""changepct"")"),-1.14)</f>
        <v>-1.14</v>
      </c>
      <c r="L32" s="23">
        <f>IFERROR(__xludf.DUMMYFUNCTION("googlefinance(E32,""price"")"),107.48)</f>
        <v>107.48</v>
      </c>
      <c r="M32" s="21">
        <v>36.38</v>
      </c>
      <c r="N32" s="24">
        <f t="shared" si="3"/>
        <v>67.69</v>
      </c>
      <c r="O32" s="25">
        <f>M32/J32-1</f>
        <v>-0.0856999246</v>
      </c>
      <c r="P32" s="19">
        <f t="shared" si="5"/>
        <v>-17050</v>
      </c>
      <c r="Q32" s="47"/>
      <c r="R32" s="20"/>
      <c r="S32" s="31"/>
      <c r="T32" s="29"/>
      <c r="U32" s="29"/>
      <c r="V32" s="15" t="s">
        <v>336</v>
      </c>
      <c r="W32" s="36">
        <v>45190.0</v>
      </c>
      <c r="X32" s="37">
        <v>36.38</v>
      </c>
      <c r="Y32" s="27">
        <v>181900.0</v>
      </c>
      <c r="Z32" s="15" t="s">
        <v>336</v>
      </c>
      <c r="AA32" s="36">
        <v>45155.0</v>
      </c>
      <c r="AB32" s="37">
        <v>39.79</v>
      </c>
      <c r="AC32" s="27">
        <v>198950.0</v>
      </c>
    </row>
    <row r="33">
      <c r="A33" s="38"/>
      <c r="B33" s="32"/>
      <c r="C33" s="14">
        <f>I33/E120</f>
        <v>0.007099335236</v>
      </c>
      <c r="D33" s="42" t="s">
        <v>442</v>
      </c>
      <c r="E33" s="42" t="s">
        <v>443</v>
      </c>
      <c r="F33" s="44">
        <v>7.7</v>
      </c>
      <c r="G33" s="18">
        <v>10000.0</v>
      </c>
      <c r="H33" s="19">
        <f t="shared" si="1"/>
        <v>108900</v>
      </c>
      <c r="I33" s="20">
        <f t="shared" ref="I33:I35" si="12">H33+P33</f>
        <v>105100</v>
      </c>
      <c r="J33" s="21">
        <v>10.89</v>
      </c>
      <c r="K33" s="22">
        <f>IFERROR(__xludf.DUMMYFUNCTION("GOOGLEFINANCE(E33,""changepct"")"),-0.94)</f>
        <v>-0.94</v>
      </c>
      <c r="L33" s="23">
        <f>IFERROR(__xludf.DUMMYFUNCTION("googlefinance(E33,""price"")"),10.51)</f>
        <v>10.51</v>
      </c>
      <c r="M33" s="21"/>
      <c r="N33" s="24">
        <f t="shared" si="3"/>
        <v>-0.38</v>
      </c>
      <c r="O33" s="25">
        <f t="shared" ref="O33:O35" si="13">L33/J33-1</f>
        <v>-0.03489439853</v>
      </c>
      <c r="P33" s="19">
        <f t="shared" si="5"/>
        <v>-3800</v>
      </c>
      <c r="Q33" s="47"/>
      <c r="R33" s="20"/>
      <c r="S33" s="31"/>
      <c r="T33" s="29"/>
      <c r="U33" s="29"/>
      <c r="V33" s="15"/>
      <c r="W33" s="36"/>
      <c r="X33" s="37"/>
      <c r="Y33" s="27"/>
      <c r="Z33" s="15" t="s">
        <v>443</v>
      </c>
      <c r="AA33" s="36">
        <v>45194.0</v>
      </c>
      <c r="AB33" s="37">
        <v>10.89</v>
      </c>
      <c r="AC33" s="27">
        <v>108900.0</v>
      </c>
    </row>
    <row r="34">
      <c r="A34" s="38"/>
      <c r="B34" s="32"/>
      <c r="C34" s="14">
        <f>I34/E120</f>
        <v>0.002786168225</v>
      </c>
      <c r="D34" s="42" t="s">
        <v>52</v>
      </c>
      <c r="E34" s="42" t="s">
        <v>53</v>
      </c>
      <c r="F34" s="44">
        <v>8.0</v>
      </c>
      <c r="G34" s="18">
        <v>300.0</v>
      </c>
      <c r="H34" s="19">
        <f t="shared" si="1"/>
        <v>125475</v>
      </c>
      <c r="I34" s="20">
        <f t="shared" si="12"/>
        <v>41247</v>
      </c>
      <c r="J34" s="21">
        <v>418.25</v>
      </c>
      <c r="K34" s="22">
        <f>IFERROR(__xludf.DUMMYFUNCTION("GOOGLEFINANCE(E34,""changepct"")"),0.35)</f>
        <v>0.35</v>
      </c>
      <c r="L34" s="23">
        <f>IFERROR(__xludf.DUMMYFUNCTION("googlefinance(E34,""price"")"),137.49)</f>
        <v>137.49</v>
      </c>
      <c r="M34" s="21"/>
      <c r="N34" s="24">
        <f t="shared" si="3"/>
        <v>-280.76</v>
      </c>
      <c r="O34" s="25">
        <f t="shared" si="13"/>
        <v>-0.671273162</v>
      </c>
      <c r="P34" s="19">
        <f t="shared" si="5"/>
        <v>-84228</v>
      </c>
      <c r="Q34" s="47"/>
      <c r="R34" s="20"/>
      <c r="S34" s="31"/>
      <c r="T34" s="29"/>
      <c r="U34" s="29"/>
      <c r="V34" s="15"/>
      <c r="W34" s="36"/>
      <c r="X34" s="37"/>
      <c r="Y34" s="27"/>
      <c r="Z34" s="15" t="s">
        <v>53</v>
      </c>
      <c r="AA34" s="36">
        <v>45194.0</v>
      </c>
      <c r="AB34" s="37">
        <v>418.25</v>
      </c>
      <c r="AC34" s="27">
        <v>125475.0</v>
      </c>
    </row>
    <row r="35">
      <c r="A35" s="38"/>
      <c r="B35" s="32"/>
      <c r="C35" s="14">
        <f>I35/E120</f>
        <v>0.0293484222</v>
      </c>
      <c r="D35" s="42" t="s">
        <v>384</v>
      </c>
      <c r="E35" s="42" t="s">
        <v>385</v>
      </c>
      <c r="F35" s="44">
        <v>7.9</v>
      </c>
      <c r="G35" s="18">
        <v>4000.0</v>
      </c>
      <c r="H35" s="19">
        <f t="shared" si="1"/>
        <v>242960</v>
      </c>
      <c r="I35" s="20">
        <f t="shared" si="12"/>
        <v>434480</v>
      </c>
      <c r="J35" s="21">
        <v>60.74</v>
      </c>
      <c r="K35" s="22">
        <f>IFERROR(__xludf.DUMMYFUNCTION("GOOGLEFINANCE(E35,""changepct"")"),-0.61)</f>
        <v>-0.61</v>
      </c>
      <c r="L35" s="23">
        <f>IFERROR(__xludf.DUMMYFUNCTION("googlefinance(E35,""price"")"),108.62)</f>
        <v>108.62</v>
      </c>
      <c r="M35" s="21"/>
      <c r="N35" s="24">
        <f t="shared" si="3"/>
        <v>47.88</v>
      </c>
      <c r="O35" s="25">
        <f t="shared" si="13"/>
        <v>0.7882779058</v>
      </c>
      <c r="P35" s="19">
        <f t="shared" si="5"/>
        <v>191520</v>
      </c>
      <c r="Q35" s="47"/>
      <c r="R35" s="20"/>
      <c r="S35" s="31"/>
      <c r="T35" s="29"/>
      <c r="U35" s="29"/>
      <c r="V35" s="15"/>
      <c r="W35" s="36"/>
      <c r="X35" s="37"/>
      <c r="Y35" s="27"/>
      <c r="Z35" s="15" t="s">
        <v>385</v>
      </c>
      <c r="AA35" s="36">
        <v>45161.0</v>
      </c>
      <c r="AB35" s="37">
        <v>60.74</v>
      </c>
      <c r="AC35" s="27">
        <v>242960.0</v>
      </c>
    </row>
    <row r="36">
      <c r="A36" s="38"/>
      <c r="B36" s="32"/>
      <c r="C36" s="14">
        <f>I36/E120</f>
        <v>0</v>
      </c>
      <c r="D36" s="42" t="s">
        <v>481</v>
      </c>
      <c r="E36" s="42" t="s">
        <v>482</v>
      </c>
      <c r="F36" s="44">
        <v>7.1</v>
      </c>
      <c r="G36" s="18">
        <v>1700.0</v>
      </c>
      <c r="H36" s="19">
        <f t="shared" si="1"/>
        <v>145860</v>
      </c>
      <c r="I36" s="20">
        <v>0.0</v>
      </c>
      <c r="J36" s="21">
        <v>85.8</v>
      </c>
      <c r="K36" s="22">
        <f>IFERROR(__xludf.DUMMYFUNCTION("GOOGLEFINANCE(E36,""changepct"")"),-0.67)</f>
        <v>-0.67</v>
      </c>
      <c r="L36" s="23">
        <f>IFERROR(__xludf.DUMMYFUNCTION("googlefinance(E36,""price"")"),110.8)</f>
        <v>110.8</v>
      </c>
      <c r="M36" s="21">
        <v>86.05</v>
      </c>
      <c r="N36" s="24">
        <f t="shared" si="3"/>
        <v>25</v>
      </c>
      <c r="O36" s="25">
        <f t="shared" ref="O36:O38" si="14">M36/J36-1</f>
        <v>0.002913752914</v>
      </c>
      <c r="P36" s="19">
        <f t="shared" si="5"/>
        <v>425</v>
      </c>
      <c r="Q36" s="47"/>
      <c r="R36" s="20"/>
      <c r="S36" s="31"/>
      <c r="T36" s="29"/>
      <c r="U36" s="29"/>
      <c r="V36" s="15" t="s">
        <v>482</v>
      </c>
      <c r="W36" s="36">
        <v>45156.0</v>
      </c>
      <c r="X36" s="37">
        <v>86.05</v>
      </c>
      <c r="Y36" s="27">
        <v>146285.0</v>
      </c>
      <c r="Z36" s="15" t="s">
        <v>482</v>
      </c>
      <c r="AA36" s="36">
        <v>45133.0</v>
      </c>
      <c r="AB36" s="37">
        <v>85.8</v>
      </c>
      <c r="AC36" s="27">
        <v>145860.0</v>
      </c>
    </row>
    <row r="37">
      <c r="A37" s="38"/>
      <c r="B37" s="32"/>
      <c r="C37" s="14">
        <f>I37/E120</f>
        <v>0</v>
      </c>
      <c r="D37" s="42" t="s">
        <v>481</v>
      </c>
      <c r="E37" s="42" t="s">
        <v>482</v>
      </c>
      <c r="F37" s="44">
        <v>7.1</v>
      </c>
      <c r="G37" s="18">
        <v>1500.0</v>
      </c>
      <c r="H37" s="19">
        <f t="shared" si="1"/>
        <v>128520</v>
      </c>
      <c r="I37" s="20">
        <v>0.0</v>
      </c>
      <c r="J37" s="21">
        <v>85.68</v>
      </c>
      <c r="K37" s="22">
        <f>IFERROR(__xludf.DUMMYFUNCTION("GOOGLEFINANCE(E37,""changepct"")"),-0.67)</f>
        <v>-0.67</v>
      </c>
      <c r="L37" s="23">
        <f>IFERROR(__xludf.DUMMYFUNCTION("googlefinance(E37,""price"")"),110.8)</f>
        <v>110.8</v>
      </c>
      <c r="M37" s="21">
        <v>87.54</v>
      </c>
      <c r="N37" s="24">
        <f t="shared" si="3"/>
        <v>25.12</v>
      </c>
      <c r="O37" s="25">
        <f t="shared" si="14"/>
        <v>0.02170868347</v>
      </c>
      <c r="P37" s="19">
        <f t="shared" si="5"/>
        <v>2790</v>
      </c>
      <c r="Q37" s="47"/>
      <c r="R37" s="20"/>
      <c r="S37" s="31"/>
      <c r="T37" s="29"/>
      <c r="U37" s="29"/>
      <c r="V37" s="15" t="s">
        <v>482</v>
      </c>
      <c r="W37" s="36">
        <v>45140.0</v>
      </c>
      <c r="X37" s="37">
        <v>87.54</v>
      </c>
      <c r="Y37" s="27">
        <v>131310.0</v>
      </c>
      <c r="Z37" s="15" t="s">
        <v>482</v>
      </c>
      <c r="AA37" s="36">
        <v>45133.0</v>
      </c>
      <c r="AB37" s="37">
        <v>85.68</v>
      </c>
      <c r="AC37" s="27">
        <v>128520.0</v>
      </c>
    </row>
    <row r="38">
      <c r="A38" s="38"/>
      <c r="B38" s="32"/>
      <c r="C38" s="14">
        <f>I38/E120</f>
        <v>0</v>
      </c>
      <c r="D38" s="45" t="s">
        <v>483</v>
      </c>
      <c r="E38" s="45" t="s">
        <v>484</v>
      </c>
      <c r="F38" s="44">
        <v>6.9</v>
      </c>
      <c r="G38" s="18">
        <v>10000.0</v>
      </c>
      <c r="H38" s="19">
        <f t="shared" si="1"/>
        <v>159500</v>
      </c>
      <c r="I38" s="20">
        <v>0.0</v>
      </c>
      <c r="J38" s="21">
        <v>15.95</v>
      </c>
      <c r="K38" s="22">
        <f>IFERROR(__xludf.DUMMYFUNCTION("GOOGLEFINANCE(E38,""changepct"")"),-1.09)</f>
        <v>-1.09</v>
      </c>
      <c r="L38" s="23">
        <f>IFERROR(__xludf.DUMMYFUNCTION("googlefinance(E38,""price"")"),22.61)</f>
        <v>22.61</v>
      </c>
      <c r="M38" s="21">
        <v>14.83</v>
      </c>
      <c r="N38" s="24">
        <f t="shared" si="3"/>
        <v>6.66</v>
      </c>
      <c r="O38" s="25">
        <f t="shared" si="14"/>
        <v>-0.07021943574</v>
      </c>
      <c r="P38" s="19">
        <f t="shared" si="5"/>
        <v>-11200</v>
      </c>
      <c r="Q38" s="47">
        <v>0.07</v>
      </c>
      <c r="R38" s="20"/>
      <c r="S38" s="31"/>
      <c r="T38" s="29"/>
      <c r="U38" s="29"/>
      <c r="V38" s="15" t="s">
        <v>485</v>
      </c>
      <c r="W38" s="36">
        <v>45133.0</v>
      </c>
      <c r="X38" s="37">
        <v>14.83</v>
      </c>
      <c r="Y38" s="27">
        <v>148300.0</v>
      </c>
      <c r="Z38" s="16"/>
      <c r="AA38" s="30"/>
      <c r="AB38" s="31"/>
      <c r="AC38" s="29"/>
    </row>
    <row r="39">
      <c r="A39" s="48"/>
      <c r="B39" s="6"/>
      <c r="C39" s="6" t="s">
        <v>89</v>
      </c>
      <c r="D39" s="6"/>
      <c r="E39" s="6"/>
      <c r="F39" s="6"/>
      <c r="G39" s="11"/>
      <c r="H39" s="49">
        <f t="shared" ref="H39:I39" si="15">SUM(H3:H38)</f>
        <v>8891122</v>
      </c>
      <c r="I39" s="50">
        <f t="shared" si="15"/>
        <v>15989967</v>
      </c>
      <c r="J39" s="8"/>
      <c r="K39" s="8"/>
      <c r="L39" s="8"/>
      <c r="M39" s="10"/>
      <c r="N39" s="10"/>
      <c r="O39" s="51">
        <f>(P39+T39+U39+R39)/I39</f>
        <v>-0.01105880956</v>
      </c>
      <c r="P39" s="263">
        <v>-309880.0</v>
      </c>
      <c r="Q39" s="52"/>
      <c r="R39" s="49">
        <f>SUM(R3:R38)</f>
        <v>1600</v>
      </c>
      <c r="S39" s="10"/>
      <c r="T39" s="11">
        <f t="shared" ref="T39:U39" si="16">SUM(T3:T38)</f>
        <v>131950</v>
      </c>
      <c r="U39" s="11">
        <f t="shared" si="16"/>
        <v>-500</v>
      </c>
      <c r="V39" s="6" t="s">
        <v>89</v>
      </c>
      <c r="W39" s="53"/>
      <c r="X39" s="54"/>
      <c r="Y39" s="49">
        <f>SUM(Y3:Y38)</f>
        <v>1027505</v>
      </c>
      <c r="Z39" s="6" t="s">
        <v>89</v>
      </c>
      <c r="AA39" s="53"/>
      <c r="AB39" s="54"/>
      <c r="AC39" s="49">
        <f>SUM(AC3:AC38)</f>
        <v>3795068</v>
      </c>
    </row>
    <row r="40">
      <c r="A40" s="55"/>
      <c r="B40" s="6" t="s">
        <v>342</v>
      </c>
      <c r="C40" s="6" t="s">
        <v>2</v>
      </c>
      <c r="D40" s="5" t="s">
        <v>3</v>
      </c>
      <c r="E40" s="6" t="s">
        <v>4</v>
      </c>
      <c r="F40" s="6" t="s">
        <v>5</v>
      </c>
      <c r="G40" s="280" t="s">
        <v>6</v>
      </c>
      <c r="H40" s="6" t="s">
        <v>7</v>
      </c>
      <c r="I40" s="7" t="s">
        <v>8</v>
      </c>
      <c r="J40" s="7" t="s">
        <v>9</v>
      </c>
      <c r="K40" s="8" t="s">
        <v>10</v>
      </c>
      <c r="L40" s="320" t="s">
        <v>475</v>
      </c>
      <c r="M40" s="9" t="s">
        <v>476</v>
      </c>
      <c r="N40" s="10" t="s">
        <v>13</v>
      </c>
      <c r="O40" s="6" t="s">
        <v>14</v>
      </c>
      <c r="P40" s="10" t="s">
        <v>15</v>
      </c>
      <c r="Q40" s="71" t="s">
        <v>16</v>
      </c>
      <c r="R40" s="11" t="s">
        <v>17</v>
      </c>
      <c r="S40" s="9" t="s">
        <v>477</v>
      </c>
      <c r="T40" s="5" t="s">
        <v>19</v>
      </c>
      <c r="U40" s="5" t="s">
        <v>91</v>
      </c>
      <c r="V40" s="6" t="s">
        <v>21</v>
      </c>
      <c r="W40" s="281" t="s">
        <v>22</v>
      </c>
      <c r="X40" s="12" t="s">
        <v>23</v>
      </c>
      <c r="Y40" s="12" t="s">
        <v>24</v>
      </c>
      <c r="Z40" s="6" t="s">
        <v>25</v>
      </c>
      <c r="AA40" s="6" t="s">
        <v>26</v>
      </c>
      <c r="AB40" s="12" t="s">
        <v>27</v>
      </c>
      <c r="AC40" s="11" t="s">
        <v>28</v>
      </c>
    </row>
    <row r="41">
      <c r="A41" s="56" t="s">
        <v>29</v>
      </c>
      <c r="B41" s="57">
        <f>I51/E120</f>
        <v>0.06369137197</v>
      </c>
      <c r="C41" s="14">
        <f>I41/E120</f>
        <v>0.01136569122</v>
      </c>
      <c r="D41" s="15" t="s">
        <v>445</v>
      </c>
      <c r="E41" s="16" t="s">
        <v>347</v>
      </c>
      <c r="F41" s="17">
        <v>7.6</v>
      </c>
      <c r="G41" s="18">
        <v>2000.0</v>
      </c>
      <c r="H41" s="19">
        <f t="shared" ref="H41:H50" si="17">G41*J41</f>
        <v>166700</v>
      </c>
      <c r="I41" s="19">
        <f>H41+P41</f>
        <v>168260</v>
      </c>
      <c r="J41" s="21">
        <v>83.35</v>
      </c>
      <c r="K41" s="22">
        <f>IFERROR(__xludf.DUMMYFUNCTION("GOOGLEFINANCE(E41,""changepct"")"),-1.09)</f>
        <v>-1.09</v>
      </c>
      <c r="L41" s="23">
        <f>IFERROR(__xludf.DUMMYFUNCTION("googlefinance(E41,""price"")"),84.13)</f>
        <v>84.13</v>
      </c>
      <c r="M41" s="24"/>
      <c r="N41" s="24">
        <f t="shared" ref="N41:N50" si="18">L41-J41</f>
        <v>0.78</v>
      </c>
      <c r="O41" s="25">
        <f>L41/J41-1</f>
        <v>0.009358128374</v>
      </c>
      <c r="P41" s="19">
        <f t="shared" ref="P41:P50" si="19">H41*O41</f>
        <v>1560</v>
      </c>
      <c r="Q41" s="34"/>
      <c r="R41" s="29"/>
      <c r="S41" s="35" t="s">
        <v>486</v>
      </c>
      <c r="T41" s="27">
        <v>10400.0</v>
      </c>
      <c r="U41" s="15"/>
      <c r="V41" s="15"/>
      <c r="W41" s="36"/>
      <c r="X41" s="37"/>
      <c r="Y41" s="27"/>
      <c r="Z41" s="16"/>
      <c r="AA41" s="32"/>
      <c r="AB41" s="31"/>
      <c r="AC41" s="29"/>
    </row>
    <row r="42">
      <c r="A42" s="38"/>
      <c r="B42" s="32"/>
      <c r="C42" s="14">
        <f>I42/E120</f>
        <v>0</v>
      </c>
      <c r="D42" s="15" t="s">
        <v>445</v>
      </c>
      <c r="E42" s="16" t="s">
        <v>347</v>
      </c>
      <c r="F42" s="17">
        <v>7.6</v>
      </c>
      <c r="G42" s="18">
        <v>1500.0</v>
      </c>
      <c r="H42" s="19">
        <f t="shared" si="17"/>
        <v>125025</v>
      </c>
      <c r="I42" s="20">
        <v>0.0</v>
      </c>
      <c r="J42" s="21">
        <v>83.35</v>
      </c>
      <c r="K42" s="22">
        <f>IFERROR(__xludf.DUMMYFUNCTION("GOOGLEFINANCE(E42,""changepct"")"),-1.09)</f>
        <v>-1.09</v>
      </c>
      <c r="L42" s="23">
        <f>IFERROR(__xludf.DUMMYFUNCTION("googlefinance(E42,""price"")"),84.13)</f>
        <v>84.13</v>
      </c>
      <c r="M42" s="21">
        <v>84.55</v>
      </c>
      <c r="N42" s="24">
        <f t="shared" si="18"/>
        <v>0.78</v>
      </c>
      <c r="O42" s="25">
        <f t="shared" ref="O42:O43" si="20">M42/J42-1</f>
        <v>0.01439712058</v>
      </c>
      <c r="P42" s="19">
        <f t="shared" si="19"/>
        <v>1800</v>
      </c>
      <c r="Q42" s="34"/>
      <c r="R42" s="29"/>
      <c r="S42" s="61"/>
      <c r="T42" s="27"/>
      <c r="U42" s="15"/>
      <c r="V42" s="15" t="s">
        <v>347</v>
      </c>
      <c r="W42" s="36">
        <v>45190.0</v>
      </c>
      <c r="X42" s="37">
        <v>84.55</v>
      </c>
      <c r="Y42" s="27">
        <v>126825.0</v>
      </c>
      <c r="Z42" s="15"/>
      <c r="AA42" s="36"/>
      <c r="AB42" s="37"/>
      <c r="AC42" s="27"/>
    </row>
    <row r="43">
      <c r="A43" s="38"/>
      <c r="B43" s="32"/>
      <c r="C43" s="14">
        <f>I43/E120</f>
        <v>0</v>
      </c>
      <c r="D43" s="15" t="s">
        <v>445</v>
      </c>
      <c r="E43" s="16" t="s">
        <v>347</v>
      </c>
      <c r="F43" s="17">
        <v>7.6</v>
      </c>
      <c r="G43" s="18">
        <v>1500.0</v>
      </c>
      <c r="H43" s="19">
        <f t="shared" si="17"/>
        <v>125025</v>
      </c>
      <c r="I43" s="20">
        <v>0.0</v>
      </c>
      <c r="J43" s="21">
        <v>83.35</v>
      </c>
      <c r="K43" s="22">
        <f>IFERROR(__xludf.DUMMYFUNCTION("GOOGLEFINANCE(E43,""changepct"")"),-1.09)</f>
        <v>-1.09</v>
      </c>
      <c r="L43" s="23">
        <f>IFERROR(__xludf.DUMMYFUNCTION("googlefinance(E43,""price"")"),84.13)</f>
        <v>84.13</v>
      </c>
      <c r="M43" s="21">
        <v>89.86</v>
      </c>
      <c r="N43" s="24">
        <f t="shared" si="18"/>
        <v>0.78</v>
      </c>
      <c r="O43" s="25">
        <f t="shared" si="20"/>
        <v>0.07810437912</v>
      </c>
      <c r="P43" s="19">
        <f t="shared" si="19"/>
        <v>9765</v>
      </c>
      <c r="Q43" s="34"/>
      <c r="R43" s="29"/>
      <c r="S43" s="61"/>
      <c r="T43" s="27"/>
      <c r="U43" s="15"/>
      <c r="V43" s="15" t="s">
        <v>347</v>
      </c>
      <c r="W43" s="36">
        <v>45163.0</v>
      </c>
      <c r="X43" s="37">
        <v>89.86</v>
      </c>
      <c r="Y43" s="27">
        <v>134790.0</v>
      </c>
      <c r="Z43" s="15"/>
      <c r="AA43" s="36"/>
      <c r="AB43" s="37"/>
      <c r="AC43" s="27"/>
    </row>
    <row r="44">
      <c r="A44" s="38"/>
      <c r="B44" s="32"/>
      <c r="C44" s="14">
        <f>I44/E120</f>
        <v>0.02838720869</v>
      </c>
      <c r="D44" s="15" t="s">
        <v>287</v>
      </c>
      <c r="E44" s="15" t="s">
        <v>33</v>
      </c>
      <c r="F44" s="17">
        <v>8.0</v>
      </c>
      <c r="G44" s="18">
        <v>5000.0</v>
      </c>
      <c r="H44" s="19">
        <f t="shared" si="17"/>
        <v>684550</v>
      </c>
      <c r="I44" s="19">
        <f>H44+P44</f>
        <v>420250</v>
      </c>
      <c r="J44" s="21">
        <v>136.91</v>
      </c>
      <c r="K44" s="22">
        <f>IFERROR(__xludf.DUMMYFUNCTION("GOOGLEFINANCE(E44,""changepct"")"),-2.94)</f>
        <v>-2.94</v>
      </c>
      <c r="L44" s="23">
        <f>IFERROR(__xludf.DUMMYFUNCTION("googlefinance(E44,""price"")"),84.05)</f>
        <v>84.05</v>
      </c>
      <c r="M44" s="24"/>
      <c r="N44" s="24">
        <f t="shared" si="18"/>
        <v>-52.86</v>
      </c>
      <c r="O44" s="25">
        <f>L44/J44-1</f>
        <v>-0.3860930538</v>
      </c>
      <c r="P44" s="19">
        <f t="shared" si="19"/>
        <v>-264300</v>
      </c>
      <c r="Q44" s="34"/>
      <c r="R44" s="29"/>
      <c r="S44" s="61"/>
      <c r="T44" s="27"/>
      <c r="U44" s="15"/>
      <c r="V44" s="15"/>
      <c r="W44" s="36"/>
      <c r="X44" s="37"/>
      <c r="Y44" s="27"/>
      <c r="Z44" s="15"/>
      <c r="AA44" s="36"/>
      <c r="AB44" s="37"/>
      <c r="AC44" s="27"/>
    </row>
    <row r="45">
      <c r="A45" s="38"/>
      <c r="B45" s="32"/>
      <c r="C45" s="14">
        <f>I45/E120</f>
        <v>0</v>
      </c>
      <c r="D45" s="42" t="s">
        <v>487</v>
      </c>
      <c r="E45" s="42" t="s">
        <v>302</v>
      </c>
      <c r="F45" s="44">
        <v>7.5</v>
      </c>
      <c r="G45" s="18">
        <v>5000.0</v>
      </c>
      <c r="H45" s="19">
        <f t="shared" si="17"/>
        <v>170650</v>
      </c>
      <c r="I45" s="20">
        <v>0.0</v>
      </c>
      <c r="J45" s="21">
        <v>34.13</v>
      </c>
      <c r="K45" s="22">
        <f>IFERROR(__xludf.DUMMYFUNCTION("GOOGLEFINANCE(E45,""changepct"")"),-2.06)</f>
        <v>-2.06</v>
      </c>
      <c r="L45" s="23">
        <f>IFERROR(__xludf.DUMMYFUNCTION("googlefinance(E45,""price"")"),34.26)</f>
        <v>34.26</v>
      </c>
      <c r="M45" s="21">
        <v>33.08</v>
      </c>
      <c r="N45" s="24">
        <f t="shared" si="18"/>
        <v>0.13</v>
      </c>
      <c r="O45" s="25">
        <f>M45/J45-1</f>
        <v>-0.03076472312</v>
      </c>
      <c r="P45" s="19">
        <f t="shared" si="19"/>
        <v>-5250</v>
      </c>
      <c r="Q45" s="34"/>
      <c r="R45" s="29"/>
      <c r="S45" s="35"/>
      <c r="T45" s="27"/>
      <c r="U45" s="15"/>
      <c r="V45" s="15" t="s">
        <v>302</v>
      </c>
      <c r="W45" s="36">
        <v>45156.0</v>
      </c>
      <c r="X45" s="37">
        <v>33.08</v>
      </c>
      <c r="Y45" s="27">
        <v>165400.0</v>
      </c>
      <c r="Z45" s="15"/>
      <c r="AA45" s="41"/>
      <c r="AB45" s="21"/>
      <c r="AC45" s="20"/>
    </row>
    <row r="46">
      <c r="A46" s="38"/>
      <c r="B46" s="32"/>
      <c r="C46" s="14">
        <f>I46/E120</f>
        <v>0.01912767611</v>
      </c>
      <c r="D46" s="45" t="s">
        <v>343</v>
      </c>
      <c r="E46" s="45" t="s">
        <v>301</v>
      </c>
      <c r="F46" s="44">
        <v>8.0</v>
      </c>
      <c r="G46" s="18">
        <v>3000.0</v>
      </c>
      <c r="H46" s="19">
        <f t="shared" si="17"/>
        <v>207420</v>
      </c>
      <c r="I46" s="19">
        <f>H46+P46</f>
        <v>283170</v>
      </c>
      <c r="J46" s="21">
        <v>69.14</v>
      </c>
      <c r="K46" s="22">
        <f>IFERROR(__xludf.DUMMYFUNCTION("GOOGLEFINANCE(E46,""changepct"")"),-3.14)</f>
        <v>-3.14</v>
      </c>
      <c r="L46" s="23">
        <f>IFERROR(__xludf.DUMMYFUNCTION("googlefinance(E46,""price"")"),94.39)</f>
        <v>94.39</v>
      </c>
      <c r="M46" s="24"/>
      <c r="N46" s="24">
        <f t="shared" si="18"/>
        <v>25.25</v>
      </c>
      <c r="O46" s="25">
        <f>L46/J46-1</f>
        <v>0.3652010414</v>
      </c>
      <c r="P46" s="19">
        <f t="shared" si="19"/>
        <v>75750</v>
      </c>
      <c r="Q46" s="34"/>
      <c r="R46" s="29"/>
      <c r="S46" s="35" t="s">
        <v>488</v>
      </c>
      <c r="T46" s="27">
        <v>15375.0</v>
      </c>
      <c r="U46" s="15"/>
      <c r="V46" s="15"/>
      <c r="W46" s="36"/>
      <c r="X46" s="37"/>
      <c r="Y46" s="27"/>
      <c r="Z46" s="15"/>
      <c r="AA46" s="41"/>
      <c r="AB46" s="21"/>
      <c r="AC46" s="20"/>
    </row>
    <row r="47">
      <c r="A47" s="38"/>
      <c r="B47" s="32"/>
      <c r="C47" s="47">
        <f>I47/E120</f>
        <v>0</v>
      </c>
      <c r="D47" s="42" t="s">
        <v>446</v>
      </c>
      <c r="E47" s="42" t="s">
        <v>447</v>
      </c>
      <c r="F47" s="44">
        <v>6.9</v>
      </c>
      <c r="G47" s="18">
        <v>6000.0</v>
      </c>
      <c r="H47" s="19">
        <f t="shared" si="17"/>
        <v>80520</v>
      </c>
      <c r="I47" s="20">
        <v>0.0</v>
      </c>
      <c r="J47" s="21">
        <v>13.42</v>
      </c>
      <c r="K47" s="22">
        <f>IFERROR(__xludf.DUMMYFUNCTION("GOOGLEFINANCE(E47,""changepct"")"),-6.02)</f>
        <v>-6.02</v>
      </c>
      <c r="L47" s="23">
        <f>IFERROR(__xludf.DUMMYFUNCTION("googlefinance(E47,""price"")"),11.87)</f>
        <v>11.87</v>
      </c>
      <c r="M47" s="21">
        <v>20.16</v>
      </c>
      <c r="N47" s="24">
        <f t="shared" si="18"/>
        <v>-1.55</v>
      </c>
      <c r="O47" s="25">
        <f>M47/J47-1</f>
        <v>0.5022354694</v>
      </c>
      <c r="P47" s="19">
        <f t="shared" si="19"/>
        <v>40440</v>
      </c>
      <c r="Q47" s="34"/>
      <c r="R47" s="29"/>
      <c r="S47" s="322"/>
      <c r="T47" s="27"/>
      <c r="U47" s="15"/>
      <c r="V47" s="15" t="s">
        <v>447</v>
      </c>
      <c r="W47" s="36">
        <v>45133.0</v>
      </c>
      <c r="X47" s="37">
        <v>20.16</v>
      </c>
      <c r="Y47" s="27">
        <v>120960.0</v>
      </c>
      <c r="Z47" s="15"/>
      <c r="AA47" s="41"/>
      <c r="AB47" s="21"/>
      <c r="AC47" s="20"/>
    </row>
    <row r="48">
      <c r="A48" s="38"/>
      <c r="B48" s="32"/>
      <c r="C48" s="14">
        <f>I48/E120</f>
        <v>0.004810795961</v>
      </c>
      <c r="D48" s="42" t="s">
        <v>446</v>
      </c>
      <c r="E48" s="42" t="s">
        <v>447</v>
      </c>
      <c r="F48" s="44">
        <v>6.9</v>
      </c>
      <c r="G48" s="18">
        <v>6000.0</v>
      </c>
      <c r="H48" s="19">
        <f t="shared" si="17"/>
        <v>80520</v>
      </c>
      <c r="I48" s="19">
        <f>H48+P48</f>
        <v>71220</v>
      </c>
      <c r="J48" s="21">
        <v>13.42</v>
      </c>
      <c r="K48" s="22">
        <f>IFERROR(__xludf.DUMMYFUNCTION("GOOGLEFINANCE(E48,""changepct"")"),-6.02)</f>
        <v>-6.02</v>
      </c>
      <c r="L48" s="23">
        <f>IFERROR(__xludf.DUMMYFUNCTION("googlefinance(E48,""price"")"),11.87)</f>
        <v>11.87</v>
      </c>
      <c r="M48" s="21"/>
      <c r="N48" s="24">
        <f t="shared" si="18"/>
        <v>-1.55</v>
      </c>
      <c r="O48" s="25">
        <f>L48/J48-1</f>
        <v>-0.1154992548</v>
      </c>
      <c r="P48" s="19">
        <f t="shared" si="19"/>
        <v>-9300</v>
      </c>
      <c r="Q48" s="34"/>
      <c r="R48" s="29"/>
      <c r="S48" s="35" t="s">
        <v>489</v>
      </c>
      <c r="T48" s="27">
        <v>16800.0</v>
      </c>
      <c r="U48" s="15"/>
      <c r="V48" s="15"/>
      <c r="W48" s="36"/>
      <c r="X48" s="37"/>
      <c r="Y48" s="27"/>
      <c r="Z48" s="15"/>
      <c r="AA48" s="41"/>
      <c r="AB48" s="21"/>
      <c r="AC48" s="20"/>
    </row>
    <row r="49">
      <c r="A49" s="38"/>
      <c r="B49" s="32"/>
      <c r="C49" s="14">
        <f>I49/E120</f>
        <v>0</v>
      </c>
      <c r="D49" s="45" t="s">
        <v>490</v>
      </c>
      <c r="E49" s="45" t="s">
        <v>349</v>
      </c>
      <c r="F49" s="44">
        <v>6.5</v>
      </c>
      <c r="G49" s="18">
        <v>10000.0</v>
      </c>
      <c r="H49" s="19">
        <f t="shared" si="17"/>
        <v>96900</v>
      </c>
      <c r="I49" s="20">
        <v>0.0</v>
      </c>
      <c r="J49" s="21">
        <v>9.69</v>
      </c>
      <c r="K49" s="22">
        <f>IFERROR(__xludf.DUMMYFUNCTION("GOOGLEFINANCE(E49,""changepct"")"),-2.23)</f>
        <v>-2.23</v>
      </c>
      <c r="L49" s="23">
        <f>IFERROR(__xludf.DUMMYFUNCTION("googlefinance(E49,""price"")"),4.38)</f>
        <v>4.38</v>
      </c>
      <c r="M49" s="21">
        <v>10.79</v>
      </c>
      <c r="N49" s="24">
        <f t="shared" si="18"/>
        <v>-5.31</v>
      </c>
      <c r="O49" s="25">
        <f t="shared" ref="O49:O50" si="21">M49/J49-1</f>
        <v>0.1135190918</v>
      </c>
      <c r="P49" s="19">
        <f t="shared" si="19"/>
        <v>11000</v>
      </c>
      <c r="Q49" s="34"/>
      <c r="R49" s="29"/>
      <c r="S49" s="35"/>
      <c r="T49" s="27"/>
      <c r="U49" s="16"/>
      <c r="V49" s="15" t="s">
        <v>349</v>
      </c>
      <c r="W49" s="36">
        <v>45162.0</v>
      </c>
      <c r="X49" s="37">
        <v>10.79</v>
      </c>
      <c r="Y49" s="27">
        <v>107900.0</v>
      </c>
      <c r="Z49" s="15"/>
      <c r="AA49" s="41"/>
      <c r="AB49" s="21"/>
      <c r="AC49" s="20"/>
    </row>
    <row r="50">
      <c r="A50" s="38"/>
      <c r="B50" s="32"/>
      <c r="C50" s="14">
        <f>I50/E120</f>
        <v>0</v>
      </c>
      <c r="D50" s="45" t="s">
        <v>490</v>
      </c>
      <c r="E50" s="45" t="s">
        <v>349</v>
      </c>
      <c r="F50" s="44">
        <v>6.5</v>
      </c>
      <c r="G50" s="18">
        <v>10000.0</v>
      </c>
      <c r="H50" s="19">
        <f t="shared" si="17"/>
        <v>96900</v>
      </c>
      <c r="I50" s="20">
        <v>0.0</v>
      </c>
      <c r="J50" s="21">
        <v>9.69</v>
      </c>
      <c r="K50" s="22">
        <f>IFERROR(__xludf.DUMMYFUNCTION("GOOGLEFINANCE(E50,""changepct"")"),-2.23)</f>
        <v>-2.23</v>
      </c>
      <c r="L50" s="23">
        <f>IFERROR(__xludf.DUMMYFUNCTION("googlefinance(E50,""price"")"),4.38)</f>
        <v>4.38</v>
      </c>
      <c r="M50" s="21">
        <v>9.82</v>
      </c>
      <c r="N50" s="24">
        <f t="shared" si="18"/>
        <v>-5.31</v>
      </c>
      <c r="O50" s="25">
        <f t="shared" si="21"/>
        <v>0.01341589267</v>
      </c>
      <c r="P50" s="19">
        <f t="shared" si="19"/>
        <v>1300</v>
      </c>
      <c r="Q50" s="34"/>
      <c r="R50" s="29"/>
      <c r="S50" s="35"/>
      <c r="T50" s="27">
        <v>13400.0</v>
      </c>
      <c r="U50" s="16"/>
      <c r="V50" s="15" t="s">
        <v>349</v>
      </c>
      <c r="W50" s="36">
        <v>45167.0</v>
      </c>
      <c r="X50" s="37">
        <v>9.82</v>
      </c>
      <c r="Y50" s="27">
        <v>98200.0</v>
      </c>
      <c r="Z50" s="15"/>
      <c r="AA50" s="41"/>
      <c r="AB50" s="21"/>
      <c r="AC50" s="20"/>
    </row>
    <row r="51">
      <c r="A51" s="48"/>
      <c r="B51" s="6"/>
      <c r="C51" s="6" t="s">
        <v>89</v>
      </c>
      <c r="D51" s="6"/>
      <c r="E51" s="6"/>
      <c r="F51" s="6"/>
      <c r="G51" s="69"/>
      <c r="H51" s="49">
        <f t="shared" ref="H51:I51" si="22">SUM(H41:H50)</f>
        <v>1834210</v>
      </c>
      <c r="I51" s="50">
        <f t="shared" si="22"/>
        <v>942900</v>
      </c>
      <c r="J51" s="8"/>
      <c r="K51" s="8"/>
      <c r="L51" s="8"/>
      <c r="M51" s="10"/>
      <c r="N51" s="10"/>
      <c r="O51" s="51">
        <f>(P51+T51)/I51</f>
        <v>0.2390921625</v>
      </c>
      <c r="P51" s="263">
        <v>169465.0</v>
      </c>
      <c r="Q51" s="6"/>
      <c r="R51" s="49">
        <v>0.0</v>
      </c>
      <c r="S51" s="10"/>
      <c r="T51" s="11">
        <f>SUM(T41:T50)</f>
        <v>55975</v>
      </c>
      <c r="U51" s="6"/>
      <c r="V51" s="6" t="s">
        <v>89</v>
      </c>
      <c r="W51" s="53"/>
      <c r="X51" s="53"/>
      <c r="Y51" s="49">
        <f>SUM(Y41:Y50)</f>
        <v>754075</v>
      </c>
      <c r="Z51" s="6" t="s">
        <v>89</v>
      </c>
      <c r="AA51" s="53"/>
      <c r="AB51" s="54"/>
      <c r="AC51" s="49">
        <f>SUM(AC41:AC50)</f>
        <v>0</v>
      </c>
    </row>
    <row r="52">
      <c r="A52" s="55"/>
      <c r="B52" s="5" t="s">
        <v>448</v>
      </c>
      <c r="C52" s="6" t="s">
        <v>2</v>
      </c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7" t="s">
        <v>8</v>
      </c>
      <c r="J52" s="7" t="s">
        <v>9</v>
      </c>
      <c r="K52" s="8" t="s">
        <v>10</v>
      </c>
      <c r="L52" s="320" t="s">
        <v>475</v>
      </c>
      <c r="M52" s="9" t="s">
        <v>476</v>
      </c>
      <c r="N52" s="10" t="s">
        <v>13</v>
      </c>
      <c r="O52" s="6" t="s">
        <v>14</v>
      </c>
      <c r="P52" s="10" t="s">
        <v>15</v>
      </c>
      <c r="Q52" s="6" t="s">
        <v>16</v>
      </c>
      <c r="R52" s="6" t="s">
        <v>17</v>
      </c>
      <c r="S52" s="9" t="s">
        <v>477</v>
      </c>
      <c r="T52" s="5" t="s">
        <v>19</v>
      </c>
      <c r="U52" s="5" t="s">
        <v>91</v>
      </c>
      <c r="V52" s="6" t="s">
        <v>21</v>
      </c>
      <c r="W52" s="6" t="s">
        <v>22</v>
      </c>
      <c r="X52" s="12" t="s">
        <v>23</v>
      </c>
      <c r="Y52" s="12" t="s">
        <v>24</v>
      </c>
      <c r="Z52" s="6" t="s">
        <v>25</v>
      </c>
      <c r="AA52" s="6" t="s">
        <v>26</v>
      </c>
      <c r="AB52" s="6" t="s">
        <v>27</v>
      </c>
      <c r="AC52" s="6" t="s">
        <v>28</v>
      </c>
    </row>
    <row r="53">
      <c r="A53" s="56" t="s">
        <v>29</v>
      </c>
      <c r="B53" s="57">
        <f>I64/E120</f>
        <v>0.213768009</v>
      </c>
      <c r="C53" s="14">
        <f>I53/E120</f>
        <v>0.00454195339</v>
      </c>
      <c r="D53" s="16" t="s">
        <v>304</v>
      </c>
      <c r="E53" s="16" t="s">
        <v>305</v>
      </c>
      <c r="F53" s="17">
        <v>7.6</v>
      </c>
      <c r="G53" s="85">
        <v>2000.0</v>
      </c>
      <c r="H53" s="19">
        <f t="shared" ref="H53:H63" si="23">J53*G53</f>
        <v>142840</v>
      </c>
      <c r="I53" s="19">
        <f t="shared" ref="I53:I57" si="24">H53+P53</f>
        <v>67240</v>
      </c>
      <c r="J53" s="21">
        <v>71.42</v>
      </c>
      <c r="K53" s="22">
        <f>IFERROR(__xludf.DUMMYFUNCTION("GOOGLEFINANCE(E53,""changepct"")"),-0.97)</f>
        <v>-0.97</v>
      </c>
      <c r="L53" s="24">
        <f>IFERROR(__xludf.DUMMYFUNCTION("googlefinance(E53,""price"")"),33.62)</f>
        <v>33.62</v>
      </c>
      <c r="M53" s="24"/>
      <c r="N53" s="24">
        <f t="shared" ref="N53:N63" si="25">L53-J53</f>
        <v>-37.8</v>
      </c>
      <c r="O53" s="25">
        <f t="shared" ref="O53:O57" si="26">L53/J53-1</f>
        <v>-0.5292635116</v>
      </c>
      <c r="P53" s="19">
        <f t="shared" ref="P53:P63" si="27">H53*O53</f>
        <v>-75600</v>
      </c>
      <c r="Q53" s="34"/>
      <c r="R53" s="29"/>
      <c r="S53" s="24"/>
      <c r="T53" s="16"/>
      <c r="U53" s="16"/>
      <c r="V53" s="16"/>
      <c r="W53" s="94"/>
      <c r="X53" s="24"/>
      <c r="Y53" s="19"/>
      <c r="Z53" s="16"/>
      <c r="AA53" s="32"/>
      <c r="AB53" s="31"/>
      <c r="AC53" s="29"/>
    </row>
    <row r="54">
      <c r="A54" s="38"/>
      <c r="B54" s="32"/>
      <c r="C54" s="14">
        <f>I54/E120</f>
        <v>0.005790585282</v>
      </c>
      <c r="D54" s="264" t="s">
        <v>306</v>
      </c>
      <c r="E54" s="264" t="s">
        <v>307</v>
      </c>
      <c r="F54" s="17">
        <v>7.7</v>
      </c>
      <c r="G54" s="85">
        <v>7500.0</v>
      </c>
      <c r="H54" s="19">
        <f t="shared" si="23"/>
        <v>138000</v>
      </c>
      <c r="I54" s="19">
        <f t="shared" si="24"/>
        <v>85725</v>
      </c>
      <c r="J54" s="21">
        <v>18.4</v>
      </c>
      <c r="K54" s="22">
        <f>IFERROR(__xludf.DUMMYFUNCTION("GOOGLEFINANCE(E54,""changepct"")"),-0.87)</f>
        <v>-0.87</v>
      </c>
      <c r="L54" s="24">
        <f>IFERROR(__xludf.DUMMYFUNCTION("googlefinance(E54,""price"")"),11.43)</f>
        <v>11.43</v>
      </c>
      <c r="M54" s="24"/>
      <c r="N54" s="24">
        <f t="shared" si="25"/>
        <v>-6.97</v>
      </c>
      <c r="O54" s="25">
        <f t="shared" si="26"/>
        <v>-0.3788043478</v>
      </c>
      <c r="P54" s="19">
        <f t="shared" si="27"/>
        <v>-52275</v>
      </c>
      <c r="Q54" s="14"/>
      <c r="R54" s="19"/>
      <c r="S54" s="31"/>
      <c r="T54" s="16"/>
      <c r="U54" s="16"/>
      <c r="V54" s="16"/>
      <c r="W54" s="30"/>
      <c r="X54" s="31"/>
      <c r="Y54" s="29"/>
      <c r="Z54" s="16"/>
      <c r="AA54" s="30"/>
      <c r="AB54" s="31"/>
      <c r="AC54" s="29"/>
    </row>
    <row r="55">
      <c r="A55" s="63"/>
      <c r="B55" s="45"/>
      <c r="C55" s="58">
        <f>I55/E120</f>
        <v>0.00948244225</v>
      </c>
      <c r="D55" s="59" t="s">
        <v>310</v>
      </c>
      <c r="E55" s="59" t="s">
        <v>311</v>
      </c>
      <c r="F55" s="17">
        <v>7.7</v>
      </c>
      <c r="G55" s="60">
        <v>2000.0</v>
      </c>
      <c r="H55" s="19">
        <f t="shared" si="23"/>
        <v>275780</v>
      </c>
      <c r="I55" s="19">
        <f t="shared" si="24"/>
        <v>140380</v>
      </c>
      <c r="J55" s="61">
        <v>137.89</v>
      </c>
      <c r="K55" s="22">
        <f>IFERROR(__xludf.DUMMYFUNCTION("GOOGLEFINANCE(E55,""changepct"")"),-2.69)</f>
        <v>-2.69</v>
      </c>
      <c r="L55" s="24">
        <f>IFERROR(__xludf.DUMMYFUNCTION("googlefinance(E55,""price"")"),70.19)</f>
        <v>70.19</v>
      </c>
      <c r="M55" s="75"/>
      <c r="N55" s="24">
        <f t="shared" si="25"/>
        <v>-67.7</v>
      </c>
      <c r="O55" s="25">
        <f t="shared" si="26"/>
        <v>-0.4909710639</v>
      </c>
      <c r="P55" s="19">
        <f t="shared" si="27"/>
        <v>-135400</v>
      </c>
      <c r="Q55" s="45"/>
      <c r="R55" s="274"/>
      <c r="S55" s="95"/>
      <c r="T55" s="45"/>
      <c r="U55" s="45"/>
      <c r="V55" s="45"/>
      <c r="W55" s="270"/>
      <c r="X55" s="28"/>
      <c r="Y55" s="64"/>
      <c r="Z55" s="42" t="s">
        <v>311</v>
      </c>
      <c r="AA55" s="67">
        <v>45153.0</v>
      </c>
      <c r="AB55" s="39">
        <v>137.89</v>
      </c>
      <c r="AC55" s="68">
        <v>275780.0</v>
      </c>
    </row>
    <row r="56">
      <c r="A56" s="63"/>
      <c r="B56" s="45"/>
      <c r="C56" s="58">
        <f>I56/E120</f>
        <v>0.1835289613</v>
      </c>
      <c r="D56" s="59" t="s">
        <v>393</v>
      </c>
      <c r="E56" s="59" t="s">
        <v>394</v>
      </c>
      <c r="F56" s="17">
        <v>7.7</v>
      </c>
      <c r="G56" s="60">
        <v>5000.0</v>
      </c>
      <c r="H56" s="19">
        <f t="shared" si="23"/>
        <v>136600</v>
      </c>
      <c r="I56" s="19">
        <f t="shared" si="24"/>
        <v>2717000</v>
      </c>
      <c r="J56" s="61">
        <v>27.32</v>
      </c>
      <c r="K56" s="22">
        <f>IFERROR(__xludf.DUMMYFUNCTION("GOOGLEFINANCE(E56,""changepct"")"),-0.62)</f>
        <v>-0.62</v>
      </c>
      <c r="L56" s="24">
        <f>IFERROR(__xludf.DUMMYFUNCTION("googlefinance(E56,""price"")"),543.4)</f>
        <v>543.4</v>
      </c>
      <c r="M56" s="61"/>
      <c r="N56" s="24">
        <f t="shared" si="25"/>
        <v>516.08</v>
      </c>
      <c r="O56" s="25">
        <f t="shared" si="26"/>
        <v>18.89019034</v>
      </c>
      <c r="P56" s="19">
        <f t="shared" si="27"/>
        <v>2580400</v>
      </c>
      <c r="Q56" s="45"/>
      <c r="R56" s="274"/>
      <c r="S56" s="95"/>
      <c r="T56" s="45"/>
      <c r="U56" s="45"/>
      <c r="V56" s="42"/>
      <c r="W56" s="67"/>
      <c r="X56" s="39"/>
      <c r="Y56" s="68"/>
      <c r="Z56" s="42" t="s">
        <v>394</v>
      </c>
      <c r="AA56" s="67">
        <v>45198.0</v>
      </c>
      <c r="AB56" s="39">
        <v>27.32</v>
      </c>
      <c r="AC56" s="68">
        <v>136600.0</v>
      </c>
    </row>
    <row r="57">
      <c r="A57" s="63"/>
      <c r="B57" s="45"/>
      <c r="C57" s="58">
        <f>I57/E120</f>
        <v>0.005880762375</v>
      </c>
      <c r="D57" s="59" t="s">
        <v>395</v>
      </c>
      <c r="E57" s="59" t="s">
        <v>309</v>
      </c>
      <c r="F57" s="17">
        <v>7.5</v>
      </c>
      <c r="G57" s="60">
        <v>6000.0</v>
      </c>
      <c r="H57" s="19">
        <f t="shared" si="23"/>
        <v>127380</v>
      </c>
      <c r="I57" s="19">
        <f t="shared" si="24"/>
        <v>87060</v>
      </c>
      <c r="J57" s="61">
        <v>21.23</v>
      </c>
      <c r="K57" s="22">
        <f>IFERROR(__xludf.DUMMYFUNCTION("GOOGLEFINANCE(E57,""changepct"")"),0.28)</f>
        <v>0.28</v>
      </c>
      <c r="L57" s="24">
        <f>IFERROR(__xludf.DUMMYFUNCTION("googlefinance(E57,""price"")"),14.51)</f>
        <v>14.51</v>
      </c>
      <c r="M57" s="61"/>
      <c r="N57" s="24">
        <f t="shared" si="25"/>
        <v>-6.72</v>
      </c>
      <c r="O57" s="25">
        <f t="shared" si="26"/>
        <v>-0.3165332077</v>
      </c>
      <c r="P57" s="19">
        <f t="shared" si="27"/>
        <v>-40320</v>
      </c>
      <c r="Q57" s="45"/>
      <c r="R57" s="274"/>
      <c r="S57" s="95"/>
      <c r="T57" s="45"/>
      <c r="U57" s="45"/>
      <c r="V57" s="42"/>
      <c r="W57" s="67"/>
      <c r="X57" s="39"/>
      <c r="Y57" s="68"/>
      <c r="Z57" s="42" t="s">
        <v>309</v>
      </c>
      <c r="AA57" s="67">
        <v>45198.0</v>
      </c>
      <c r="AB57" s="39">
        <v>21.23</v>
      </c>
      <c r="AC57" s="68">
        <v>127380.0</v>
      </c>
    </row>
    <row r="58">
      <c r="A58" s="63"/>
      <c r="B58" s="45"/>
      <c r="C58" s="58">
        <f>I58/E120</f>
        <v>0</v>
      </c>
      <c r="D58" s="264" t="s">
        <v>491</v>
      </c>
      <c r="E58" s="264" t="s">
        <v>492</v>
      </c>
      <c r="F58" s="17">
        <v>7.6</v>
      </c>
      <c r="G58" s="60">
        <v>1500.0</v>
      </c>
      <c r="H58" s="19">
        <f t="shared" si="23"/>
        <v>154155</v>
      </c>
      <c r="I58" s="20">
        <v>0.0</v>
      </c>
      <c r="J58" s="61">
        <v>102.77</v>
      </c>
      <c r="K58" s="22">
        <f>IFERROR(__xludf.DUMMYFUNCTION("GOOGLEFINANCE(E58,""changepct"")"),-0.68)</f>
        <v>-0.68</v>
      </c>
      <c r="L58" s="24">
        <f>IFERROR(__xludf.DUMMYFUNCTION("googlefinance(E58,""price"")"),105.76)</f>
        <v>105.76</v>
      </c>
      <c r="M58" s="61">
        <v>106.7</v>
      </c>
      <c r="N58" s="24">
        <f t="shared" si="25"/>
        <v>2.99</v>
      </c>
      <c r="O58" s="25">
        <f t="shared" ref="O58:O59" si="28">M58/J58-1</f>
        <v>0.03824073173</v>
      </c>
      <c r="P58" s="19">
        <f t="shared" si="27"/>
        <v>5895</v>
      </c>
      <c r="Q58" s="45"/>
      <c r="R58" s="274"/>
      <c r="S58" s="95"/>
      <c r="T58" s="45"/>
      <c r="U58" s="45"/>
      <c r="V58" s="42" t="s">
        <v>492</v>
      </c>
      <c r="W58" s="67">
        <v>45161.0</v>
      </c>
      <c r="X58" s="39">
        <v>106.7</v>
      </c>
      <c r="Y58" s="68">
        <v>160050.0</v>
      </c>
      <c r="Z58" s="42" t="s">
        <v>492</v>
      </c>
      <c r="AA58" s="67">
        <v>45114.0</v>
      </c>
      <c r="AB58" s="39">
        <v>102.77</v>
      </c>
      <c r="AC58" s="68">
        <v>154155.0</v>
      </c>
    </row>
    <row r="59">
      <c r="A59" s="63"/>
      <c r="B59" s="45"/>
      <c r="C59" s="58">
        <f>I59/E120</f>
        <v>0</v>
      </c>
      <c r="D59" s="15" t="s">
        <v>387</v>
      </c>
      <c r="E59" s="15" t="s">
        <v>388</v>
      </c>
      <c r="F59" s="17">
        <v>7.6</v>
      </c>
      <c r="G59" s="60">
        <v>1000.0</v>
      </c>
      <c r="H59" s="19">
        <f t="shared" si="23"/>
        <v>156200</v>
      </c>
      <c r="I59" s="20">
        <v>0.0</v>
      </c>
      <c r="J59" s="61">
        <v>156.2</v>
      </c>
      <c r="K59" s="22">
        <f>IFERROR(__xludf.DUMMYFUNCTION("GOOGLEFINANCE(E59,""changepct"")"),-0.65)</f>
        <v>-0.65</v>
      </c>
      <c r="L59" s="24">
        <f>IFERROR(__xludf.DUMMYFUNCTION("googlefinance(E59,""price"")"),143.07)</f>
        <v>143.07</v>
      </c>
      <c r="M59" s="61">
        <v>158.28</v>
      </c>
      <c r="N59" s="24">
        <f t="shared" si="25"/>
        <v>-13.13</v>
      </c>
      <c r="O59" s="25">
        <f t="shared" si="28"/>
        <v>0.0133162612</v>
      </c>
      <c r="P59" s="19">
        <f t="shared" si="27"/>
        <v>2080</v>
      </c>
      <c r="Q59" s="45"/>
      <c r="R59" s="274"/>
      <c r="S59" s="95"/>
      <c r="T59" s="45"/>
      <c r="U59" s="45"/>
      <c r="V59" s="42" t="s">
        <v>388</v>
      </c>
      <c r="W59" s="67">
        <v>45161.0</v>
      </c>
      <c r="X59" s="39">
        <v>158.28</v>
      </c>
      <c r="Y59" s="68">
        <v>158280.0</v>
      </c>
      <c r="Z59" s="42" t="s">
        <v>388</v>
      </c>
      <c r="AA59" s="67">
        <v>45127.0</v>
      </c>
      <c r="AB59" s="39">
        <v>156.2</v>
      </c>
      <c r="AC59" s="68">
        <v>156200.0</v>
      </c>
    </row>
    <row r="60">
      <c r="A60" s="63"/>
      <c r="B60" s="45"/>
      <c r="C60" s="58">
        <f>I60/E120</f>
        <v>0.004543304358</v>
      </c>
      <c r="D60" s="16" t="s">
        <v>352</v>
      </c>
      <c r="E60" s="16" t="s">
        <v>97</v>
      </c>
      <c r="F60" s="17">
        <v>7.5</v>
      </c>
      <c r="G60" s="60">
        <v>3000.0</v>
      </c>
      <c r="H60" s="19">
        <f t="shared" si="23"/>
        <v>126540</v>
      </c>
      <c r="I60" s="20">
        <f>H60+P60</f>
        <v>67260</v>
      </c>
      <c r="J60" s="61">
        <v>42.18</v>
      </c>
      <c r="K60" s="22">
        <f>IFERROR(__xludf.DUMMYFUNCTION("GOOGLEFINANCE(E60,""changepct"")"),1.49)</f>
        <v>1.49</v>
      </c>
      <c r="L60" s="24">
        <f>IFERROR(__xludf.DUMMYFUNCTION("googlefinance(E60,""price"")"),22.42)</f>
        <v>22.42</v>
      </c>
      <c r="M60" s="61"/>
      <c r="N60" s="24">
        <f t="shared" si="25"/>
        <v>-19.76</v>
      </c>
      <c r="O60" s="25">
        <f>L60/J60-1</f>
        <v>-0.4684684685</v>
      </c>
      <c r="P60" s="19">
        <f t="shared" si="27"/>
        <v>-59280</v>
      </c>
      <c r="Q60" s="45"/>
      <c r="R60" s="274"/>
      <c r="S60" s="95"/>
      <c r="T60" s="45"/>
      <c r="U60" s="45"/>
      <c r="V60" s="42"/>
      <c r="W60" s="67"/>
      <c r="X60" s="39"/>
      <c r="Y60" s="68"/>
      <c r="Z60" s="42" t="s">
        <v>97</v>
      </c>
      <c r="AA60" s="67">
        <v>45198.0</v>
      </c>
      <c r="AB60" s="39">
        <v>42.18</v>
      </c>
      <c r="AC60" s="68">
        <v>126540.0</v>
      </c>
    </row>
    <row r="61">
      <c r="A61" s="63"/>
      <c r="B61" s="45"/>
      <c r="C61" s="58">
        <f>I61/E120</f>
        <v>0</v>
      </c>
      <c r="D61" s="16" t="s">
        <v>352</v>
      </c>
      <c r="E61" s="16" t="s">
        <v>97</v>
      </c>
      <c r="F61" s="17">
        <v>7.5</v>
      </c>
      <c r="G61" s="60">
        <v>4000.0</v>
      </c>
      <c r="H61" s="19">
        <f t="shared" si="23"/>
        <v>137400</v>
      </c>
      <c r="I61" s="20">
        <v>0.0</v>
      </c>
      <c r="J61" s="61">
        <v>34.35</v>
      </c>
      <c r="K61" s="22">
        <f>IFERROR(__xludf.DUMMYFUNCTION("GOOGLEFINANCE(E61,""changepct"")"),1.49)</f>
        <v>1.49</v>
      </c>
      <c r="L61" s="24">
        <f>IFERROR(__xludf.DUMMYFUNCTION("googlefinance(E61,""price"")"),22.42)</f>
        <v>22.42</v>
      </c>
      <c r="M61" s="61">
        <v>44.14</v>
      </c>
      <c r="N61" s="24">
        <f t="shared" si="25"/>
        <v>-11.93</v>
      </c>
      <c r="O61" s="25">
        <f t="shared" ref="O61:O63" si="29">M61/J61-1</f>
        <v>0.285007278</v>
      </c>
      <c r="P61" s="19">
        <f t="shared" si="27"/>
        <v>39160</v>
      </c>
      <c r="Q61" s="45"/>
      <c r="R61" s="274"/>
      <c r="S61" s="95"/>
      <c r="T61" s="45"/>
      <c r="U61" s="45"/>
      <c r="V61" s="42" t="s">
        <v>97</v>
      </c>
      <c r="W61" s="67">
        <v>45153.0</v>
      </c>
      <c r="X61" s="39">
        <v>44.14</v>
      </c>
      <c r="Y61" s="68">
        <v>176560.0</v>
      </c>
      <c r="Z61" s="42" t="s">
        <v>97</v>
      </c>
      <c r="AA61" s="67">
        <v>45114.0</v>
      </c>
      <c r="AB61" s="39">
        <v>34.45</v>
      </c>
      <c r="AC61" s="68">
        <v>137400.0</v>
      </c>
    </row>
    <row r="62">
      <c r="A62" s="63"/>
      <c r="B62" s="45"/>
      <c r="C62" s="58">
        <f>I62/E120</f>
        <v>0</v>
      </c>
      <c r="D62" s="323" t="s">
        <v>493</v>
      </c>
      <c r="E62" s="323" t="s">
        <v>494</v>
      </c>
      <c r="F62" s="42">
        <v>7.5</v>
      </c>
      <c r="G62" s="60">
        <v>3500.0</v>
      </c>
      <c r="H62" s="19">
        <f t="shared" si="23"/>
        <v>122885</v>
      </c>
      <c r="I62" s="20">
        <v>0.0</v>
      </c>
      <c r="J62" s="61">
        <v>35.11</v>
      </c>
      <c r="K62" s="22">
        <f>IFERROR(__xludf.DUMMYFUNCTION("GOOGLEFINANCE(E62,""changepct"")"),0.45)</f>
        <v>0.45</v>
      </c>
      <c r="L62" s="24">
        <f>IFERROR(__xludf.DUMMYFUNCTION("googlefinance(E62,""price"")"),29.09)</f>
        <v>29.09</v>
      </c>
      <c r="M62" s="61">
        <v>36.45</v>
      </c>
      <c r="N62" s="24">
        <f t="shared" si="25"/>
        <v>-6.02</v>
      </c>
      <c r="O62" s="25">
        <f t="shared" si="29"/>
        <v>0.03816576474</v>
      </c>
      <c r="P62" s="19">
        <f t="shared" si="27"/>
        <v>4690</v>
      </c>
      <c r="Q62" s="45"/>
      <c r="R62" s="274"/>
      <c r="S62" s="95"/>
      <c r="T62" s="45"/>
      <c r="U62" s="45"/>
      <c r="V62" s="42" t="s">
        <v>494</v>
      </c>
      <c r="W62" s="67">
        <v>45153.0</v>
      </c>
      <c r="X62" s="39">
        <v>36.45</v>
      </c>
      <c r="Y62" s="68">
        <v>127575.0</v>
      </c>
      <c r="Z62" s="42" t="s">
        <v>494</v>
      </c>
      <c r="AA62" s="67">
        <v>45114.0</v>
      </c>
      <c r="AB62" s="39">
        <v>35.11</v>
      </c>
      <c r="AC62" s="68">
        <v>122885.0</v>
      </c>
    </row>
    <row r="63">
      <c r="A63" s="63"/>
      <c r="B63" s="45"/>
      <c r="C63" s="58">
        <f>I63/E120</f>
        <v>0</v>
      </c>
      <c r="D63" s="42" t="s">
        <v>495</v>
      </c>
      <c r="E63" s="42" t="s">
        <v>496</v>
      </c>
      <c r="F63" s="42">
        <v>7.4</v>
      </c>
      <c r="G63" s="60">
        <v>2500.0</v>
      </c>
      <c r="H63" s="19">
        <f t="shared" si="23"/>
        <v>145225</v>
      </c>
      <c r="I63" s="20">
        <v>0.0</v>
      </c>
      <c r="J63" s="61">
        <v>58.09</v>
      </c>
      <c r="K63" s="22">
        <f>IFERROR(__xludf.DUMMYFUNCTION("GOOGLEFINANCE(E63,""changepct"")"),-0.21)</f>
        <v>-0.21</v>
      </c>
      <c r="L63" s="24">
        <f>IFERROR(__xludf.DUMMYFUNCTION("googlefinance(E63,""price"")"),48.46)</f>
        <v>48.46</v>
      </c>
      <c r="M63" s="61">
        <v>63.75</v>
      </c>
      <c r="N63" s="24">
        <f t="shared" si="25"/>
        <v>-9.63</v>
      </c>
      <c r="O63" s="25">
        <f t="shared" si="29"/>
        <v>0.09743501463</v>
      </c>
      <c r="P63" s="19">
        <f t="shared" si="27"/>
        <v>14150</v>
      </c>
      <c r="Q63" s="45"/>
      <c r="R63" s="274"/>
      <c r="S63" s="95"/>
      <c r="T63" s="45"/>
      <c r="U63" s="45"/>
      <c r="V63" s="42" t="s">
        <v>496</v>
      </c>
      <c r="W63" s="67">
        <v>45159.0</v>
      </c>
      <c r="X63" s="39">
        <v>63.75</v>
      </c>
      <c r="Y63" s="68">
        <v>159375.0</v>
      </c>
      <c r="Z63" s="42" t="s">
        <v>496</v>
      </c>
      <c r="AA63" s="67">
        <v>45114.0</v>
      </c>
      <c r="AB63" s="39">
        <v>58.09</v>
      </c>
      <c r="AC63" s="68">
        <v>145225.0</v>
      </c>
    </row>
    <row r="64">
      <c r="A64" s="48"/>
      <c r="B64" s="6"/>
      <c r="C64" s="6" t="s">
        <v>89</v>
      </c>
      <c r="D64" s="6"/>
      <c r="E64" s="6"/>
      <c r="F64" s="6"/>
      <c r="G64" s="69"/>
      <c r="H64" s="49">
        <f t="shared" ref="H64:I64" si="30">SUM(H53:H63)</f>
        <v>1663005</v>
      </c>
      <c r="I64" s="50">
        <f t="shared" si="30"/>
        <v>3164665</v>
      </c>
      <c r="J64" s="8"/>
      <c r="K64" s="8"/>
      <c r="L64" s="8"/>
      <c r="M64" s="10"/>
      <c r="N64" s="10"/>
      <c r="O64" s="51">
        <f>P64/I64</f>
        <v>-0.01427797255</v>
      </c>
      <c r="P64" s="263">
        <v>-45185.0</v>
      </c>
      <c r="Q64" s="6"/>
      <c r="R64" s="49">
        <f>SUM(R53:R54)</f>
        <v>0</v>
      </c>
      <c r="S64" s="10"/>
      <c r="T64" s="6"/>
      <c r="U64" s="6"/>
      <c r="V64" s="6" t="s">
        <v>89</v>
      </c>
      <c r="W64" s="53"/>
      <c r="X64" s="54"/>
      <c r="Y64" s="49">
        <f>SUM(Y53:Y63)</f>
        <v>781840</v>
      </c>
      <c r="Z64" s="6" t="s">
        <v>89</v>
      </c>
      <c r="AA64" s="53"/>
      <c r="AB64" s="54"/>
      <c r="AC64" s="49">
        <f>SUM(AC53:AC63)</f>
        <v>1382165</v>
      </c>
    </row>
    <row r="65">
      <c r="A65" s="55"/>
      <c r="B65" s="5" t="s">
        <v>497</v>
      </c>
      <c r="C65" s="6" t="s">
        <v>2</v>
      </c>
      <c r="D65" s="6" t="s">
        <v>3</v>
      </c>
      <c r="E65" s="6" t="s">
        <v>4</v>
      </c>
      <c r="F65" s="6" t="s">
        <v>5</v>
      </c>
      <c r="G65" s="6" t="s">
        <v>6</v>
      </c>
      <c r="H65" s="6" t="s">
        <v>7</v>
      </c>
      <c r="I65" s="7" t="s">
        <v>8</v>
      </c>
      <c r="J65" s="7" t="s">
        <v>9</v>
      </c>
      <c r="K65" s="8" t="s">
        <v>10</v>
      </c>
      <c r="L65" s="320" t="s">
        <v>475</v>
      </c>
      <c r="M65" s="9" t="s">
        <v>476</v>
      </c>
      <c r="N65" s="10" t="s">
        <v>13</v>
      </c>
      <c r="O65" s="6" t="s">
        <v>14</v>
      </c>
      <c r="P65" s="10" t="s">
        <v>15</v>
      </c>
      <c r="Q65" s="6" t="s">
        <v>16</v>
      </c>
      <c r="R65" s="6" t="s">
        <v>17</v>
      </c>
      <c r="S65" s="9" t="s">
        <v>477</v>
      </c>
      <c r="T65" s="5" t="s">
        <v>19</v>
      </c>
      <c r="U65" s="5" t="s">
        <v>91</v>
      </c>
      <c r="V65" s="6" t="s">
        <v>21</v>
      </c>
      <c r="W65" s="6" t="s">
        <v>22</v>
      </c>
      <c r="X65" s="12" t="s">
        <v>23</v>
      </c>
      <c r="Y65" s="12" t="s">
        <v>24</v>
      </c>
      <c r="Z65" s="6" t="s">
        <v>25</v>
      </c>
      <c r="AA65" s="6" t="s">
        <v>26</v>
      </c>
      <c r="AB65" s="6" t="s">
        <v>27</v>
      </c>
      <c r="AC65" s="6" t="s">
        <v>28</v>
      </c>
    </row>
    <row r="66">
      <c r="A66" s="56" t="s">
        <v>29</v>
      </c>
      <c r="B66" s="57">
        <f>I74/E120</f>
        <v>0.02495304881</v>
      </c>
      <c r="C66" s="14">
        <f>I66/E120</f>
        <v>0</v>
      </c>
      <c r="D66" s="16" t="s">
        <v>498</v>
      </c>
      <c r="E66" s="16" t="s">
        <v>499</v>
      </c>
      <c r="F66" s="17">
        <v>7.9</v>
      </c>
      <c r="G66" s="18">
        <v>1800.0</v>
      </c>
      <c r="H66" s="19">
        <f t="shared" ref="H66:H73" si="31">G66*J66</f>
        <v>147114</v>
      </c>
      <c r="I66" s="20">
        <v>0.0</v>
      </c>
      <c r="J66" s="21">
        <v>81.73</v>
      </c>
      <c r="K66" s="22">
        <f>IFERROR(__xludf.DUMMYFUNCTION("GOOGLEFINANCE(E66,""changepct"")"),-0.97)</f>
        <v>-0.97</v>
      </c>
      <c r="L66" s="24">
        <f>IFERROR(__xludf.DUMMYFUNCTION("googlefinance(E66,""price"")"),64.29)</f>
        <v>64.29</v>
      </c>
      <c r="M66" s="21">
        <v>81.38</v>
      </c>
      <c r="N66" s="24">
        <f t="shared" ref="N66:N73" si="32">L66-J66</f>
        <v>-17.44</v>
      </c>
      <c r="O66" s="25">
        <f t="shared" ref="O66:O67" si="33">M66/J66-1</f>
        <v>-0.004282393246</v>
      </c>
      <c r="P66" s="84">
        <f t="shared" ref="P66:P73" si="34">H66*O66</f>
        <v>-630</v>
      </c>
      <c r="Q66" s="47">
        <v>0.023</v>
      </c>
      <c r="R66" s="20"/>
      <c r="S66" s="37"/>
      <c r="T66" s="27"/>
      <c r="U66" s="27"/>
      <c r="V66" s="15" t="s">
        <v>499</v>
      </c>
      <c r="W66" s="36">
        <v>45162.0</v>
      </c>
      <c r="X66" s="37">
        <v>81.38</v>
      </c>
      <c r="Y66" s="27">
        <v>146484.0</v>
      </c>
      <c r="Z66" s="16"/>
      <c r="AA66" s="30"/>
      <c r="AB66" s="31"/>
      <c r="AC66" s="29"/>
    </row>
    <row r="67">
      <c r="A67" s="38"/>
      <c r="B67" s="32"/>
      <c r="C67" s="14">
        <f>I67/E120</f>
        <v>0</v>
      </c>
      <c r="D67" s="95" t="s">
        <v>143</v>
      </c>
      <c r="E67" s="16" t="s">
        <v>144</v>
      </c>
      <c r="F67" s="17">
        <v>7.3</v>
      </c>
      <c r="G67" s="18">
        <v>7500.0</v>
      </c>
      <c r="H67" s="19">
        <f t="shared" si="31"/>
        <v>151575</v>
      </c>
      <c r="I67" s="20">
        <v>0.0</v>
      </c>
      <c r="J67" s="21">
        <v>20.21</v>
      </c>
      <c r="K67" s="22">
        <f>IFERROR(__xludf.DUMMYFUNCTION("GOOGLEFINANCE(E67,""changepct"")"),-2.91)</f>
        <v>-2.91</v>
      </c>
      <c r="L67" s="24">
        <f>IFERROR(__xludf.DUMMYFUNCTION("googlefinance(E67,""price"")"),3.0)</f>
        <v>3</v>
      </c>
      <c r="M67" s="21">
        <v>19.18</v>
      </c>
      <c r="N67" s="24">
        <f t="shared" si="32"/>
        <v>-17.21</v>
      </c>
      <c r="O67" s="25">
        <f t="shared" si="33"/>
        <v>-0.05096486888</v>
      </c>
      <c r="P67" s="84">
        <f t="shared" si="34"/>
        <v>-7725</v>
      </c>
      <c r="Q67" s="32"/>
      <c r="R67" s="29"/>
      <c r="S67" s="24"/>
      <c r="T67" s="27"/>
      <c r="U67" s="27"/>
      <c r="V67" s="15" t="s">
        <v>144</v>
      </c>
      <c r="W67" s="41">
        <v>45141.0</v>
      </c>
      <c r="X67" s="21">
        <v>19.18</v>
      </c>
      <c r="Y67" s="20">
        <v>143850.0</v>
      </c>
      <c r="Z67" s="16"/>
      <c r="AA67" s="94"/>
      <c r="AB67" s="24"/>
      <c r="AC67" s="19"/>
    </row>
    <row r="68">
      <c r="A68" s="38"/>
      <c r="B68" s="32"/>
      <c r="C68" s="14">
        <f>I68/E120</f>
        <v>0.000008105806169</v>
      </c>
      <c r="D68" s="76" t="s">
        <v>450</v>
      </c>
      <c r="E68" s="15" t="s">
        <v>451</v>
      </c>
      <c r="F68" s="17">
        <v>8.0</v>
      </c>
      <c r="G68" s="18">
        <v>12000.0</v>
      </c>
      <c r="H68" s="19">
        <f t="shared" si="31"/>
        <v>329160</v>
      </c>
      <c r="I68" s="19">
        <f t="shared" ref="I68:I70" si="35">H68+P68</f>
        <v>120</v>
      </c>
      <c r="J68" s="21">
        <v>27.43</v>
      </c>
      <c r="K68" s="22">
        <f>IFERROR(__xludf.DUMMYFUNCTION("GOOGLEFINANCE(E68,""changepct"")"),0.0)</f>
        <v>0</v>
      </c>
      <c r="L68" s="24">
        <f>IFERROR(__xludf.DUMMYFUNCTION("googlefinance(E68,""price"")"),0.01)</f>
        <v>0.01</v>
      </c>
      <c r="M68" s="24"/>
      <c r="N68" s="24">
        <f t="shared" si="32"/>
        <v>-27.42</v>
      </c>
      <c r="O68" s="25">
        <f t="shared" ref="O68:O70" si="36">L68/J68-1</f>
        <v>-0.9996354357</v>
      </c>
      <c r="P68" s="84">
        <f t="shared" si="34"/>
        <v>-329040</v>
      </c>
      <c r="Q68" s="32"/>
      <c r="R68" s="29"/>
      <c r="S68" s="21"/>
      <c r="T68" s="27">
        <v>3000.0</v>
      </c>
      <c r="U68" s="27"/>
      <c r="V68" s="15"/>
      <c r="W68" s="41"/>
      <c r="X68" s="21"/>
      <c r="Y68" s="20"/>
      <c r="Z68" s="15"/>
      <c r="AA68" s="36"/>
      <c r="AB68" s="37"/>
      <c r="AC68" s="27"/>
    </row>
    <row r="69">
      <c r="A69" s="38"/>
      <c r="B69" s="32"/>
      <c r="C69" s="14">
        <f>I69/E120</f>
        <v>0.000005403870779</v>
      </c>
      <c r="D69" s="76" t="s">
        <v>450</v>
      </c>
      <c r="E69" s="15" t="s">
        <v>451</v>
      </c>
      <c r="F69" s="17">
        <v>8.0</v>
      </c>
      <c r="G69" s="18">
        <v>8000.0</v>
      </c>
      <c r="H69" s="19">
        <f t="shared" si="31"/>
        <v>141040</v>
      </c>
      <c r="I69" s="19">
        <f t="shared" si="35"/>
        <v>80</v>
      </c>
      <c r="J69" s="21">
        <v>17.63</v>
      </c>
      <c r="K69" s="22">
        <f>IFERROR(__xludf.DUMMYFUNCTION("GOOGLEFINANCE(E69,""changepct"")"),0.0)</f>
        <v>0</v>
      </c>
      <c r="L69" s="24">
        <f>IFERROR(__xludf.DUMMYFUNCTION("googlefinance(E69,""price"")"),0.01)</f>
        <v>0.01</v>
      </c>
      <c r="M69" s="21"/>
      <c r="N69" s="24">
        <f t="shared" si="32"/>
        <v>-17.62</v>
      </c>
      <c r="O69" s="25">
        <f t="shared" si="36"/>
        <v>-0.999432785</v>
      </c>
      <c r="P69" s="84">
        <f t="shared" si="34"/>
        <v>-140960</v>
      </c>
      <c r="Q69" s="47"/>
      <c r="R69" s="20"/>
      <c r="S69" s="31"/>
      <c r="T69" s="29"/>
      <c r="U69" s="29"/>
      <c r="V69" s="15"/>
      <c r="W69" s="36"/>
      <c r="X69" s="37"/>
      <c r="Y69" s="27"/>
      <c r="Z69" s="15" t="s">
        <v>451</v>
      </c>
      <c r="AA69" s="41">
        <v>45190.0</v>
      </c>
      <c r="AB69" s="21">
        <v>17.63</v>
      </c>
      <c r="AC69" s="20">
        <v>141040.0</v>
      </c>
    </row>
    <row r="70">
      <c r="A70" s="38"/>
      <c r="B70" s="32"/>
      <c r="C70" s="14">
        <f>I70/E120</f>
        <v>0.008727926792</v>
      </c>
      <c r="D70" s="76" t="s">
        <v>147</v>
      </c>
      <c r="E70" s="15" t="s">
        <v>148</v>
      </c>
      <c r="F70" s="17">
        <v>7.9</v>
      </c>
      <c r="G70" s="18">
        <v>1500.0</v>
      </c>
      <c r="H70" s="19">
        <f t="shared" si="31"/>
        <v>280950</v>
      </c>
      <c r="I70" s="19">
        <f t="shared" si="35"/>
        <v>129210</v>
      </c>
      <c r="J70" s="21">
        <v>187.3</v>
      </c>
      <c r="K70" s="22">
        <f>IFERROR(__xludf.DUMMYFUNCTION("GOOGLEFINANCE(E70,""changepct"")"),-2.44)</f>
        <v>-2.44</v>
      </c>
      <c r="L70" s="24">
        <f>IFERROR(__xludf.DUMMYFUNCTION("googlefinance(E70,""price"")"),86.14)</f>
        <v>86.14</v>
      </c>
      <c r="M70" s="21"/>
      <c r="N70" s="24">
        <f t="shared" si="32"/>
        <v>-101.16</v>
      </c>
      <c r="O70" s="25">
        <f t="shared" si="36"/>
        <v>-0.5400961025</v>
      </c>
      <c r="P70" s="84">
        <f t="shared" si="34"/>
        <v>-151740</v>
      </c>
      <c r="Q70" s="47">
        <v>0.01</v>
      </c>
      <c r="R70" s="20">
        <v>600.0</v>
      </c>
      <c r="S70" s="31"/>
      <c r="T70" s="29"/>
      <c r="U70" s="29"/>
      <c r="V70" s="15"/>
      <c r="W70" s="36"/>
      <c r="X70" s="37"/>
      <c r="Y70" s="27"/>
      <c r="Z70" s="15" t="s">
        <v>148</v>
      </c>
      <c r="AA70" s="41">
        <v>45180.0</v>
      </c>
      <c r="AB70" s="21">
        <v>187.3</v>
      </c>
      <c r="AC70" s="20">
        <v>280950.0</v>
      </c>
    </row>
    <row r="71">
      <c r="A71" s="38"/>
      <c r="B71" s="32"/>
      <c r="C71" s="14">
        <f>I71/E120</f>
        <v>0</v>
      </c>
      <c r="D71" s="95" t="s">
        <v>145</v>
      </c>
      <c r="E71" s="16" t="s">
        <v>146</v>
      </c>
      <c r="F71" s="17">
        <v>7.4</v>
      </c>
      <c r="G71" s="18">
        <v>1500.0</v>
      </c>
      <c r="H71" s="19">
        <f t="shared" si="31"/>
        <v>108930</v>
      </c>
      <c r="I71" s="20">
        <v>0.0</v>
      </c>
      <c r="J71" s="21">
        <v>72.62</v>
      </c>
      <c r="K71" s="22">
        <f>IFERROR(__xludf.DUMMYFUNCTION("GOOGLEFINANCE(E71,""changepct"")"),-2.33)</f>
        <v>-2.33</v>
      </c>
      <c r="L71" s="24">
        <f>IFERROR(__xludf.DUMMYFUNCTION("googlefinance(E71,""price"")"),36.47)</f>
        <v>36.47</v>
      </c>
      <c r="M71" s="21">
        <v>65.67</v>
      </c>
      <c r="N71" s="24">
        <f t="shared" si="32"/>
        <v>-36.15</v>
      </c>
      <c r="O71" s="25">
        <f t="shared" ref="O71:O72" si="37">M71/J71-1</f>
        <v>-0.0957036629</v>
      </c>
      <c r="P71" s="84">
        <f t="shared" si="34"/>
        <v>-10425</v>
      </c>
      <c r="Q71" s="47">
        <v>0.14</v>
      </c>
      <c r="R71" s="20"/>
      <c r="S71" s="31"/>
      <c r="T71" s="29"/>
      <c r="U71" s="29"/>
      <c r="V71" s="15" t="s">
        <v>146</v>
      </c>
      <c r="W71" s="36">
        <v>45162.0</v>
      </c>
      <c r="X71" s="37">
        <v>65.67</v>
      </c>
      <c r="Y71" s="27">
        <v>98505.0</v>
      </c>
      <c r="Z71" s="16"/>
      <c r="AA71" s="94"/>
      <c r="AB71" s="24"/>
      <c r="AC71" s="19"/>
    </row>
    <row r="72">
      <c r="A72" s="38"/>
      <c r="B72" s="32"/>
      <c r="C72" s="14">
        <f>I72/E120</f>
        <v>0</v>
      </c>
      <c r="D72" s="15" t="s">
        <v>500</v>
      </c>
      <c r="E72" s="15" t="s">
        <v>134</v>
      </c>
      <c r="F72" s="17">
        <v>7.7</v>
      </c>
      <c r="G72" s="18">
        <v>8000.0</v>
      </c>
      <c r="H72" s="19">
        <f t="shared" si="31"/>
        <v>181520</v>
      </c>
      <c r="I72" s="20">
        <v>0.0</v>
      </c>
      <c r="J72" s="21">
        <v>22.69</v>
      </c>
      <c r="K72" s="22">
        <f>IFERROR(__xludf.DUMMYFUNCTION("GOOGLEFINANCE(E72,""changepct"")"),-2.75)</f>
        <v>-2.75</v>
      </c>
      <c r="L72" s="24">
        <f>IFERROR(__xludf.DUMMYFUNCTION("googlefinance(E72,""price"")"),21.19)</f>
        <v>21.19</v>
      </c>
      <c r="M72" s="21">
        <v>24.74</v>
      </c>
      <c r="N72" s="24">
        <f t="shared" si="32"/>
        <v>-1.5</v>
      </c>
      <c r="O72" s="25">
        <f t="shared" si="37"/>
        <v>0.090348171</v>
      </c>
      <c r="P72" s="84">
        <f t="shared" si="34"/>
        <v>16400</v>
      </c>
      <c r="Q72" s="47"/>
      <c r="R72" s="29"/>
      <c r="S72" s="21"/>
      <c r="T72" s="27"/>
      <c r="U72" s="27"/>
      <c r="V72" s="15" t="s">
        <v>134</v>
      </c>
      <c r="W72" s="41">
        <v>45190.0</v>
      </c>
      <c r="X72" s="21">
        <v>24.74</v>
      </c>
      <c r="Y72" s="20">
        <v>197920.0</v>
      </c>
      <c r="Z72" s="15"/>
      <c r="AA72" s="36"/>
      <c r="AB72" s="37"/>
      <c r="AC72" s="27"/>
    </row>
    <row r="73">
      <c r="A73" s="38"/>
      <c r="B73" s="32"/>
      <c r="C73" s="14">
        <f>I73/E120</f>
        <v>0.01621161234</v>
      </c>
      <c r="D73" s="15" t="s">
        <v>501</v>
      </c>
      <c r="E73" s="16" t="s">
        <v>132</v>
      </c>
      <c r="F73" s="17">
        <v>8.0</v>
      </c>
      <c r="G73" s="18">
        <v>10000.0</v>
      </c>
      <c r="H73" s="19">
        <f t="shared" si="31"/>
        <v>350000</v>
      </c>
      <c r="I73" s="19">
        <f>H73+P73</f>
        <v>240000</v>
      </c>
      <c r="J73" s="21">
        <v>35.0</v>
      </c>
      <c r="K73" s="22">
        <f>IFERROR(__xludf.DUMMYFUNCTION("GOOGLEFINANCE(E73,""changepct"")"),0.54)</f>
        <v>0.54</v>
      </c>
      <c r="L73" s="24">
        <f>IFERROR(__xludf.DUMMYFUNCTION("googlefinance(E73,""price"")"),24.0)</f>
        <v>24</v>
      </c>
      <c r="M73" s="24"/>
      <c r="N73" s="24">
        <f t="shared" si="32"/>
        <v>-11</v>
      </c>
      <c r="O73" s="25">
        <f>L73/J73-1</f>
        <v>-0.3142857143</v>
      </c>
      <c r="P73" s="84">
        <f t="shared" si="34"/>
        <v>-110000</v>
      </c>
      <c r="Q73" s="47">
        <v>0.023</v>
      </c>
      <c r="R73" s="20">
        <v>2000.0</v>
      </c>
      <c r="S73" s="37"/>
      <c r="T73" s="27"/>
      <c r="U73" s="27"/>
      <c r="V73" s="15"/>
      <c r="W73" s="36"/>
      <c r="X73" s="37"/>
      <c r="Y73" s="27"/>
      <c r="Z73" s="15"/>
      <c r="AA73" s="41"/>
      <c r="AB73" s="21"/>
      <c r="AC73" s="20"/>
    </row>
    <row r="74">
      <c r="A74" s="48"/>
      <c r="B74" s="6"/>
      <c r="C74" s="6" t="s">
        <v>89</v>
      </c>
      <c r="D74" s="6"/>
      <c r="E74" s="6"/>
      <c r="F74" s="6"/>
      <c r="G74" s="69"/>
      <c r="H74" s="49">
        <f t="shared" ref="H74:I74" si="38">SUM(H66:H73)</f>
        <v>1690289</v>
      </c>
      <c r="I74" s="50">
        <f t="shared" si="38"/>
        <v>369410</v>
      </c>
      <c r="J74" s="8"/>
      <c r="K74" s="8"/>
      <c r="L74" s="8"/>
      <c r="M74" s="10"/>
      <c r="N74" s="10"/>
      <c r="O74" s="51">
        <f>(P74+T74+U74+R74)/I74</f>
        <v>-0.3212419805</v>
      </c>
      <c r="P74" s="263">
        <v>-124270.0</v>
      </c>
      <c r="Q74" s="6"/>
      <c r="R74" s="49">
        <f>SUM(R66:R73)</f>
        <v>2600</v>
      </c>
      <c r="S74" s="10"/>
      <c r="T74" s="11">
        <f t="shared" ref="T74:U74" si="39">SUM(T66:T73)</f>
        <v>3000</v>
      </c>
      <c r="U74" s="11">
        <f t="shared" si="39"/>
        <v>0</v>
      </c>
      <c r="V74" s="6" t="s">
        <v>89</v>
      </c>
      <c r="W74" s="53"/>
      <c r="X74" s="54"/>
      <c r="Y74" s="49">
        <f>SUM(Y66:Y73)</f>
        <v>586759</v>
      </c>
      <c r="Z74" s="6" t="s">
        <v>89</v>
      </c>
      <c r="AA74" s="53"/>
      <c r="AB74" s="54"/>
      <c r="AC74" s="49">
        <f>SUM(AC66:AC73)</f>
        <v>421990</v>
      </c>
    </row>
    <row r="75">
      <c r="A75" s="48"/>
      <c r="B75" s="5" t="s">
        <v>502</v>
      </c>
      <c r="C75" s="6" t="s">
        <v>2</v>
      </c>
      <c r="D75" s="6" t="s">
        <v>150</v>
      </c>
      <c r="E75" s="6" t="s">
        <v>4</v>
      </c>
      <c r="F75" s="6" t="s">
        <v>5</v>
      </c>
      <c r="G75" s="6" t="s">
        <v>6</v>
      </c>
      <c r="H75" s="6" t="s">
        <v>7</v>
      </c>
      <c r="I75" s="7" t="s">
        <v>8</v>
      </c>
      <c r="J75" s="7" t="s">
        <v>9</v>
      </c>
      <c r="K75" s="8" t="s">
        <v>10</v>
      </c>
      <c r="L75" s="320" t="s">
        <v>475</v>
      </c>
      <c r="M75" s="9" t="s">
        <v>476</v>
      </c>
      <c r="N75" s="10" t="s">
        <v>13</v>
      </c>
      <c r="O75" s="6" t="s">
        <v>14</v>
      </c>
      <c r="P75" s="10" t="s">
        <v>15</v>
      </c>
      <c r="Q75" s="6" t="s">
        <v>16</v>
      </c>
      <c r="R75" s="6" t="s">
        <v>17</v>
      </c>
      <c r="S75" s="9" t="s">
        <v>477</v>
      </c>
      <c r="T75" s="5" t="s">
        <v>19</v>
      </c>
      <c r="U75" s="5" t="s">
        <v>91</v>
      </c>
      <c r="V75" s="6" t="s">
        <v>21</v>
      </c>
      <c r="W75" s="6" t="s">
        <v>22</v>
      </c>
      <c r="X75" s="12" t="s">
        <v>23</v>
      </c>
      <c r="Y75" s="12" t="s">
        <v>24</v>
      </c>
      <c r="Z75" s="6" t="s">
        <v>25</v>
      </c>
      <c r="AA75" s="6" t="s">
        <v>26</v>
      </c>
      <c r="AB75" s="6" t="s">
        <v>27</v>
      </c>
      <c r="AC75" s="6" t="s">
        <v>28</v>
      </c>
    </row>
    <row r="76">
      <c r="A76" s="56" t="s">
        <v>29</v>
      </c>
      <c r="B76" s="57">
        <f>I79/E120</f>
        <v>0</v>
      </c>
      <c r="C76" s="324">
        <f>I76/E120</f>
        <v>0</v>
      </c>
      <c r="D76" s="76" t="s">
        <v>115</v>
      </c>
      <c r="E76" s="15" t="s">
        <v>116</v>
      </c>
      <c r="F76" s="17">
        <v>7.5</v>
      </c>
      <c r="G76" s="325">
        <v>1500.0</v>
      </c>
      <c r="H76" s="64">
        <f t="shared" ref="H76:H78" si="40">G76*J76</f>
        <v>322725</v>
      </c>
      <c r="I76" s="326">
        <v>0.0</v>
      </c>
      <c r="J76" s="327">
        <v>215.15</v>
      </c>
      <c r="K76" s="328">
        <f>IFERROR(__xludf.DUMMYFUNCTION("GOOGLEFINANCE(E76,""changepct"")"),-1.04)</f>
        <v>-1.04</v>
      </c>
      <c r="L76" s="23">
        <f>IFERROR(__xludf.DUMMYFUNCTION("googlefinance(E76,""price"")"),263.38)</f>
        <v>263.38</v>
      </c>
      <c r="M76" s="21">
        <v>224.13</v>
      </c>
      <c r="N76" s="24">
        <f t="shared" ref="N76:N78" si="41">L76-J76</f>
        <v>48.23</v>
      </c>
      <c r="O76" s="329">
        <f t="shared" ref="O76:O78" si="42">M76/J76-1</f>
        <v>0.0417383221</v>
      </c>
      <c r="P76" s="102">
        <f t="shared" ref="P76:P78" si="43">H76*O76</f>
        <v>13470</v>
      </c>
      <c r="Q76" s="330">
        <v>0.025</v>
      </c>
      <c r="R76" s="64"/>
      <c r="S76" s="39"/>
      <c r="T76" s="66"/>
      <c r="U76" s="42"/>
      <c r="V76" s="42" t="s">
        <v>116</v>
      </c>
      <c r="W76" s="67">
        <v>45156.0</v>
      </c>
      <c r="X76" s="39">
        <v>224.13</v>
      </c>
      <c r="Y76" s="66">
        <v>336195.0</v>
      </c>
      <c r="Z76" s="45"/>
      <c r="AA76" s="270"/>
      <c r="AB76" s="28"/>
      <c r="AC76" s="72"/>
    </row>
    <row r="77">
      <c r="A77" s="63"/>
      <c r="B77" s="45"/>
      <c r="C77" s="324">
        <f>I77/E120</f>
        <v>0</v>
      </c>
      <c r="D77" s="95" t="s">
        <v>503</v>
      </c>
      <c r="E77" s="16" t="s">
        <v>118</v>
      </c>
      <c r="F77" s="17">
        <v>7.6</v>
      </c>
      <c r="G77" s="325">
        <v>700.0</v>
      </c>
      <c r="H77" s="64">
        <f t="shared" si="40"/>
        <v>319200</v>
      </c>
      <c r="I77" s="326">
        <v>0.0</v>
      </c>
      <c r="J77" s="327">
        <v>456.0</v>
      </c>
      <c r="K77" s="328">
        <f>IFERROR(__xludf.DUMMYFUNCTION("GOOGLEFINANCE(E77,""changepct"")"),-1.15)</f>
        <v>-1.15</v>
      </c>
      <c r="L77" s="23">
        <f>IFERROR(__xludf.DUMMYFUNCTION("googlefinance(E77,""price"")"),483.37)</f>
        <v>483.37</v>
      </c>
      <c r="M77" s="21">
        <v>454.05</v>
      </c>
      <c r="N77" s="24">
        <f t="shared" si="41"/>
        <v>27.37</v>
      </c>
      <c r="O77" s="329">
        <f t="shared" si="42"/>
        <v>-0.004276315789</v>
      </c>
      <c r="P77" s="102">
        <f t="shared" si="43"/>
        <v>-1365</v>
      </c>
      <c r="Q77" s="330">
        <v>0.027</v>
      </c>
      <c r="R77" s="72"/>
      <c r="S77" s="282"/>
      <c r="T77" s="66"/>
      <c r="U77" s="42"/>
      <c r="V77" s="42" t="s">
        <v>118</v>
      </c>
      <c r="W77" s="331">
        <v>45152.0</v>
      </c>
      <c r="X77" s="310">
        <v>454.05</v>
      </c>
      <c r="Y77" s="68">
        <v>317835.0</v>
      </c>
      <c r="Z77" s="42" t="s">
        <v>118</v>
      </c>
      <c r="AA77" s="331">
        <v>45127.0</v>
      </c>
      <c r="AB77" s="310">
        <v>456.0</v>
      </c>
      <c r="AC77" s="68">
        <v>319200.0</v>
      </c>
    </row>
    <row r="78">
      <c r="A78" s="63"/>
      <c r="B78" s="45"/>
      <c r="C78" s="324">
        <f>I78/E120</f>
        <v>0</v>
      </c>
      <c r="D78" s="95" t="s">
        <v>504</v>
      </c>
      <c r="E78" s="16" t="s">
        <v>120</v>
      </c>
      <c r="F78" s="17">
        <v>7.5</v>
      </c>
      <c r="G78" s="325">
        <v>700.0</v>
      </c>
      <c r="H78" s="64">
        <f t="shared" si="40"/>
        <v>319060</v>
      </c>
      <c r="I78" s="326">
        <v>0.0</v>
      </c>
      <c r="J78" s="327">
        <v>455.8</v>
      </c>
      <c r="K78" s="328">
        <f>IFERROR(__xludf.DUMMYFUNCTION("GOOGLEFINANCE(E78,""changepct"")"),-1.02)</f>
        <v>-1.02</v>
      </c>
      <c r="L78" s="23">
        <f>IFERROR(__xludf.DUMMYFUNCTION("googlefinance(E78,""price"")"),466.52)</f>
        <v>466.52</v>
      </c>
      <c r="M78" s="21">
        <v>429.0</v>
      </c>
      <c r="N78" s="24">
        <f t="shared" si="41"/>
        <v>10.72</v>
      </c>
      <c r="O78" s="329">
        <f t="shared" si="42"/>
        <v>-0.0587977183</v>
      </c>
      <c r="P78" s="102">
        <f t="shared" si="43"/>
        <v>-18760</v>
      </c>
      <c r="Q78" s="330">
        <v>0.017</v>
      </c>
      <c r="R78" s="72"/>
      <c r="S78" s="35"/>
      <c r="T78" s="66"/>
      <c r="U78" s="42"/>
      <c r="V78" s="42" t="s">
        <v>120</v>
      </c>
      <c r="W78" s="331">
        <v>45153.0</v>
      </c>
      <c r="X78" s="310">
        <v>429.0</v>
      </c>
      <c r="Y78" s="68">
        <v>300300.0</v>
      </c>
      <c r="Z78" s="42"/>
      <c r="AA78" s="331"/>
      <c r="AB78" s="332"/>
      <c r="AC78" s="64"/>
    </row>
    <row r="79">
      <c r="A79" s="48"/>
      <c r="B79" s="6"/>
      <c r="C79" s="6" t="s">
        <v>89</v>
      </c>
      <c r="D79" s="6"/>
      <c r="E79" s="6"/>
      <c r="F79" s="6"/>
      <c r="G79" s="69"/>
      <c r="H79" s="49">
        <f t="shared" ref="H79:I79" si="44">SUM(H76:H78)</f>
        <v>960985</v>
      </c>
      <c r="I79" s="50">
        <f t="shared" si="44"/>
        <v>0</v>
      </c>
      <c r="J79" s="8"/>
      <c r="K79" s="8"/>
      <c r="L79" s="8"/>
      <c r="M79" s="10"/>
      <c r="N79" s="10"/>
      <c r="O79" s="51">
        <f>(P79+T79+R79)/H79</f>
        <v>-0.006925186137</v>
      </c>
      <c r="P79" s="263">
        <v>-6655.0</v>
      </c>
      <c r="Q79" s="6"/>
      <c r="R79" s="49">
        <f>SUM(R76:R78)</f>
        <v>0</v>
      </c>
      <c r="S79" s="10"/>
      <c r="T79" s="11">
        <f>SUM(T76:T78)</f>
        <v>0</v>
      </c>
      <c r="U79" s="6"/>
      <c r="V79" s="6" t="s">
        <v>89</v>
      </c>
      <c r="W79" s="53"/>
      <c r="X79" s="54"/>
      <c r="Y79" s="49">
        <f>SUM(Y76:Y78)</f>
        <v>954330</v>
      </c>
      <c r="Z79" s="6" t="s">
        <v>89</v>
      </c>
      <c r="AA79" s="53"/>
      <c r="AB79" s="54"/>
      <c r="AC79" s="49">
        <f>SUM(AC76:AC78)</f>
        <v>319200</v>
      </c>
    </row>
    <row r="80">
      <c r="A80" s="48"/>
      <c r="B80" s="5" t="s">
        <v>406</v>
      </c>
      <c r="C80" s="6" t="s">
        <v>2</v>
      </c>
      <c r="D80" s="6" t="s">
        <v>150</v>
      </c>
      <c r="E80" s="6" t="s">
        <v>4</v>
      </c>
      <c r="F80" s="6" t="s">
        <v>5</v>
      </c>
      <c r="G80" s="6" t="s">
        <v>6</v>
      </c>
      <c r="H80" s="6" t="s">
        <v>7</v>
      </c>
      <c r="I80" s="7" t="s">
        <v>8</v>
      </c>
      <c r="J80" s="7" t="s">
        <v>9</v>
      </c>
      <c r="K80" s="8" t="s">
        <v>10</v>
      </c>
      <c r="L80" s="320" t="s">
        <v>475</v>
      </c>
      <c r="M80" s="9" t="s">
        <v>476</v>
      </c>
      <c r="N80" s="10" t="s">
        <v>13</v>
      </c>
      <c r="O80" s="6" t="s">
        <v>14</v>
      </c>
      <c r="P80" s="10" t="s">
        <v>15</v>
      </c>
      <c r="Q80" s="6" t="s">
        <v>16</v>
      </c>
      <c r="R80" s="6" t="s">
        <v>17</v>
      </c>
      <c r="S80" s="9" t="s">
        <v>477</v>
      </c>
      <c r="T80" s="5" t="s">
        <v>19</v>
      </c>
      <c r="U80" s="5" t="s">
        <v>91</v>
      </c>
      <c r="V80" s="6" t="s">
        <v>21</v>
      </c>
      <c r="W80" s="6" t="s">
        <v>22</v>
      </c>
      <c r="X80" s="12" t="s">
        <v>23</v>
      </c>
      <c r="Y80" s="12" t="s">
        <v>24</v>
      </c>
      <c r="Z80" s="6" t="s">
        <v>25</v>
      </c>
      <c r="AA80" s="6" t="s">
        <v>26</v>
      </c>
      <c r="AB80" s="6" t="s">
        <v>27</v>
      </c>
      <c r="AC80" s="6" t="s">
        <v>28</v>
      </c>
    </row>
    <row r="81">
      <c r="A81" s="56" t="s">
        <v>29</v>
      </c>
      <c r="B81" s="265">
        <f>I83/E120</f>
        <v>0.07505908964</v>
      </c>
      <c r="C81" s="58">
        <f>I81/E120</f>
        <v>0.04616526807</v>
      </c>
      <c r="D81" s="42" t="s">
        <v>381</v>
      </c>
      <c r="E81" s="42" t="s">
        <v>382</v>
      </c>
      <c r="F81" s="42">
        <v>7.5</v>
      </c>
      <c r="G81" s="60">
        <v>8000.0</v>
      </c>
      <c r="H81" s="72">
        <f t="shared" ref="H81:H82" si="45">G81*J81</f>
        <v>533840</v>
      </c>
      <c r="I81" s="73">
        <f t="shared" ref="I81:I82" si="46">H81+P81</f>
        <v>683440</v>
      </c>
      <c r="J81" s="74">
        <v>66.73</v>
      </c>
      <c r="K81" s="266">
        <f>IFERROR(__xludf.DUMMYFUNCTION("GOOGLEFINANCE(E81,""changepct"")"),-1.65)</f>
        <v>-1.65</v>
      </c>
      <c r="L81" s="75">
        <f>IFERROR(__xludf.DUMMYFUNCTION("googlefinance(E81,""price"")"),85.43)</f>
        <v>85.43</v>
      </c>
      <c r="M81" s="289"/>
      <c r="N81" s="75">
        <f t="shared" ref="N81:N82" si="47">L81-J81</f>
        <v>18.7</v>
      </c>
      <c r="O81" s="267">
        <f t="shared" ref="O81:O82" si="48">L81/J81-1</f>
        <v>0.2802337779</v>
      </c>
      <c r="P81" s="73">
        <f t="shared" ref="P81:P82" si="49">H81*O81</f>
        <v>149600</v>
      </c>
      <c r="Q81" s="58"/>
      <c r="R81" s="72"/>
      <c r="S81" s="61"/>
      <c r="T81" s="66">
        <v>1840.0</v>
      </c>
      <c r="U81" s="270"/>
      <c r="V81" s="42"/>
      <c r="W81" s="67"/>
      <c r="X81" s="39"/>
      <c r="Y81" s="66"/>
      <c r="Z81" s="42"/>
      <c r="AA81" s="67"/>
      <c r="AB81" s="39"/>
      <c r="AC81" s="66"/>
    </row>
    <row r="82">
      <c r="A82" s="63"/>
      <c r="B82" s="45"/>
      <c r="C82" s="58">
        <f>I82/E120</f>
        <v>0.02889382157</v>
      </c>
      <c r="D82" s="42" t="s">
        <v>456</v>
      </c>
      <c r="E82" s="42" t="s">
        <v>457</v>
      </c>
      <c r="F82" s="42">
        <v>7.7</v>
      </c>
      <c r="G82" s="60">
        <v>25000.0</v>
      </c>
      <c r="H82" s="72">
        <f t="shared" si="45"/>
        <v>231000</v>
      </c>
      <c r="I82" s="73">
        <f t="shared" si="46"/>
        <v>427750</v>
      </c>
      <c r="J82" s="74">
        <v>9.24</v>
      </c>
      <c r="K82" s="266">
        <f>IFERROR(__xludf.DUMMYFUNCTION("GOOGLEFINANCE(E82,""changepct"")"),-0.52)</f>
        <v>-0.52</v>
      </c>
      <c r="L82" s="75">
        <f>IFERROR(__xludf.DUMMYFUNCTION("googlefinance(E82,""price"")"),17.11)</f>
        <v>17.11</v>
      </c>
      <c r="M82" s="289"/>
      <c r="N82" s="75">
        <f t="shared" si="47"/>
        <v>7.87</v>
      </c>
      <c r="O82" s="267">
        <f t="shared" si="48"/>
        <v>0.8517316017</v>
      </c>
      <c r="P82" s="73">
        <f t="shared" si="49"/>
        <v>196750</v>
      </c>
      <c r="Q82" s="62">
        <v>0.09</v>
      </c>
      <c r="R82" s="66">
        <v>5250.0</v>
      </c>
      <c r="S82" s="333" t="s">
        <v>505</v>
      </c>
      <c r="T82" s="269">
        <v>26250.0</v>
      </c>
      <c r="U82" s="270"/>
      <c r="V82" s="45"/>
      <c r="W82" s="270"/>
      <c r="X82" s="28"/>
      <c r="Y82" s="28"/>
      <c r="Z82" s="42"/>
      <c r="AA82" s="67"/>
      <c r="AB82" s="39"/>
      <c r="AC82" s="66"/>
    </row>
    <row r="83">
      <c r="A83" s="48"/>
      <c r="B83" s="6"/>
      <c r="C83" s="5" t="s">
        <v>89</v>
      </c>
      <c r="D83" s="6"/>
      <c r="E83" s="6"/>
      <c r="F83" s="6"/>
      <c r="G83" s="6"/>
      <c r="H83" s="11">
        <f t="shared" ref="H83:I83" si="50">SUM(H81:H82)</f>
        <v>764840</v>
      </c>
      <c r="I83" s="70">
        <f t="shared" si="50"/>
        <v>1111190</v>
      </c>
      <c r="J83" s="7"/>
      <c r="K83" s="8"/>
      <c r="L83" s="8"/>
      <c r="M83" s="10"/>
      <c r="N83" s="10"/>
      <c r="O83" s="71">
        <f>(P83+T83+R83)/H83</f>
        <v>0.006772658334</v>
      </c>
      <c r="P83" s="9">
        <v>-28160.0</v>
      </c>
      <c r="Q83" s="6"/>
      <c r="R83" s="11">
        <f>SUM(R81:R82)</f>
        <v>5250</v>
      </c>
      <c r="S83" s="10"/>
      <c r="T83" s="11">
        <f>SUM(T81:T82)</f>
        <v>28090</v>
      </c>
      <c r="U83" s="6"/>
      <c r="V83" s="5" t="s">
        <v>89</v>
      </c>
      <c r="W83" s="6"/>
      <c r="X83" s="12"/>
      <c r="Y83" s="192">
        <f>SUM(Y81:Y82)</f>
        <v>0</v>
      </c>
      <c r="Z83" s="6"/>
      <c r="AA83" s="6"/>
      <c r="AB83" s="6"/>
      <c r="AC83" s="11">
        <f>SUM(AC81:AC82)</f>
        <v>0</v>
      </c>
    </row>
    <row r="84">
      <c r="A84" s="55"/>
      <c r="B84" s="6" t="s">
        <v>409</v>
      </c>
      <c r="C84" s="6" t="s">
        <v>2</v>
      </c>
      <c r="D84" s="6" t="s">
        <v>150</v>
      </c>
      <c r="E84" s="6" t="s">
        <v>4</v>
      </c>
      <c r="F84" s="6" t="s">
        <v>5</v>
      </c>
      <c r="G84" s="6" t="s">
        <v>6</v>
      </c>
      <c r="H84" s="6" t="s">
        <v>7</v>
      </c>
      <c r="I84" s="7" t="s">
        <v>8</v>
      </c>
      <c r="J84" s="7" t="s">
        <v>9</v>
      </c>
      <c r="K84" s="8" t="s">
        <v>10</v>
      </c>
      <c r="L84" s="320" t="s">
        <v>475</v>
      </c>
      <c r="M84" s="9" t="s">
        <v>476</v>
      </c>
      <c r="N84" s="10" t="s">
        <v>13</v>
      </c>
      <c r="O84" s="6" t="s">
        <v>14</v>
      </c>
      <c r="P84" s="10" t="s">
        <v>15</v>
      </c>
      <c r="Q84" s="6" t="s">
        <v>16</v>
      </c>
      <c r="R84" s="6" t="s">
        <v>17</v>
      </c>
      <c r="S84" s="9" t="s">
        <v>128</v>
      </c>
      <c r="T84" s="5" t="s">
        <v>19</v>
      </c>
      <c r="U84" s="5" t="s">
        <v>91</v>
      </c>
      <c r="V84" s="6" t="s">
        <v>21</v>
      </c>
      <c r="W84" s="6" t="s">
        <v>22</v>
      </c>
      <c r="X84" s="12" t="s">
        <v>23</v>
      </c>
      <c r="Y84" s="12" t="s">
        <v>24</v>
      </c>
      <c r="Z84" s="6" t="s">
        <v>25</v>
      </c>
      <c r="AA84" s="6" t="s">
        <v>26</v>
      </c>
      <c r="AB84" s="6" t="s">
        <v>27</v>
      </c>
      <c r="AC84" s="6" t="s">
        <v>28</v>
      </c>
    </row>
    <row r="85">
      <c r="A85" s="56" t="s">
        <v>29</v>
      </c>
      <c r="B85" s="57">
        <f>I96/E120</f>
        <v>0.2394590239</v>
      </c>
      <c r="C85" s="14">
        <f>I85/E120</f>
        <v>0.03073451506</v>
      </c>
      <c r="D85" s="16" t="s">
        <v>151</v>
      </c>
      <c r="E85" s="16" t="s">
        <v>152</v>
      </c>
      <c r="F85" s="17">
        <v>8.6</v>
      </c>
      <c r="G85" s="85">
        <v>250.0</v>
      </c>
      <c r="H85" s="19">
        <f t="shared" ref="H85:H95" si="51">G85*J85</f>
        <v>481750</v>
      </c>
      <c r="I85" s="19">
        <f t="shared" ref="I85:I88" si="52">H85+P85</f>
        <v>455000</v>
      </c>
      <c r="J85" s="21">
        <v>1927.0</v>
      </c>
      <c r="K85" s="86"/>
      <c r="L85" s="87">
        <v>1820.0</v>
      </c>
      <c r="M85" s="88"/>
      <c r="N85" s="88">
        <f t="shared" ref="N85:N95" si="53">L85-J85</f>
        <v>-107</v>
      </c>
      <c r="O85" s="25">
        <f t="shared" ref="O85:O88" si="54">L85/J85-1</f>
        <v>-0.05552672548</v>
      </c>
      <c r="P85" s="84">
        <f t="shared" ref="P85:P95" si="55">H85*O85</f>
        <v>-26750</v>
      </c>
      <c r="Q85" s="34"/>
      <c r="R85" s="29"/>
      <c r="S85" s="37"/>
      <c r="T85" s="16"/>
      <c r="U85" s="16"/>
      <c r="V85" s="16"/>
      <c r="W85" s="32"/>
      <c r="X85" s="31"/>
      <c r="Y85" s="29"/>
      <c r="Z85" s="16"/>
      <c r="AA85" s="32"/>
      <c r="AB85" s="31"/>
      <c r="AC85" s="29"/>
    </row>
    <row r="86">
      <c r="A86" s="89" t="s">
        <v>153</v>
      </c>
      <c r="B86" s="90">
        <f>I85+I86</f>
        <v>665000</v>
      </c>
      <c r="C86" s="14">
        <f>I86/E120</f>
        <v>0.0141851608</v>
      </c>
      <c r="D86" s="16" t="s">
        <v>154</v>
      </c>
      <c r="E86" s="16" t="s">
        <v>155</v>
      </c>
      <c r="F86" s="334">
        <v>8.5</v>
      </c>
      <c r="G86" s="85">
        <v>10000.0</v>
      </c>
      <c r="H86" s="19">
        <f t="shared" si="51"/>
        <v>230000</v>
      </c>
      <c r="I86" s="19">
        <f t="shared" si="52"/>
        <v>210000</v>
      </c>
      <c r="J86" s="21">
        <v>23.0</v>
      </c>
      <c r="K86" s="86"/>
      <c r="L86" s="91">
        <v>21.0</v>
      </c>
      <c r="M86" s="24"/>
      <c r="N86" s="24">
        <f t="shared" si="53"/>
        <v>-2</v>
      </c>
      <c r="O86" s="25">
        <f t="shared" si="54"/>
        <v>-0.08695652174</v>
      </c>
      <c r="P86" s="19">
        <f t="shared" si="55"/>
        <v>-20000</v>
      </c>
      <c r="Q86" s="34"/>
      <c r="R86" s="29"/>
      <c r="S86" s="37"/>
      <c r="T86" s="16"/>
      <c r="U86" s="16"/>
      <c r="V86" s="16"/>
      <c r="W86" s="32"/>
      <c r="X86" s="31"/>
      <c r="Y86" s="29"/>
      <c r="Z86" s="16"/>
      <c r="AA86" s="32"/>
      <c r="AB86" s="31"/>
      <c r="AC86" s="29"/>
    </row>
    <row r="87">
      <c r="A87" s="89" t="s">
        <v>156</v>
      </c>
      <c r="B87" s="92">
        <f>B86/E120</f>
        <v>0.04491967585</v>
      </c>
      <c r="C87" s="14">
        <f>I87/E120</f>
        <v>0.02281108953</v>
      </c>
      <c r="D87" s="15" t="s">
        <v>157</v>
      </c>
      <c r="E87" s="16" t="s">
        <v>158</v>
      </c>
      <c r="F87" s="17">
        <v>7.9</v>
      </c>
      <c r="G87" s="18">
        <v>10000.0</v>
      </c>
      <c r="H87" s="19">
        <f t="shared" si="51"/>
        <v>301100</v>
      </c>
      <c r="I87" s="19">
        <f t="shared" si="52"/>
        <v>337700</v>
      </c>
      <c r="J87" s="21">
        <v>30.11</v>
      </c>
      <c r="K87" s="93">
        <f>IFERROR(__xludf.DUMMYFUNCTION("GOOGLEFINANCE(E87,""changepct"")"),-1.43)</f>
        <v>-1.43</v>
      </c>
      <c r="L87" s="23">
        <f>IFERROR(__xludf.DUMMYFUNCTION("googlefinance(E87,""price"")"),33.77)</f>
        <v>33.77</v>
      </c>
      <c r="M87" s="24"/>
      <c r="N87" s="24">
        <f t="shared" si="53"/>
        <v>3.66</v>
      </c>
      <c r="O87" s="25">
        <f t="shared" si="54"/>
        <v>0.1215543009</v>
      </c>
      <c r="P87" s="19">
        <f t="shared" si="55"/>
        <v>36600</v>
      </c>
      <c r="Q87" s="47">
        <v>0.016</v>
      </c>
      <c r="R87" s="20"/>
      <c r="S87" s="31"/>
      <c r="T87" s="16"/>
      <c r="U87" s="16"/>
      <c r="V87" s="16"/>
      <c r="W87" s="30"/>
      <c r="X87" s="31"/>
      <c r="Y87" s="29"/>
      <c r="Z87" s="16"/>
      <c r="AA87" s="32"/>
      <c r="AB87" s="31"/>
      <c r="AC87" s="29"/>
    </row>
    <row r="88">
      <c r="A88" s="89" t="s">
        <v>159</v>
      </c>
      <c r="B88" s="90">
        <f>I88+I94+I87+I89+I95+I92+I91+I90+I93</f>
        <v>2880000</v>
      </c>
      <c r="C88" s="14">
        <f>I88/E120</f>
        <v>0.01429323821</v>
      </c>
      <c r="D88" s="16" t="s">
        <v>160</v>
      </c>
      <c r="E88" s="16" t="s">
        <v>161</v>
      </c>
      <c r="F88" s="334">
        <v>8.0</v>
      </c>
      <c r="G88" s="18">
        <v>5000.0</v>
      </c>
      <c r="H88" s="19">
        <f t="shared" si="51"/>
        <v>178300</v>
      </c>
      <c r="I88" s="19">
        <f t="shared" si="52"/>
        <v>211600</v>
      </c>
      <c r="J88" s="21">
        <v>35.66</v>
      </c>
      <c r="K88" s="93">
        <f>IFERROR(__xludf.DUMMYFUNCTION("GOOGLEFINANCE(E88,""changepct"")"),-1.7)</f>
        <v>-1.7</v>
      </c>
      <c r="L88" s="23">
        <f>IFERROR(__xludf.DUMMYFUNCTION("googlefinance(E88,""price"")"),42.32)</f>
        <v>42.32</v>
      </c>
      <c r="M88" s="24"/>
      <c r="N88" s="24">
        <f t="shared" si="53"/>
        <v>6.66</v>
      </c>
      <c r="O88" s="25">
        <f t="shared" si="54"/>
        <v>0.1867638811</v>
      </c>
      <c r="P88" s="19">
        <f t="shared" si="55"/>
        <v>33300</v>
      </c>
      <c r="Q88" s="47">
        <v>0.005</v>
      </c>
      <c r="R88" s="20"/>
      <c r="S88" s="31"/>
      <c r="T88" s="16"/>
      <c r="U88" s="16"/>
      <c r="V88" s="16"/>
      <c r="W88" s="30"/>
      <c r="X88" s="31"/>
      <c r="Y88" s="29"/>
      <c r="Z88" s="16"/>
      <c r="AA88" s="32"/>
      <c r="AB88" s="31"/>
      <c r="AC88" s="29"/>
    </row>
    <row r="89">
      <c r="A89" s="89" t="s">
        <v>162</v>
      </c>
      <c r="B89" s="92">
        <f>B88/E120</f>
        <v>0.194539348</v>
      </c>
      <c r="C89" s="14">
        <f>I89/E120</f>
        <v>0</v>
      </c>
      <c r="D89" s="16" t="s">
        <v>506</v>
      </c>
      <c r="E89" s="16" t="s">
        <v>169</v>
      </c>
      <c r="F89" s="334">
        <v>8.0</v>
      </c>
      <c r="G89" s="18">
        <v>5000.0</v>
      </c>
      <c r="H89" s="19">
        <f t="shared" si="51"/>
        <v>213300</v>
      </c>
      <c r="I89" s="20">
        <v>0.0</v>
      </c>
      <c r="J89" s="21">
        <v>42.66</v>
      </c>
      <c r="K89" s="93">
        <f>IFERROR(__xludf.DUMMYFUNCTION("GOOGLEFINANCE(E89,""changepct"")"),-2.22)</f>
        <v>-2.22</v>
      </c>
      <c r="L89" s="23">
        <f>IFERROR(__xludf.DUMMYFUNCTION("googlefinance(E89,""price"")"),37.0)</f>
        <v>37</v>
      </c>
      <c r="M89" s="21">
        <v>38.26</v>
      </c>
      <c r="N89" s="24">
        <f t="shared" si="53"/>
        <v>-5.66</v>
      </c>
      <c r="O89" s="25">
        <f>M89/J89-1</f>
        <v>-0.1031411158</v>
      </c>
      <c r="P89" s="19">
        <f t="shared" si="55"/>
        <v>-22000</v>
      </c>
      <c r="Q89" s="47">
        <v>0.0375</v>
      </c>
      <c r="R89" s="20"/>
      <c r="S89" s="31"/>
      <c r="T89" s="16"/>
      <c r="U89" s="16"/>
      <c r="V89" s="15" t="s">
        <v>169</v>
      </c>
      <c r="W89" s="36">
        <v>45159.0</v>
      </c>
      <c r="X89" s="37">
        <v>38.26</v>
      </c>
      <c r="Y89" s="27">
        <v>191300.0</v>
      </c>
      <c r="Z89" s="16"/>
      <c r="AA89" s="32"/>
      <c r="AB89" s="31"/>
      <c r="AC89" s="29"/>
    </row>
    <row r="90">
      <c r="A90" s="38"/>
      <c r="B90" s="32"/>
      <c r="C90" s="14">
        <f>I90/E120</f>
        <v>0.05258641752</v>
      </c>
      <c r="D90" s="15" t="s">
        <v>163</v>
      </c>
      <c r="E90" s="16" t="s">
        <v>164</v>
      </c>
      <c r="F90" s="17">
        <v>8.1</v>
      </c>
      <c r="G90" s="18">
        <v>10000.0</v>
      </c>
      <c r="H90" s="19">
        <f t="shared" si="51"/>
        <v>499800</v>
      </c>
      <c r="I90" s="19">
        <f t="shared" ref="I90:I93" si="56">H90+P90</f>
        <v>778500</v>
      </c>
      <c r="J90" s="21">
        <v>49.98</v>
      </c>
      <c r="K90" s="93">
        <f>IFERROR(__xludf.DUMMYFUNCTION("GOOGLEFINANCE(E90,""changepct"")"),-1.02)</f>
        <v>-1.02</v>
      </c>
      <c r="L90" s="23">
        <f>IFERROR(__xludf.DUMMYFUNCTION("googlefinance(E90,""price"")"),77.85)</f>
        <v>77.85</v>
      </c>
      <c r="M90" s="24"/>
      <c r="N90" s="24">
        <f t="shared" si="53"/>
        <v>27.87</v>
      </c>
      <c r="O90" s="25">
        <f t="shared" ref="O90:O93" si="57">L90/J90-1</f>
        <v>0.5576230492</v>
      </c>
      <c r="P90" s="19">
        <f t="shared" si="55"/>
        <v>278700</v>
      </c>
      <c r="Q90" s="47">
        <v>0.032</v>
      </c>
      <c r="R90" s="20"/>
      <c r="S90" s="31"/>
      <c r="T90" s="16"/>
      <c r="U90" s="16"/>
      <c r="V90" s="16"/>
      <c r="W90" s="32"/>
      <c r="X90" s="31"/>
      <c r="Y90" s="29"/>
      <c r="Z90" s="15"/>
      <c r="AA90" s="36"/>
      <c r="AB90" s="37"/>
      <c r="AC90" s="27"/>
    </row>
    <row r="91">
      <c r="A91" s="38"/>
      <c r="B91" s="32"/>
      <c r="C91" s="14">
        <f>I91/E120</f>
        <v>0.0309709344</v>
      </c>
      <c r="D91" s="16" t="s">
        <v>166</v>
      </c>
      <c r="E91" s="16" t="s">
        <v>167</v>
      </c>
      <c r="F91" s="17">
        <v>7.8</v>
      </c>
      <c r="G91" s="18">
        <v>50000.0</v>
      </c>
      <c r="H91" s="19">
        <f t="shared" si="51"/>
        <v>238500</v>
      </c>
      <c r="I91" s="19">
        <f t="shared" si="56"/>
        <v>458500</v>
      </c>
      <c r="J91" s="21">
        <v>4.77</v>
      </c>
      <c r="K91" s="93">
        <f>IFERROR(__xludf.DUMMYFUNCTION("GOOGLEFINANCE(E91,""changepct"")"),-1.5)</f>
        <v>-1.5</v>
      </c>
      <c r="L91" s="23">
        <f>IFERROR(__xludf.DUMMYFUNCTION("googlefinance(E91,""price"")"),9.17)</f>
        <v>9.17</v>
      </c>
      <c r="M91" s="24"/>
      <c r="N91" s="24">
        <f t="shared" si="53"/>
        <v>4.4</v>
      </c>
      <c r="O91" s="25">
        <f t="shared" si="57"/>
        <v>0.9224318658</v>
      </c>
      <c r="P91" s="19">
        <f t="shared" si="55"/>
        <v>220000</v>
      </c>
      <c r="Q91" s="47">
        <v>0.025</v>
      </c>
      <c r="R91" s="20"/>
      <c r="S91" s="31"/>
      <c r="T91" s="16"/>
      <c r="U91" s="16"/>
      <c r="V91" s="16"/>
      <c r="W91" s="32"/>
      <c r="X91" s="31"/>
      <c r="Y91" s="29"/>
      <c r="Z91" s="15"/>
      <c r="AA91" s="36"/>
      <c r="AB91" s="37"/>
      <c r="AC91" s="27"/>
    </row>
    <row r="92">
      <c r="A92" s="38"/>
      <c r="B92" s="32"/>
      <c r="C92" s="14">
        <f>I92/E120</f>
        <v>0.02088596056</v>
      </c>
      <c r="D92" s="15" t="s">
        <v>321</v>
      </c>
      <c r="E92" s="16" t="s">
        <v>172</v>
      </c>
      <c r="F92" s="17">
        <v>8.1</v>
      </c>
      <c r="G92" s="18">
        <v>20000.0</v>
      </c>
      <c r="H92" s="19">
        <f t="shared" si="51"/>
        <v>338600</v>
      </c>
      <c r="I92" s="19">
        <f t="shared" si="56"/>
        <v>309200</v>
      </c>
      <c r="J92" s="21">
        <v>16.93</v>
      </c>
      <c r="K92" s="93">
        <f>IFERROR(__xludf.DUMMYFUNCTION("GOOGLEFINANCE(E92,""changepct"")"),-1.4)</f>
        <v>-1.4</v>
      </c>
      <c r="L92" s="23">
        <f>IFERROR(__xludf.DUMMYFUNCTION("googlefinance(E92,""price"")"),15.46)</f>
        <v>15.46</v>
      </c>
      <c r="M92" s="24"/>
      <c r="N92" s="24">
        <f t="shared" si="53"/>
        <v>-1.47</v>
      </c>
      <c r="O92" s="25">
        <f t="shared" si="57"/>
        <v>-0.08682811577</v>
      </c>
      <c r="P92" s="19">
        <f t="shared" si="55"/>
        <v>-29400</v>
      </c>
      <c r="Q92" s="47">
        <v>0.024</v>
      </c>
      <c r="R92" s="20"/>
      <c r="S92" s="31"/>
      <c r="T92" s="16"/>
      <c r="U92" s="16"/>
      <c r="V92" s="16"/>
      <c r="W92" s="30"/>
      <c r="X92" s="31"/>
      <c r="Y92" s="29"/>
      <c r="Z92" s="15"/>
      <c r="AA92" s="41"/>
      <c r="AB92" s="21"/>
      <c r="AC92" s="20"/>
    </row>
    <row r="93">
      <c r="A93" s="38"/>
      <c r="B93" s="32"/>
      <c r="C93" s="14">
        <f>I93/E120</f>
        <v>0.03367286979</v>
      </c>
      <c r="D93" s="16" t="s">
        <v>357</v>
      </c>
      <c r="E93" s="16" t="s">
        <v>174</v>
      </c>
      <c r="F93" s="17">
        <v>7.7</v>
      </c>
      <c r="G93" s="18">
        <v>25000.0</v>
      </c>
      <c r="H93" s="19">
        <f t="shared" si="51"/>
        <v>364500</v>
      </c>
      <c r="I93" s="19">
        <f t="shared" si="56"/>
        <v>498500</v>
      </c>
      <c r="J93" s="21">
        <v>14.58</v>
      </c>
      <c r="K93" s="93">
        <f>IFERROR(__xludf.DUMMYFUNCTION("GOOGLEFINANCE(E93,""changepct"")"),-3.11)</f>
        <v>-3.11</v>
      </c>
      <c r="L93" s="23">
        <f>IFERROR(__xludf.DUMMYFUNCTION("googlefinance(E93,""price"")"),19.94)</f>
        <v>19.94</v>
      </c>
      <c r="M93" s="24"/>
      <c r="N93" s="24">
        <f t="shared" si="53"/>
        <v>5.36</v>
      </c>
      <c r="O93" s="25">
        <f t="shared" si="57"/>
        <v>0.3676268861</v>
      </c>
      <c r="P93" s="19">
        <f t="shared" si="55"/>
        <v>134000</v>
      </c>
      <c r="Q93" s="47">
        <v>0.02</v>
      </c>
      <c r="R93" s="20"/>
      <c r="S93" s="31"/>
      <c r="T93" s="16"/>
      <c r="U93" s="16"/>
      <c r="V93" s="16"/>
      <c r="W93" s="30"/>
      <c r="X93" s="31"/>
      <c r="Y93" s="29"/>
      <c r="Z93" s="15"/>
      <c r="AA93" s="41"/>
      <c r="AB93" s="21"/>
      <c r="AC93" s="20"/>
    </row>
    <row r="94">
      <c r="A94" s="38"/>
      <c r="B94" s="32"/>
      <c r="C94" s="14">
        <f>I94/E120</f>
        <v>0</v>
      </c>
      <c r="D94" s="16" t="s">
        <v>507</v>
      </c>
      <c r="E94" s="16" t="s">
        <v>508</v>
      </c>
      <c r="F94" s="17">
        <v>7.8</v>
      </c>
      <c r="G94" s="85">
        <v>15000.0</v>
      </c>
      <c r="H94" s="19">
        <f t="shared" si="51"/>
        <v>140700</v>
      </c>
      <c r="I94" s="20">
        <v>0.0</v>
      </c>
      <c r="J94" s="21">
        <v>9.38</v>
      </c>
      <c r="K94" s="93">
        <f>IFERROR(__xludf.DUMMYFUNCTION("GOOGLEFINANCE(E94,""changepct"")"),-2.77)</f>
        <v>-2.77</v>
      </c>
      <c r="L94" s="23">
        <f>IFERROR(__xludf.DUMMYFUNCTION("googlefinance(E94,""price"")"),9.81)</f>
        <v>9.81</v>
      </c>
      <c r="M94" s="21">
        <v>8.99</v>
      </c>
      <c r="N94" s="24">
        <f t="shared" si="53"/>
        <v>0.43</v>
      </c>
      <c r="O94" s="25">
        <f>M94/J94-1</f>
        <v>-0.04157782516</v>
      </c>
      <c r="P94" s="19">
        <f t="shared" si="55"/>
        <v>-5850</v>
      </c>
      <c r="Q94" s="14"/>
      <c r="R94" s="19"/>
      <c r="S94" s="31"/>
      <c r="T94" s="16"/>
      <c r="U94" s="16"/>
      <c r="V94" s="15" t="s">
        <v>508</v>
      </c>
      <c r="W94" s="36">
        <v>45159.0</v>
      </c>
      <c r="X94" s="37">
        <v>8.99</v>
      </c>
      <c r="Y94" s="27">
        <v>134850.0</v>
      </c>
      <c r="Z94" s="16"/>
      <c r="AA94" s="30"/>
      <c r="AB94" s="31"/>
      <c r="AC94" s="29"/>
    </row>
    <row r="95">
      <c r="A95" s="38"/>
      <c r="B95" s="32"/>
      <c r="C95" s="14">
        <f>I95/E120</f>
        <v>0.01931883804</v>
      </c>
      <c r="D95" s="95" t="s">
        <v>179</v>
      </c>
      <c r="E95" s="16" t="s">
        <v>180</v>
      </c>
      <c r="F95" s="334">
        <v>8.0</v>
      </c>
      <c r="G95" s="18">
        <v>25000.0</v>
      </c>
      <c r="H95" s="19">
        <f t="shared" si="51"/>
        <v>241250</v>
      </c>
      <c r="I95" s="19">
        <f>H95+P95</f>
        <v>286000</v>
      </c>
      <c r="J95" s="21">
        <v>9.65</v>
      </c>
      <c r="K95" s="93">
        <f>IFERROR(__xludf.DUMMYFUNCTION("GOOGLEFINANCE(E95,""changepct"")"),-2.8)</f>
        <v>-2.8</v>
      </c>
      <c r="L95" s="23">
        <f>IFERROR(__xludf.DUMMYFUNCTION("googlefinance(E95,""price"")"),11.44)</f>
        <v>11.44</v>
      </c>
      <c r="M95" s="24"/>
      <c r="N95" s="24">
        <f t="shared" si="53"/>
        <v>1.79</v>
      </c>
      <c r="O95" s="25">
        <f>L95/J95-1</f>
        <v>0.185492228</v>
      </c>
      <c r="P95" s="19">
        <f t="shared" si="55"/>
        <v>44750</v>
      </c>
      <c r="Q95" s="47">
        <v>0.005</v>
      </c>
      <c r="R95" s="20"/>
      <c r="S95" s="31"/>
      <c r="T95" s="16"/>
      <c r="U95" s="16"/>
      <c r="V95" s="16"/>
      <c r="W95" s="30"/>
      <c r="X95" s="31"/>
      <c r="Y95" s="29"/>
      <c r="Z95" s="16"/>
      <c r="AA95" s="94"/>
      <c r="AB95" s="24"/>
      <c r="AC95" s="19"/>
    </row>
    <row r="96">
      <c r="A96" s="55"/>
      <c r="B96" s="53"/>
      <c r="C96" s="6" t="s">
        <v>89</v>
      </c>
      <c r="D96" s="6"/>
      <c r="E96" s="6"/>
      <c r="F96" s="6"/>
      <c r="G96" s="11"/>
      <c r="H96" s="49">
        <f t="shared" ref="H96:I96" si="58">SUM(H85:H95)</f>
        <v>3227800</v>
      </c>
      <c r="I96" s="50">
        <f t="shared" si="58"/>
        <v>3545000</v>
      </c>
      <c r="J96" s="8"/>
      <c r="K96" s="8"/>
      <c r="L96" s="10"/>
      <c r="M96" s="10"/>
      <c r="N96" s="10"/>
      <c r="O96" s="51">
        <f>(P96+R96)/D117</f>
        <v>0.1993153231</v>
      </c>
      <c r="P96" s="263">
        <f>SUM(P85:P95)</f>
        <v>643350</v>
      </c>
      <c r="Q96" s="6"/>
      <c r="R96" s="49">
        <f>SUM(R85:R95)</f>
        <v>0</v>
      </c>
      <c r="S96" s="10"/>
      <c r="T96" s="6"/>
      <c r="U96" s="5"/>
      <c r="V96" s="6" t="s">
        <v>89</v>
      </c>
      <c r="W96" s="53"/>
      <c r="X96" s="54"/>
      <c r="Y96" s="49">
        <f>SUM(Y85:Y95)</f>
        <v>326150</v>
      </c>
      <c r="Z96" s="6" t="s">
        <v>89</v>
      </c>
      <c r="AA96" s="53"/>
      <c r="AB96" s="53"/>
      <c r="AC96" s="49">
        <f>SUM(AC85:AC95)</f>
        <v>0</v>
      </c>
    </row>
    <row r="97">
      <c r="A97" s="55"/>
      <c r="B97" s="6" t="s">
        <v>181</v>
      </c>
      <c r="C97" s="6" t="s">
        <v>2</v>
      </c>
      <c r="D97" s="6" t="s">
        <v>182</v>
      </c>
      <c r="E97" s="6" t="s">
        <v>4</v>
      </c>
      <c r="F97" s="6" t="s">
        <v>5</v>
      </c>
      <c r="G97" s="5" t="s">
        <v>458</v>
      </c>
      <c r="H97" s="6" t="s">
        <v>7</v>
      </c>
      <c r="I97" s="7" t="s">
        <v>8</v>
      </c>
      <c r="J97" s="7" t="s">
        <v>9</v>
      </c>
      <c r="K97" s="8" t="s">
        <v>10</v>
      </c>
      <c r="L97" s="320" t="s">
        <v>475</v>
      </c>
      <c r="M97" s="9" t="s">
        <v>476</v>
      </c>
      <c r="N97" s="10" t="s">
        <v>13</v>
      </c>
      <c r="O97" s="6" t="s">
        <v>14</v>
      </c>
      <c r="P97" s="10" t="s">
        <v>15</v>
      </c>
      <c r="Q97" s="6" t="s">
        <v>16</v>
      </c>
      <c r="R97" s="6" t="s">
        <v>17</v>
      </c>
      <c r="S97" s="9" t="s">
        <v>459</v>
      </c>
      <c r="T97" s="5" t="s">
        <v>128</v>
      </c>
      <c r="U97" s="5" t="s">
        <v>128</v>
      </c>
      <c r="V97" s="6" t="s">
        <v>21</v>
      </c>
      <c r="W97" s="6" t="s">
        <v>22</v>
      </c>
      <c r="X97" s="12" t="s">
        <v>23</v>
      </c>
      <c r="Y97" s="12" t="s">
        <v>24</v>
      </c>
      <c r="Z97" s="6" t="s">
        <v>25</v>
      </c>
      <c r="AA97" s="6" t="s">
        <v>26</v>
      </c>
      <c r="AB97" s="6" t="s">
        <v>27</v>
      </c>
      <c r="AC97" s="6" t="s">
        <v>28</v>
      </c>
    </row>
    <row r="98">
      <c r="A98" s="56" t="s">
        <v>29</v>
      </c>
      <c r="B98" s="57">
        <f>I114/E120</f>
        <v>0.05214498883</v>
      </c>
      <c r="C98" s="14">
        <f>I98/E120</f>
        <v>0.009122747101</v>
      </c>
      <c r="D98" s="293" t="s">
        <v>413</v>
      </c>
      <c r="E98" s="16" t="s">
        <v>185</v>
      </c>
      <c r="F98" s="17">
        <v>7.6</v>
      </c>
      <c r="G98" s="97">
        <v>5.0</v>
      </c>
      <c r="H98" s="19">
        <f t="shared" ref="H98:H113" si="59">G98*J98</f>
        <v>152000</v>
      </c>
      <c r="I98" s="20">
        <f>H98+P98</f>
        <v>135055</v>
      </c>
      <c r="J98" s="20">
        <v>30400.0</v>
      </c>
      <c r="K98" s="98"/>
      <c r="L98" s="99">
        <v>27011.0</v>
      </c>
      <c r="M98" s="100"/>
      <c r="N98" s="100">
        <f t="shared" ref="N98:N113" si="60">L98-J98</f>
        <v>-3389</v>
      </c>
      <c r="O98" s="101">
        <f>L98/J98-1</f>
        <v>-0.1114802632</v>
      </c>
      <c r="P98" s="102">
        <f t="shared" ref="P98:P113" si="61">H98*O98</f>
        <v>-16945</v>
      </c>
      <c r="Q98" s="32"/>
      <c r="R98" s="32"/>
      <c r="S98" s="103"/>
      <c r="T98" s="15"/>
      <c r="U98" s="15"/>
      <c r="V98" s="15"/>
      <c r="W98" s="41"/>
      <c r="X98" s="20"/>
      <c r="Y98" s="20"/>
      <c r="Z98" s="104"/>
      <c r="AA98" s="105"/>
      <c r="AB98" s="106"/>
      <c r="AC98" s="106"/>
    </row>
    <row r="99">
      <c r="A99" s="38"/>
      <c r="B99" s="32"/>
      <c r="C99" s="14">
        <f>I99/E120</f>
        <v>0</v>
      </c>
      <c r="D99" s="293" t="s">
        <v>413</v>
      </c>
      <c r="E99" s="16" t="s">
        <v>185</v>
      </c>
      <c r="F99" s="17">
        <v>7.6</v>
      </c>
      <c r="G99" s="97">
        <v>5.0</v>
      </c>
      <c r="H99" s="19">
        <f t="shared" si="59"/>
        <v>130170</v>
      </c>
      <c r="I99" s="20">
        <v>0.0</v>
      </c>
      <c r="J99" s="27">
        <v>26034.0</v>
      </c>
      <c r="K99" s="98"/>
      <c r="L99" s="99">
        <v>27011.0</v>
      </c>
      <c r="M99" s="103">
        <v>27025.0</v>
      </c>
      <c r="N99" s="100">
        <f t="shared" si="60"/>
        <v>977</v>
      </c>
      <c r="O99" s="101">
        <f t="shared" ref="O99:O100" si="62">M99/J99-1</f>
        <v>0.03806560651</v>
      </c>
      <c r="P99" s="102">
        <f t="shared" si="61"/>
        <v>4955</v>
      </c>
      <c r="Q99" s="32"/>
      <c r="R99" s="32"/>
      <c r="S99" s="27"/>
      <c r="T99" s="15"/>
      <c r="U99" s="15"/>
      <c r="V99" s="15" t="s">
        <v>186</v>
      </c>
      <c r="W99" s="36">
        <v>45190.0</v>
      </c>
      <c r="X99" s="27">
        <v>27025.0</v>
      </c>
      <c r="Y99" s="27">
        <v>135125.0</v>
      </c>
      <c r="Z99" s="104" t="s">
        <v>186</v>
      </c>
      <c r="AA99" s="108">
        <v>45159.0</v>
      </c>
      <c r="AB99" s="217">
        <v>26034.0</v>
      </c>
      <c r="AC99" s="27">
        <v>130170.0</v>
      </c>
    </row>
    <row r="100">
      <c r="A100" s="38"/>
      <c r="B100" s="32"/>
      <c r="C100" s="14">
        <f>I100/E120</f>
        <v>0</v>
      </c>
      <c r="D100" s="16" t="s">
        <v>414</v>
      </c>
      <c r="E100" s="45" t="s">
        <v>188</v>
      </c>
      <c r="F100" s="17">
        <v>7.7</v>
      </c>
      <c r="G100" s="97">
        <v>50.0</v>
      </c>
      <c r="H100" s="19">
        <f t="shared" si="59"/>
        <v>96550</v>
      </c>
      <c r="I100" s="20">
        <v>0.0</v>
      </c>
      <c r="J100" s="27">
        <v>1931.0</v>
      </c>
      <c r="K100" s="98"/>
      <c r="L100" s="99">
        <v>1678.0</v>
      </c>
      <c r="M100" s="103">
        <v>1619.0</v>
      </c>
      <c r="N100" s="100">
        <f t="shared" si="60"/>
        <v>-253</v>
      </c>
      <c r="O100" s="101">
        <f t="shared" si="62"/>
        <v>-0.1615743138</v>
      </c>
      <c r="P100" s="102">
        <f t="shared" si="61"/>
        <v>-15600</v>
      </c>
      <c r="Q100" s="32"/>
      <c r="R100" s="32"/>
      <c r="S100" s="27"/>
      <c r="T100" s="15"/>
      <c r="U100" s="15"/>
      <c r="V100" s="15" t="s">
        <v>189</v>
      </c>
      <c r="W100" s="36">
        <v>45190.0</v>
      </c>
      <c r="X100" s="27">
        <v>1619.0</v>
      </c>
      <c r="Y100" s="27">
        <v>80950.0</v>
      </c>
      <c r="Z100" s="104" t="s">
        <v>189</v>
      </c>
      <c r="AA100" s="108">
        <v>45120.0</v>
      </c>
      <c r="AB100" s="217">
        <v>1931.0</v>
      </c>
      <c r="AC100" s="27">
        <v>96550.0</v>
      </c>
    </row>
    <row r="101">
      <c r="A101" s="38"/>
      <c r="B101" s="32"/>
      <c r="C101" s="14">
        <f>I101/E120</f>
        <v>0.01133461896</v>
      </c>
      <c r="D101" s="16" t="s">
        <v>414</v>
      </c>
      <c r="E101" s="45" t="s">
        <v>188</v>
      </c>
      <c r="F101" s="17">
        <v>7.7</v>
      </c>
      <c r="G101" s="97">
        <v>100.0</v>
      </c>
      <c r="H101" s="19">
        <f t="shared" si="59"/>
        <v>191500</v>
      </c>
      <c r="I101" s="20">
        <f>H101+P101</f>
        <v>167800</v>
      </c>
      <c r="J101" s="27">
        <v>1915.0</v>
      </c>
      <c r="K101" s="98"/>
      <c r="L101" s="99">
        <v>1678.0</v>
      </c>
      <c r="M101" s="100"/>
      <c r="N101" s="100">
        <f t="shared" si="60"/>
        <v>-237</v>
      </c>
      <c r="O101" s="101">
        <f>L101/J101-1</f>
        <v>-0.1237597911</v>
      </c>
      <c r="P101" s="102">
        <f t="shared" si="61"/>
        <v>-23700</v>
      </c>
      <c r="Q101" s="32"/>
      <c r="R101" s="32"/>
      <c r="S101" s="27"/>
      <c r="T101" s="15"/>
      <c r="U101" s="15"/>
      <c r="V101" s="15"/>
      <c r="W101" s="36"/>
      <c r="X101" s="27"/>
      <c r="Y101" s="27"/>
      <c r="Z101" s="104"/>
      <c r="AA101" s="108"/>
      <c r="AB101" s="109"/>
      <c r="AC101" s="20"/>
    </row>
    <row r="102">
      <c r="A102" s="38"/>
      <c r="B102" s="32"/>
      <c r="C102" s="14">
        <f>I102/E120</f>
        <v>0</v>
      </c>
      <c r="D102" s="15" t="s">
        <v>203</v>
      </c>
      <c r="E102" s="42" t="s">
        <v>204</v>
      </c>
      <c r="F102" s="17">
        <v>7.5</v>
      </c>
      <c r="G102" s="97">
        <v>2000.0</v>
      </c>
      <c r="H102" s="19">
        <f t="shared" si="59"/>
        <v>131500</v>
      </c>
      <c r="I102" s="20">
        <v>0.0</v>
      </c>
      <c r="J102" s="21">
        <v>65.75</v>
      </c>
      <c r="K102" s="98"/>
      <c r="L102" s="122">
        <v>66.39</v>
      </c>
      <c r="M102" s="283">
        <v>64.25</v>
      </c>
      <c r="N102" s="100">
        <f t="shared" si="60"/>
        <v>0.64</v>
      </c>
      <c r="O102" s="101">
        <f>M102/J102-1</f>
        <v>-0.02281368821</v>
      </c>
      <c r="P102" s="102">
        <f t="shared" si="61"/>
        <v>-3000</v>
      </c>
      <c r="Q102" s="32"/>
      <c r="R102" s="32"/>
      <c r="S102" s="292"/>
      <c r="T102" s="15"/>
      <c r="U102" s="15"/>
      <c r="V102" s="15" t="s">
        <v>205</v>
      </c>
      <c r="W102" s="41">
        <v>45190.0</v>
      </c>
      <c r="X102" s="21">
        <v>64.25</v>
      </c>
      <c r="Y102" s="20">
        <v>128500.0</v>
      </c>
      <c r="Z102" s="104" t="s">
        <v>205</v>
      </c>
      <c r="AA102" s="105">
        <v>45159.0</v>
      </c>
      <c r="AB102" s="109">
        <v>65.75</v>
      </c>
      <c r="AC102" s="20">
        <v>131500.0</v>
      </c>
    </row>
    <row r="103">
      <c r="A103" s="38"/>
      <c r="B103" s="32"/>
      <c r="C103" s="14">
        <f>I103/E120</f>
        <v>0.01050309834</v>
      </c>
      <c r="D103" s="15" t="s">
        <v>200</v>
      </c>
      <c r="E103" s="42" t="s">
        <v>201</v>
      </c>
      <c r="F103" s="17">
        <v>7.4</v>
      </c>
      <c r="G103" s="97">
        <v>300000.0</v>
      </c>
      <c r="H103" s="19">
        <f t="shared" si="59"/>
        <v>151620</v>
      </c>
      <c r="I103" s="20">
        <f>P103+H103</f>
        <v>155490</v>
      </c>
      <c r="J103" s="111">
        <v>0.5054</v>
      </c>
      <c r="K103" s="98"/>
      <c r="L103" s="295">
        <v>0.5183</v>
      </c>
      <c r="M103" s="296"/>
      <c r="N103" s="100">
        <f t="shared" si="60"/>
        <v>0.0129</v>
      </c>
      <c r="O103" s="101">
        <f>L103/J103-1</f>
        <v>0.02552433716</v>
      </c>
      <c r="P103" s="102">
        <f t="shared" si="61"/>
        <v>3870</v>
      </c>
      <c r="Q103" s="32"/>
      <c r="R103" s="32"/>
      <c r="S103" s="292"/>
      <c r="T103" s="15"/>
      <c r="U103" s="15"/>
      <c r="V103" s="15"/>
      <c r="W103" s="41"/>
      <c r="X103" s="297"/>
      <c r="Y103" s="20"/>
      <c r="Z103" s="104" t="s">
        <v>202</v>
      </c>
      <c r="AA103" s="105">
        <v>45196.0</v>
      </c>
      <c r="AB103" s="110">
        <v>0.5054</v>
      </c>
      <c r="AC103" s="20">
        <v>151620.0</v>
      </c>
    </row>
    <row r="104">
      <c r="A104" s="38"/>
      <c r="B104" s="32"/>
      <c r="C104" s="14">
        <f>I104/E120</f>
        <v>0</v>
      </c>
      <c r="D104" s="15" t="s">
        <v>200</v>
      </c>
      <c r="E104" s="42" t="s">
        <v>201</v>
      </c>
      <c r="F104" s="17">
        <v>7.4</v>
      </c>
      <c r="G104" s="97">
        <v>300000.0</v>
      </c>
      <c r="H104" s="19">
        <f t="shared" si="59"/>
        <v>154500</v>
      </c>
      <c r="I104" s="20">
        <v>0.0</v>
      </c>
      <c r="J104" s="111">
        <v>0.515</v>
      </c>
      <c r="K104" s="98"/>
      <c r="L104" s="295">
        <v>0.5183</v>
      </c>
      <c r="M104" s="296">
        <v>0.5044</v>
      </c>
      <c r="N104" s="100">
        <f t="shared" si="60"/>
        <v>0.0033</v>
      </c>
      <c r="O104" s="101">
        <f>M104/J104-1</f>
        <v>-0.02058252427</v>
      </c>
      <c r="P104" s="102">
        <f t="shared" si="61"/>
        <v>-3180</v>
      </c>
      <c r="Q104" s="32"/>
      <c r="R104" s="32"/>
      <c r="S104" s="292"/>
      <c r="T104" s="15"/>
      <c r="U104" s="15"/>
      <c r="V104" s="15" t="s">
        <v>202</v>
      </c>
      <c r="W104" s="41">
        <v>45190.0</v>
      </c>
      <c r="X104" s="297">
        <v>0.5044</v>
      </c>
      <c r="Y104" s="20">
        <v>151320.0</v>
      </c>
      <c r="Z104" s="104" t="s">
        <v>202</v>
      </c>
      <c r="AA104" s="108">
        <v>45159.0</v>
      </c>
      <c r="AB104" s="109">
        <v>0.515</v>
      </c>
      <c r="AC104" s="20">
        <v>154500.0</v>
      </c>
    </row>
    <row r="105">
      <c r="A105" s="38"/>
      <c r="B105" s="32"/>
      <c r="C105" s="14">
        <f>I105/E120</f>
        <v>0.006349548165</v>
      </c>
      <c r="D105" s="15" t="s">
        <v>460</v>
      </c>
      <c r="E105" s="42" t="s">
        <v>207</v>
      </c>
      <c r="F105" s="17">
        <v>7.3</v>
      </c>
      <c r="G105" s="97">
        <v>400.0</v>
      </c>
      <c r="H105" s="19">
        <f t="shared" si="59"/>
        <v>91960</v>
      </c>
      <c r="I105" s="20">
        <f>H105+P105</f>
        <v>94000</v>
      </c>
      <c r="J105" s="21">
        <v>229.9</v>
      </c>
      <c r="K105" s="98"/>
      <c r="L105" s="99">
        <v>235.0</v>
      </c>
      <c r="M105" s="283"/>
      <c r="N105" s="100">
        <f t="shared" si="60"/>
        <v>5.1</v>
      </c>
      <c r="O105" s="101">
        <f>L105/J105-1</f>
        <v>0.02218355807</v>
      </c>
      <c r="P105" s="102">
        <f t="shared" si="61"/>
        <v>2040</v>
      </c>
      <c r="Q105" s="32"/>
      <c r="R105" s="32"/>
      <c r="S105" s="292"/>
      <c r="T105" s="15"/>
      <c r="U105" s="15"/>
      <c r="V105" s="15"/>
      <c r="W105" s="41"/>
      <c r="X105" s="21"/>
      <c r="Y105" s="20"/>
      <c r="Z105" s="104" t="s">
        <v>208</v>
      </c>
      <c r="AA105" s="105">
        <v>45196.0</v>
      </c>
      <c r="AB105" s="109">
        <v>229.9</v>
      </c>
      <c r="AC105" s="20">
        <v>91960.0</v>
      </c>
    </row>
    <row r="106">
      <c r="A106" s="38"/>
      <c r="B106" s="32"/>
      <c r="C106" s="14">
        <f>I106/E120</f>
        <v>0</v>
      </c>
      <c r="D106" s="15" t="s">
        <v>460</v>
      </c>
      <c r="E106" s="42" t="s">
        <v>207</v>
      </c>
      <c r="F106" s="17">
        <v>7.3</v>
      </c>
      <c r="G106" s="97">
        <v>500.0</v>
      </c>
      <c r="H106" s="19">
        <f t="shared" si="59"/>
        <v>141350</v>
      </c>
      <c r="I106" s="20">
        <v>0.0</v>
      </c>
      <c r="J106" s="21">
        <v>282.7</v>
      </c>
      <c r="K106" s="98"/>
      <c r="L106" s="99">
        <v>235.0</v>
      </c>
      <c r="M106" s="283">
        <v>209.0</v>
      </c>
      <c r="N106" s="100">
        <f t="shared" si="60"/>
        <v>-47.7</v>
      </c>
      <c r="O106" s="101">
        <f t="shared" ref="O106:O107" si="63">M106/J106-1</f>
        <v>-0.2607003891</v>
      </c>
      <c r="P106" s="102">
        <f t="shared" si="61"/>
        <v>-36850</v>
      </c>
      <c r="Q106" s="32"/>
      <c r="R106" s="32"/>
      <c r="S106" s="292"/>
      <c r="T106" s="15"/>
      <c r="U106" s="15"/>
      <c r="V106" s="15" t="s">
        <v>208</v>
      </c>
      <c r="W106" s="41">
        <v>45190.0</v>
      </c>
      <c r="X106" s="21">
        <v>209.0</v>
      </c>
      <c r="Y106" s="20">
        <v>104500.0</v>
      </c>
      <c r="Z106" s="104" t="s">
        <v>208</v>
      </c>
      <c r="AA106" s="105">
        <v>45120.0</v>
      </c>
      <c r="AB106" s="109">
        <v>282.7</v>
      </c>
      <c r="AC106" s="20">
        <v>141350.0</v>
      </c>
    </row>
    <row r="107">
      <c r="A107" s="38"/>
      <c r="B107" s="32"/>
      <c r="C107" s="14">
        <f>I107/E120</f>
        <v>0</v>
      </c>
      <c r="D107" s="16" t="s">
        <v>209</v>
      </c>
      <c r="E107" s="16" t="s">
        <v>210</v>
      </c>
      <c r="F107" s="17">
        <v>7.4</v>
      </c>
      <c r="G107" s="97">
        <v>30000.0</v>
      </c>
      <c r="H107" s="19">
        <f t="shared" si="59"/>
        <v>189300</v>
      </c>
      <c r="I107" s="20">
        <v>0.0</v>
      </c>
      <c r="J107" s="21">
        <v>6.31</v>
      </c>
      <c r="K107" s="98"/>
      <c r="L107" s="122">
        <v>8.19</v>
      </c>
      <c r="M107" s="283">
        <v>8.17</v>
      </c>
      <c r="N107" s="100">
        <f t="shared" si="60"/>
        <v>1.88</v>
      </c>
      <c r="O107" s="101">
        <f t="shared" si="63"/>
        <v>0.294770206</v>
      </c>
      <c r="P107" s="102">
        <f t="shared" si="61"/>
        <v>55800</v>
      </c>
      <c r="Q107" s="32"/>
      <c r="R107" s="32"/>
      <c r="S107" s="292"/>
      <c r="T107" s="15"/>
      <c r="U107" s="15"/>
      <c r="V107" s="15" t="s">
        <v>211</v>
      </c>
      <c r="W107" s="41">
        <v>45127.0</v>
      </c>
      <c r="X107" s="21">
        <v>8.17</v>
      </c>
      <c r="Y107" s="20">
        <v>245100.0</v>
      </c>
      <c r="Z107" s="104"/>
      <c r="AA107" s="105"/>
      <c r="AB107" s="109"/>
      <c r="AC107" s="106"/>
    </row>
    <row r="108">
      <c r="A108" s="38"/>
      <c r="B108" s="32"/>
      <c r="C108" s="14">
        <f>I108/E120</f>
        <v>0.005672037867</v>
      </c>
      <c r="D108" s="15" t="s">
        <v>416</v>
      </c>
      <c r="E108" s="15" t="s">
        <v>360</v>
      </c>
      <c r="F108" s="17">
        <v>7.5</v>
      </c>
      <c r="G108" s="97">
        <v>3000.0</v>
      </c>
      <c r="H108" s="19">
        <f t="shared" si="59"/>
        <v>114000</v>
      </c>
      <c r="I108" s="20">
        <f>H108+P108</f>
        <v>83970</v>
      </c>
      <c r="J108" s="21">
        <v>38.0</v>
      </c>
      <c r="K108" s="98"/>
      <c r="L108" s="122">
        <v>27.99</v>
      </c>
      <c r="M108" s="100"/>
      <c r="N108" s="100">
        <f t="shared" si="60"/>
        <v>-10.01</v>
      </c>
      <c r="O108" s="101">
        <f>L108/J108-1</f>
        <v>-0.2634210526</v>
      </c>
      <c r="P108" s="102">
        <f t="shared" si="61"/>
        <v>-30030</v>
      </c>
      <c r="Q108" s="32"/>
      <c r="R108" s="32"/>
      <c r="S108" s="21"/>
      <c r="T108" s="15"/>
      <c r="U108" s="15"/>
      <c r="V108" s="15"/>
      <c r="W108" s="41"/>
      <c r="X108" s="21"/>
      <c r="Y108" s="20"/>
      <c r="Z108" s="104"/>
      <c r="AA108" s="105"/>
      <c r="AB108" s="109"/>
      <c r="AC108" s="106"/>
    </row>
    <row r="109">
      <c r="A109" s="38"/>
      <c r="B109" s="32"/>
      <c r="C109" s="14">
        <f>I109/E120</f>
        <v>0</v>
      </c>
      <c r="D109" s="16" t="s">
        <v>509</v>
      </c>
      <c r="E109" s="16" t="s">
        <v>510</v>
      </c>
      <c r="F109" s="17">
        <v>7.3</v>
      </c>
      <c r="G109" s="97">
        <v>5000.0</v>
      </c>
      <c r="H109" s="19">
        <f t="shared" si="59"/>
        <v>105150</v>
      </c>
      <c r="I109" s="20">
        <v>0.0</v>
      </c>
      <c r="J109" s="21">
        <v>21.03</v>
      </c>
      <c r="K109" s="98"/>
      <c r="L109" s="122">
        <v>21.37</v>
      </c>
      <c r="M109" s="283">
        <v>19.95</v>
      </c>
      <c r="N109" s="100">
        <f t="shared" si="60"/>
        <v>0.34</v>
      </c>
      <c r="O109" s="101">
        <f t="shared" ref="O109:O112" si="64">M109/J109-1</f>
        <v>-0.05135520685</v>
      </c>
      <c r="P109" s="102">
        <f t="shared" si="61"/>
        <v>-5400</v>
      </c>
      <c r="Q109" s="32"/>
      <c r="R109" s="32"/>
      <c r="S109" s="21"/>
      <c r="T109" s="15"/>
      <c r="U109" s="15"/>
      <c r="V109" s="15" t="s">
        <v>511</v>
      </c>
      <c r="W109" s="41">
        <v>45190.0</v>
      </c>
      <c r="X109" s="21">
        <v>19.95</v>
      </c>
      <c r="Y109" s="20">
        <v>99750.0</v>
      </c>
      <c r="Z109" s="15" t="s">
        <v>511</v>
      </c>
      <c r="AA109" s="41">
        <v>45159.0</v>
      </c>
      <c r="AB109" s="21">
        <v>21.03</v>
      </c>
      <c r="AC109" s="20">
        <v>105150.0</v>
      </c>
    </row>
    <row r="110">
      <c r="A110" s="38"/>
      <c r="B110" s="32"/>
      <c r="C110" s="14">
        <f>I110/E120</f>
        <v>0</v>
      </c>
      <c r="D110" s="16" t="s">
        <v>509</v>
      </c>
      <c r="E110" s="16" t="s">
        <v>510</v>
      </c>
      <c r="F110" s="17">
        <v>7.3</v>
      </c>
      <c r="G110" s="97">
        <v>5000.0</v>
      </c>
      <c r="H110" s="19">
        <f t="shared" si="59"/>
        <v>95500</v>
      </c>
      <c r="I110" s="20">
        <v>0.0</v>
      </c>
      <c r="J110" s="21">
        <v>19.1</v>
      </c>
      <c r="K110" s="98"/>
      <c r="L110" s="122">
        <v>21.37</v>
      </c>
      <c r="M110" s="283">
        <v>22.64</v>
      </c>
      <c r="N110" s="100">
        <f t="shared" si="60"/>
        <v>2.27</v>
      </c>
      <c r="O110" s="101">
        <f t="shared" si="64"/>
        <v>0.1853403141</v>
      </c>
      <c r="P110" s="102">
        <f t="shared" si="61"/>
        <v>17700</v>
      </c>
      <c r="Q110" s="32"/>
      <c r="R110" s="32"/>
      <c r="S110" s="21"/>
      <c r="T110" s="15"/>
      <c r="U110" s="15"/>
      <c r="V110" s="15" t="s">
        <v>511</v>
      </c>
      <c r="W110" s="41">
        <v>45141.0</v>
      </c>
      <c r="X110" s="21">
        <v>22.64</v>
      </c>
      <c r="Y110" s="20">
        <v>113200.0</v>
      </c>
      <c r="Z110" s="104"/>
      <c r="AA110" s="105"/>
      <c r="AB110" s="109"/>
      <c r="AC110" s="106"/>
    </row>
    <row r="111">
      <c r="A111" s="38"/>
      <c r="B111" s="32"/>
      <c r="C111" s="14">
        <f>I111/E120</f>
        <v>0</v>
      </c>
      <c r="D111" s="15" t="s">
        <v>512</v>
      </c>
      <c r="E111" s="15" t="s">
        <v>195</v>
      </c>
      <c r="F111" s="17">
        <v>7.7</v>
      </c>
      <c r="G111" s="97">
        <v>30000.0</v>
      </c>
      <c r="H111" s="19">
        <f t="shared" si="59"/>
        <v>156000</v>
      </c>
      <c r="I111" s="20">
        <v>0.0</v>
      </c>
      <c r="J111" s="21">
        <v>5.2</v>
      </c>
      <c r="K111" s="98"/>
      <c r="L111" s="122">
        <v>4.102</v>
      </c>
      <c r="M111" s="283">
        <v>5.3</v>
      </c>
      <c r="N111" s="100">
        <f t="shared" si="60"/>
        <v>-1.098</v>
      </c>
      <c r="O111" s="101">
        <f t="shared" si="64"/>
        <v>0.01923076923</v>
      </c>
      <c r="P111" s="102">
        <f t="shared" si="61"/>
        <v>3000</v>
      </c>
      <c r="Q111" s="32"/>
      <c r="R111" s="32"/>
      <c r="S111" s="21"/>
      <c r="T111" s="15"/>
      <c r="U111" s="15"/>
      <c r="V111" s="15" t="s">
        <v>196</v>
      </c>
      <c r="W111" s="41">
        <v>45127.0</v>
      </c>
      <c r="X111" s="21">
        <v>5.3</v>
      </c>
      <c r="Y111" s="20">
        <v>159000.0</v>
      </c>
      <c r="Z111" s="104"/>
      <c r="AA111" s="105"/>
      <c r="AB111" s="109"/>
      <c r="AC111" s="106"/>
    </row>
    <row r="112">
      <c r="A112" s="38"/>
      <c r="B112" s="32"/>
      <c r="C112" s="14">
        <f>I112/E120</f>
        <v>0</v>
      </c>
      <c r="D112" s="15" t="s">
        <v>513</v>
      </c>
      <c r="E112" s="15" t="s">
        <v>514</v>
      </c>
      <c r="F112" s="17">
        <v>7.5</v>
      </c>
      <c r="G112" s="97">
        <v>1000.0</v>
      </c>
      <c r="H112" s="19">
        <f t="shared" si="59"/>
        <v>168500</v>
      </c>
      <c r="I112" s="20">
        <v>0.0</v>
      </c>
      <c r="J112" s="21">
        <v>168.5</v>
      </c>
      <c r="K112" s="98"/>
      <c r="L112" s="122">
        <v>146.2</v>
      </c>
      <c r="M112" s="283">
        <v>152.26</v>
      </c>
      <c r="N112" s="100">
        <f t="shared" si="60"/>
        <v>-22.3</v>
      </c>
      <c r="O112" s="101">
        <f t="shared" si="64"/>
        <v>-0.09637982196</v>
      </c>
      <c r="P112" s="102">
        <f t="shared" si="61"/>
        <v>-16240</v>
      </c>
      <c r="Q112" s="32"/>
      <c r="R112" s="32"/>
      <c r="S112" s="21"/>
      <c r="T112" s="15"/>
      <c r="U112" s="15"/>
      <c r="V112" s="15" t="s">
        <v>515</v>
      </c>
      <c r="W112" s="41">
        <v>45155.0</v>
      </c>
      <c r="X112" s="21">
        <v>152.26</v>
      </c>
      <c r="Y112" s="20">
        <v>152260.0</v>
      </c>
      <c r="Z112" s="104"/>
      <c r="AA112" s="105"/>
      <c r="AB112" s="109"/>
      <c r="AC112" s="106"/>
    </row>
    <row r="113">
      <c r="A113" s="38"/>
      <c r="B113" s="32"/>
      <c r="C113" s="14">
        <f>I113/E120</f>
        <v>0.00916293839</v>
      </c>
      <c r="D113" s="16" t="s">
        <v>417</v>
      </c>
      <c r="E113" s="16" t="s">
        <v>418</v>
      </c>
      <c r="F113" s="17">
        <v>7.3</v>
      </c>
      <c r="G113" s="97">
        <v>5000.0</v>
      </c>
      <c r="H113" s="19">
        <f t="shared" si="59"/>
        <v>170000</v>
      </c>
      <c r="I113" s="20">
        <f>H113+P113</f>
        <v>135650</v>
      </c>
      <c r="J113" s="21">
        <v>34.0</v>
      </c>
      <c r="K113" s="98"/>
      <c r="L113" s="122">
        <v>27.13</v>
      </c>
      <c r="M113" s="100"/>
      <c r="N113" s="100">
        <f t="shared" si="60"/>
        <v>-6.87</v>
      </c>
      <c r="O113" s="101">
        <f>L113/J113-1</f>
        <v>-0.2020588235</v>
      </c>
      <c r="P113" s="102">
        <f t="shared" si="61"/>
        <v>-34350</v>
      </c>
      <c r="Q113" s="32"/>
      <c r="R113" s="32"/>
      <c r="S113" s="21"/>
      <c r="T113" s="15"/>
      <c r="U113" s="15"/>
      <c r="V113" s="15"/>
      <c r="W113" s="41"/>
      <c r="X113" s="21"/>
      <c r="Y113" s="20"/>
      <c r="Z113" s="104"/>
      <c r="AA113" s="105"/>
      <c r="AB113" s="109"/>
      <c r="AC113" s="106"/>
    </row>
    <row r="114">
      <c r="A114" s="48"/>
      <c r="B114" s="6"/>
      <c r="C114" s="6" t="s">
        <v>89</v>
      </c>
      <c r="D114" s="53"/>
      <c r="E114" s="53"/>
      <c r="F114" s="53"/>
      <c r="G114" s="11"/>
      <c r="H114" s="49">
        <f t="shared" ref="H114:I114" si="65">SUM(H98:H113)</f>
        <v>2239600</v>
      </c>
      <c r="I114" s="49">
        <f t="shared" si="65"/>
        <v>771965</v>
      </c>
      <c r="J114" s="54"/>
      <c r="K114" s="53"/>
      <c r="L114" s="6"/>
      <c r="M114" s="53"/>
      <c r="N114" s="53"/>
      <c r="O114" s="71">
        <f>P114/H114</f>
        <v>-0.04372655831</v>
      </c>
      <c r="P114" s="49">
        <f>SUM(P98:P113)</f>
        <v>-97930</v>
      </c>
      <c r="Q114" s="53"/>
      <c r="R114" s="53"/>
      <c r="S114" s="173"/>
      <c r="T114" s="6"/>
      <c r="U114" s="6"/>
      <c r="V114" s="6" t="s">
        <v>89</v>
      </c>
      <c r="W114" s="53"/>
      <c r="X114" s="54"/>
      <c r="Y114" s="49">
        <f>SUM(Y98:Y113)</f>
        <v>1369705</v>
      </c>
      <c r="Z114" s="6" t="s">
        <v>89</v>
      </c>
      <c r="AA114" s="53"/>
      <c r="AB114" s="174"/>
      <c r="AC114" s="49">
        <f>SUM(AC98:AC113)</f>
        <v>1002800</v>
      </c>
    </row>
    <row r="115">
      <c r="A115" s="48" t="s">
        <v>227</v>
      </c>
      <c r="B115" s="6" t="s">
        <v>228</v>
      </c>
      <c r="C115" s="6" t="s">
        <v>229</v>
      </c>
      <c r="D115" s="5" t="s">
        <v>230</v>
      </c>
      <c r="E115" s="5" t="s">
        <v>516</v>
      </c>
      <c r="F115" s="6" t="s">
        <v>14</v>
      </c>
      <c r="G115" s="5" t="s">
        <v>232</v>
      </c>
      <c r="H115" s="6" t="s">
        <v>233</v>
      </c>
      <c r="I115" s="5" t="s">
        <v>422</v>
      </c>
      <c r="J115" s="5" t="s">
        <v>235</v>
      </c>
      <c r="K115" s="6" t="s">
        <v>423</v>
      </c>
      <c r="L115" s="53"/>
      <c r="M115" s="53"/>
      <c r="N115" s="53"/>
      <c r="O115" s="53"/>
      <c r="P115" s="53"/>
      <c r="Q115" s="53"/>
      <c r="R115" s="175"/>
      <c r="S115" s="176"/>
      <c r="T115" s="177"/>
      <c r="U115" s="175"/>
      <c r="V115" s="175"/>
      <c r="W115" s="175"/>
      <c r="X115" s="175"/>
      <c r="Y115" s="175"/>
      <c r="Z115" s="175"/>
      <c r="AA115" s="175"/>
      <c r="AB115" s="175"/>
      <c r="AC115" s="175"/>
    </row>
    <row r="116">
      <c r="A116" s="178" t="s">
        <v>424</v>
      </c>
      <c r="B116" s="14">
        <f>E116/E120</f>
        <v>0.7670292686</v>
      </c>
      <c r="C116" s="20">
        <v>1.5804451E7</v>
      </c>
      <c r="D116" s="277">
        <v>9886028.0</v>
      </c>
      <c r="E116" s="20">
        <v>1.1355257E7</v>
      </c>
      <c r="F116" s="25">
        <f t="shared" ref="F116:F117" si="66">G116/D116</f>
        <v>-0.03486587333</v>
      </c>
      <c r="G116" s="180">
        <v>-344685.0</v>
      </c>
      <c r="H116" s="180">
        <f>T96+T83+T79+T74+T39+T76+T51+T64</f>
        <v>219015</v>
      </c>
      <c r="I116" s="179">
        <f>R96+R83+R79+R74+R39</f>
        <v>9450</v>
      </c>
      <c r="J116" s="180">
        <f>U39</f>
        <v>-500</v>
      </c>
      <c r="K116" s="179">
        <f>G116+H116+I116+J116</f>
        <v>-116720</v>
      </c>
      <c r="L116" s="32"/>
      <c r="M116" s="32"/>
      <c r="N116" s="32"/>
      <c r="O116" s="32"/>
      <c r="P116" s="32"/>
      <c r="Q116" s="32"/>
      <c r="R116" s="175"/>
      <c r="S116" s="176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</row>
    <row r="117">
      <c r="A117" s="178" t="s">
        <v>425</v>
      </c>
      <c r="B117" s="14">
        <f>E117/E120</f>
        <v>0.1799826711</v>
      </c>
      <c r="C117" s="20">
        <v>3227800.0</v>
      </c>
      <c r="D117" s="20">
        <v>3227800.0</v>
      </c>
      <c r="E117" s="20">
        <v>2664500.0</v>
      </c>
      <c r="F117" s="25">
        <f t="shared" si="66"/>
        <v>-0.07347109486</v>
      </c>
      <c r="G117" s="180">
        <v>-237150.0</v>
      </c>
      <c r="H117" s="182"/>
      <c r="I117" s="182"/>
      <c r="J117" s="182"/>
      <c r="K117" s="25">
        <f>K116/D116</f>
        <v>-0.01180656175</v>
      </c>
      <c r="L117" s="32"/>
      <c r="M117" s="32"/>
      <c r="N117" s="32"/>
      <c r="O117" s="32"/>
      <c r="P117" s="32"/>
      <c r="Q117" s="32"/>
      <c r="R117" s="175"/>
      <c r="S117" s="176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</row>
    <row r="118">
      <c r="A118" s="89" t="s">
        <v>240</v>
      </c>
      <c r="B118" s="14">
        <f>E118/E120</f>
        <v>0.05214498883</v>
      </c>
      <c r="C118" s="20">
        <v>2239600.0</v>
      </c>
      <c r="D118" s="20">
        <v>1236800.0</v>
      </c>
      <c r="E118" s="20">
        <v>771965.0</v>
      </c>
      <c r="F118" s="335">
        <f t="shared" ref="F118:G118" si="67">O114</f>
        <v>-0.04372655831</v>
      </c>
      <c r="G118" s="180">
        <f t="shared" si="67"/>
        <v>-97930</v>
      </c>
      <c r="H118" s="186"/>
      <c r="I118" s="187"/>
      <c r="J118" s="186"/>
      <c r="K118" s="186"/>
      <c r="L118" s="32"/>
      <c r="M118" s="32"/>
      <c r="N118" s="32"/>
      <c r="O118" s="32"/>
      <c r="P118" s="32"/>
      <c r="Q118" s="32"/>
      <c r="R118" s="175"/>
      <c r="S118" s="176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</row>
    <row r="119">
      <c r="A119" s="89" t="s">
        <v>461</v>
      </c>
      <c r="B119" s="14">
        <f>E119/E120</f>
        <v>0.0008430713899</v>
      </c>
      <c r="C119" s="29" t="s">
        <v>128</v>
      </c>
      <c r="D119" s="20">
        <v>905375.0</v>
      </c>
      <c r="E119" s="20">
        <v>12481.0</v>
      </c>
      <c r="F119" s="336" t="s">
        <v>128</v>
      </c>
      <c r="G119" s="179">
        <f>H116+I116+J116</f>
        <v>227965</v>
      </c>
      <c r="H119" s="189" t="s">
        <v>462</v>
      </c>
      <c r="I119" s="189" t="s">
        <v>517</v>
      </c>
      <c r="J119" s="189" t="s">
        <v>518</v>
      </c>
      <c r="K119" s="189" t="s">
        <v>519</v>
      </c>
      <c r="L119" s="32"/>
      <c r="M119" s="32"/>
      <c r="N119" s="32"/>
      <c r="O119" s="32"/>
      <c r="P119" s="32"/>
      <c r="Q119" s="32"/>
      <c r="R119" s="175"/>
      <c r="S119" s="176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</row>
    <row r="120">
      <c r="A120" s="48" t="s">
        <v>246</v>
      </c>
      <c r="B120" s="190">
        <v>1.0</v>
      </c>
      <c r="C120" s="49" t="s">
        <v>128</v>
      </c>
      <c r="D120" s="191">
        <v>1.5256003E7</v>
      </c>
      <c r="E120" s="191">
        <f>SUM(E116:E119)</f>
        <v>14804203</v>
      </c>
      <c r="F120" s="25">
        <f>G120/D120</f>
        <v>-0.02961457205</v>
      </c>
      <c r="G120" s="191">
        <f>SUM(G116:G119)</f>
        <v>-451800</v>
      </c>
      <c r="H120" s="192">
        <v>1.1602008E7</v>
      </c>
      <c r="I120" s="193">
        <f>E120</f>
        <v>14804203</v>
      </c>
      <c r="J120" s="11">
        <f>I120-H120</f>
        <v>3202195</v>
      </c>
      <c r="K120" s="182">
        <f>J120/H120</f>
        <v>0.2760035159</v>
      </c>
      <c r="L120" s="53"/>
      <c r="M120" s="53"/>
      <c r="N120" s="53"/>
      <c r="O120" s="53"/>
      <c r="P120" s="53"/>
      <c r="Q120" s="53"/>
      <c r="R120" s="175"/>
      <c r="S120" s="176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</row>
    <row r="121">
      <c r="A121" s="194" t="s">
        <v>247</v>
      </c>
      <c r="B121" s="195"/>
      <c r="C121" s="196"/>
      <c r="D121" s="196"/>
      <c r="E121" s="196"/>
      <c r="F121" s="196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</row>
    <row r="122">
      <c r="A122" s="198" t="s">
        <v>248</v>
      </c>
      <c r="B122" s="199"/>
      <c r="C122" s="200" t="s">
        <v>520</v>
      </c>
      <c r="D122" s="200" t="s">
        <v>521</v>
      </c>
      <c r="E122" s="200" t="s">
        <v>329</v>
      </c>
      <c r="F122" s="201" t="s">
        <v>522</v>
      </c>
      <c r="G122" s="202"/>
      <c r="H122" s="337"/>
      <c r="I122" s="338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</row>
    <row r="123">
      <c r="A123" s="89" t="s">
        <v>265</v>
      </c>
      <c r="B123" s="16" t="s">
        <v>266</v>
      </c>
      <c r="C123" s="204">
        <v>34408.0</v>
      </c>
      <c r="D123" s="204">
        <v>33508.0</v>
      </c>
      <c r="E123" s="206">
        <f t="shared" ref="E123:E127" si="68">D123-C123</f>
        <v>-900</v>
      </c>
      <c r="F123" s="207">
        <f t="shared" ref="F123:F127" si="69">D123/C123-1</f>
        <v>-0.02615670774</v>
      </c>
      <c r="G123" s="208"/>
      <c r="H123" s="337"/>
      <c r="I123" s="338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</row>
    <row r="124">
      <c r="A124" s="89" t="s">
        <v>267</v>
      </c>
      <c r="B124" s="16" t="s">
        <v>268</v>
      </c>
      <c r="C124" s="204">
        <v>4450.0</v>
      </c>
      <c r="D124" s="204">
        <v>4288.0</v>
      </c>
      <c r="E124" s="206">
        <f t="shared" si="68"/>
        <v>-162</v>
      </c>
      <c r="F124" s="207">
        <f t="shared" si="69"/>
        <v>-0.03640449438</v>
      </c>
      <c r="G124" s="208"/>
      <c r="H124" s="337"/>
      <c r="I124" s="339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</row>
    <row r="125">
      <c r="A125" s="89" t="s">
        <v>269</v>
      </c>
      <c r="B125" s="16" t="s">
        <v>270</v>
      </c>
      <c r="C125" s="204">
        <v>13788.0</v>
      </c>
      <c r="D125" s="204">
        <v>13219.0</v>
      </c>
      <c r="E125" s="206">
        <f t="shared" si="68"/>
        <v>-569</v>
      </c>
      <c r="F125" s="207">
        <f t="shared" si="69"/>
        <v>-0.04126776907</v>
      </c>
      <c r="G125" s="208"/>
      <c r="H125" s="340"/>
      <c r="I125" s="175"/>
      <c r="J125" s="338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</row>
    <row r="126">
      <c r="A126" s="89" t="s">
        <v>271</v>
      </c>
      <c r="B126" s="16" t="s">
        <v>272</v>
      </c>
      <c r="C126" s="204">
        <v>1889.0</v>
      </c>
      <c r="D126" s="204">
        <v>1785.0</v>
      </c>
      <c r="E126" s="206">
        <f t="shared" si="68"/>
        <v>-104</v>
      </c>
      <c r="F126" s="207">
        <f t="shared" si="69"/>
        <v>-0.05505558497</v>
      </c>
      <c r="G126" s="208"/>
      <c r="H126" s="175"/>
      <c r="I126" s="175"/>
      <c r="J126" s="338"/>
      <c r="K126" s="175"/>
      <c r="L126" s="338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</row>
    <row r="127">
      <c r="A127" s="89" t="s">
        <v>273</v>
      </c>
      <c r="B127" s="16" t="s">
        <v>274</v>
      </c>
      <c r="C127" s="204">
        <v>15876.0</v>
      </c>
      <c r="D127" s="204">
        <v>15398.0</v>
      </c>
      <c r="E127" s="206">
        <f t="shared" si="68"/>
        <v>-478</v>
      </c>
      <c r="F127" s="207">
        <f t="shared" si="69"/>
        <v>-0.03010833963</v>
      </c>
      <c r="G127" s="208"/>
      <c r="H127" s="175"/>
      <c r="I127" s="175"/>
      <c r="J127" s="338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</row>
    <row r="129">
      <c r="A129" s="226" t="s">
        <v>248</v>
      </c>
      <c r="B129" s="227"/>
      <c r="C129" s="228" t="s">
        <v>523</v>
      </c>
      <c r="D129" s="228" t="s">
        <v>475</v>
      </c>
      <c r="E129" s="228" t="s">
        <v>524</v>
      </c>
      <c r="F129" s="228" t="s">
        <v>525</v>
      </c>
    </row>
    <row r="130">
      <c r="A130" s="231" t="s">
        <v>265</v>
      </c>
      <c r="B130" s="231" t="s">
        <v>266</v>
      </c>
      <c r="C130" s="232">
        <v>33147.0</v>
      </c>
      <c r="D130" s="232">
        <v>33508.0</v>
      </c>
      <c r="E130" s="234">
        <f t="shared" ref="E130:E134" si="70">D130-C130</f>
        <v>361</v>
      </c>
      <c r="F130" s="235">
        <f t="shared" ref="F130:F134" si="71">D130/C130-1</f>
        <v>0.01089088002</v>
      </c>
    </row>
    <row r="131">
      <c r="A131" s="231" t="s">
        <v>267</v>
      </c>
      <c r="B131" s="231" t="s">
        <v>268</v>
      </c>
      <c r="C131" s="232">
        <v>3840.0</v>
      </c>
      <c r="D131" s="232">
        <v>4288.0</v>
      </c>
      <c r="E131" s="234">
        <f t="shared" si="70"/>
        <v>448</v>
      </c>
      <c r="F131" s="235">
        <f t="shared" si="71"/>
        <v>0.1166666667</v>
      </c>
    </row>
    <row r="132">
      <c r="A132" s="231" t="s">
        <v>269</v>
      </c>
      <c r="B132" s="231" t="s">
        <v>270</v>
      </c>
      <c r="C132" s="232">
        <v>10466.0</v>
      </c>
      <c r="D132" s="232">
        <v>13219.0</v>
      </c>
      <c r="E132" s="234">
        <f t="shared" si="70"/>
        <v>2753</v>
      </c>
      <c r="F132" s="235">
        <f t="shared" si="71"/>
        <v>0.263042232</v>
      </c>
    </row>
    <row r="133">
      <c r="A133" s="231" t="s">
        <v>271</v>
      </c>
      <c r="B133" s="231" t="s">
        <v>272</v>
      </c>
      <c r="C133" s="232">
        <v>1761.0</v>
      </c>
      <c r="D133" s="232">
        <v>1785.0</v>
      </c>
      <c r="E133" s="234">
        <f t="shared" si="70"/>
        <v>24</v>
      </c>
      <c r="F133" s="235">
        <f t="shared" si="71"/>
        <v>0.0136286201</v>
      </c>
    </row>
    <row r="134">
      <c r="A134" s="231" t="s">
        <v>273</v>
      </c>
      <c r="B134" s="231" t="s">
        <v>274</v>
      </c>
      <c r="C134" s="232">
        <v>15184.0</v>
      </c>
      <c r="D134" s="232">
        <v>15398.0</v>
      </c>
      <c r="E134" s="234">
        <f t="shared" si="70"/>
        <v>214</v>
      </c>
      <c r="F134" s="235">
        <f t="shared" si="71"/>
        <v>0.01409378293</v>
      </c>
    </row>
    <row r="136">
      <c r="A136" s="242" t="s">
        <v>278</v>
      </c>
      <c r="B136" s="243" t="s">
        <v>279</v>
      </c>
      <c r="C136" s="244"/>
      <c r="D136" s="244"/>
    </row>
    <row r="137">
      <c r="A137" s="242" t="s">
        <v>280</v>
      </c>
      <c r="B137" s="243" t="s">
        <v>281</v>
      </c>
      <c r="C137" s="244"/>
      <c r="D137" s="244"/>
    </row>
    <row r="138">
      <c r="A138" s="242" t="s">
        <v>282</v>
      </c>
      <c r="B138" s="246" t="s">
        <v>283</v>
      </c>
      <c r="C138" s="244"/>
      <c r="D138" s="244"/>
    </row>
  </sheetData>
  <hyperlinks>
    <hyperlink r:id="rId1" ref="B136"/>
    <hyperlink r:id="rId2" ref="B137"/>
    <hyperlink r:id="rId3" ref="B138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5.0"/>
    <col customWidth="1" min="3" max="3" width="19.88"/>
    <col customWidth="1" min="4" max="4" width="20.0"/>
    <col customWidth="1" min="5" max="5" width="24.13"/>
    <col customWidth="1" min="6" max="6" width="10.88"/>
    <col customWidth="1" min="7" max="7" width="8.75"/>
    <col customWidth="1" min="8" max="8" width="22.63"/>
    <col customWidth="1" min="9" max="9" width="23.75"/>
    <col customWidth="1" min="10" max="10" width="15.0"/>
    <col customWidth="1" min="11" max="11" width="18.13"/>
    <col customWidth="1" min="12" max="12" width="11.25"/>
    <col customWidth="1" min="13" max="13" width="11.13"/>
    <col customWidth="1" min="14" max="14" width="10.63"/>
    <col customWidth="1" min="15" max="15" width="8.88"/>
    <col customWidth="1" min="16" max="16" width="7.75"/>
    <col customWidth="1" min="17" max="17" width="9.63"/>
    <col customWidth="1" min="18" max="18" width="23.88"/>
    <col customWidth="1" min="19" max="19" width="10.63"/>
    <col customWidth="1" min="20" max="20" width="12.25"/>
    <col customWidth="1" min="21" max="21" width="13.25"/>
    <col customWidth="1" min="22" max="22" width="7.63"/>
    <col customWidth="1" min="23" max="23" width="9.13"/>
    <col customWidth="1" min="24" max="24" width="11.38"/>
    <col customWidth="1" min="25" max="25" width="13.0"/>
    <col customWidth="1" min="26" max="26" width="9.75"/>
    <col customWidth="1" min="27" max="27" width="10.25"/>
    <col customWidth="1" min="28" max="28" width="10.88"/>
  </cols>
  <sheetData>
    <row r="1">
      <c r="A1" s="8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</row>
    <row r="2">
      <c r="A2" s="48" t="s">
        <v>374</v>
      </c>
      <c r="B2" s="6" t="s">
        <v>435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8" t="s">
        <v>10</v>
      </c>
      <c r="L2" s="8" t="s">
        <v>11</v>
      </c>
      <c r="M2" s="10" t="s">
        <v>13</v>
      </c>
      <c r="N2" s="6" t="s">
        <v>14</v>
      </c>
      <c r="O2" s="10" t="s">
        <v>15</v>
      </c>
      <c r="P2" s="6" t="s">
        <v>16</v>
      </c>
      <c r="Q2" s="11" t="s">
        <v>17</v>
      </c>
      <c r="R2" s="9" t="s">
        <v>526</v>
      </c>
      <c r="S2" s="5" t="s">
        <v>19</v>
      </c>
      <c r="T2" s="5" t="s">
        <v>91</v>
      </c>
      <c r="U2" s="6" t="s">
        <v>21</v>
      </c>
      <c r="V2" s="6" t="s">
        <v>22</v>
      </c>
      <c r="W2" s="12" t="s">
        <v>23</v>
      </c>
      <c r="X2" s="12" t="s">
        <v>24</v>
      </c>
      <c r="Y2" s="6" t="s">
        <v>25</v>
      </c>
      <c r="Z2" s="6" t="s">
        <v>26</v>
      </c>
      <c r="AA2" s="6" t="s">
        <v>27</v>
      </c>
      <c r="AB2" s="5" t="s">
        <v>28</v>
      </c>
    </row>
    <row r="3">
      <c r="A3" s="48" t="s">
        <v>29</v>
      </c>
      <c r="B3" s="6" t="s">
        <v>29</v>
      </c>
      <c r="C3" s="14">
        <f>I3/E138</f>
        <v>0.06315218999</v>
      </c>
      <c r="D3" s="15" t="s">
        <v>331</v>
      </c>
      <c r="E3" s="16" t="s">
        <v>31</v>
      </c>
      <c r="F3" s="17">
        <v>8.2</v>
      </c>
      <c r="G3" s="18">
        <v>5000.0</v>
      </c>
      <c r="H3" s="19">
        <f t="shared" ref="H3:H33" si="1">G3*J3</f>
        <v>520000</v>
      </c>
      <c r="I3" s="20">
        <f t="shared" ref="I3:I5" si="2">H3+O3</f>
        <v>963450</v>
      </c>
      <c r="J3" s="21">
        <v>104.0</v>
      </c>
      <c r="K3" s="22">
        <f>IFERROR(__xludf.DUMMYFUNCTION("GOOGLEFINANCE(E3,""changepct"")"),-0.7)</f>
        <v>-0.7</v>
      </c>
      <c r="L3" s="23">
        <f>IFERROR(__xludf.DUMMYFUNCTION("googlefinance(E3,""price"")"),192.69)</f>
        <v>192.69</v>
      </c>
      <c r="M3" s="24">
        <f t="shared" ref="M3:M33" si="3">L3-J3</f>
        <v>88.69</v>
      </c>
      <c r="N3" s="25">
        <f t="shared" ref="N3:N5" si="4">L3/J3-1</f>
        <v>0.8527884615</v>
      </c>
      <c r="O3" s="19">
        <f t="shared" ref="O3:O33" si="5">H3*N3</f>
        <v>443450</v>
      </c>
      <c r="P3" s="34"/>
      <c r="Q3" s="29"/>
      <c r="R3" s="31"/>
      <c r="S3" s="29"/>
      <c r="T3" s="29"/>
      <c r="U3" s="16"/>
      <c r="V3" s="30"/>
      <c r="W3" s="31"/>
      <c r="X3" s="29"/>
      <c r="Y3" s="16"/>
      <c r="Z3" s="32"/>
      <c r="AA3" s="31"/>
      <c r="AB3" s="27"/>
    </row>
    <row r="4">
      <c r="A4" s="321">
        <f>B133</f>
        <v>0.6556723278</v>
      </c>
      <c r="B4" s="57">
        <f>I34/E138</f>
        <v>0.7182174453</v>
      </c>
      <c r="C4" s="14">
        <f>I4/E138</f>
        <v>0.01433534065</v>
      </c>
      <c r="D4" s="45" t="s">
        <v>298</v>
      </c>
      <c r="E4" s="45" t="s">
        <v>299</v>
      </c>
      <c r="F4" s="44">
        <v>7.5</v>
      </c>
      <c r="G4" s="18">
        <v>2500.0</v>
      </c>
      <c r="H4" s="19">
        <f t="shared" si="1"/>
        <v>171625</v>
      </c>
      <c r="I4" s="20">
        <f t="shared" si="2"/>
        <v>218700</v>
      </c>
      <c r="J4" s="21">
        <v>68.65</v>
      </c>
      <c r="K4" s="22">
        <f>IFERROR(__xludf.DUMMYFUNCTION("GOOGLEFINANCE(E4,""changepct"")"),-1.67)</f>
        <v>-1.67</v>
      </c>
      <c r="L4" s="23">
        <f>IFERROR(__xludf.DUMMYFUNCTION("googlefinance(E4,""price"")"),87.48)</f>
        <v>87.48</v>
      </c>
      <c r="M4" s="24">
        <f t="shared" si="3"/>
        <v>18.83</v>
      </c>
      <c r="N4" s="25">
        <f t="shared" si="4"/>
        <v>0.2742898762</v>
      </c>
      <c r="O4" s="19">
        <f t="shared" si="5"/>
        <v>47075</v>
      </c>
      <c r="P4" s="34"/>
      <c r="Q4" s="29"/>
      <c r="R4" s="341"/>
      <c r="S4" s="27">
        <v>23750.0</v>
      </c>
      <c r="T4" s="27">
        <v>7685.0</v>
      </c>
      <c r="U4" s="15"/>
      <c r="V4" s="36"/>
      <c r="W4" s="37"/>
      <c r="X4" s="27"/>
      <c r="Y4" s="16"/>
      <c r="Z4" s="32"/>
      <c r="AA4" s="31"/>
      <c r="AB4" s="29"/>
    </row>
    <row r="5">
      <c r="A5" s="38"/>
      <c r="B5" s="32"/>
      <c r="C5" s="14">
        <f>I5/E138</f>
        <v>0.01720240878</v>
      </c>
      <c r="D5" s="45" t="s">
        <v>298</v>
      </c>
      <c r="E5" s="45" t="s">
        <v>299</v>
      </c>
      <c r="F5" s="44">
        <v>7.5</v>
      </c>
      <c r="G5" s="18">
        <v>3000.0</v>
      </c>
      <c r="H5" s="19">
        <f t="shared" si="1"/>
        <v>180270</v>
      </c>
      <c r="I5" s="20">
        <f t="shared" si="2"/>
        <v>262440</v>
      </c>
      <c r="J5" s="21">
        <v>60.09</v>
      </c>
      <c r="K5" s="22">
        <f>IFERROR(__xludf.DUMMYFUNCTION("GOOGLEFINANCE(E5,""changepct"")"),-1.67)</f>
        <v>-1.67</v>
      </c>
      <c r="L5" s="23">
        <f>IFERROR(__xludf.DUMMYFUNCTION("googlefinance(E5,""price"")"),87.48)</f>
        <v>87.48</v>
      </c>
      <c r="M5" s="24">
        <f t="shared" si="3"/>
        <v>27.39</v>
      </c>
      <c r="N5" s="25">
        <f t="shared" si="4"/>
        <v>0.4558162756</v>
      </c>
      <c r="O5" s="19">
        <f t="shared" si="5"/>
        <v>82170</v>
      </c>
      <c r="P5" s="34"/>
      <c r="Q5" s="29"/>
      <c r="R5" s="37"/>
      <c r="S5" s="27">
        <v>10400.0</v>
      </c>
      <c r="T5" s="27"/>
      <c r="U5" s="15"/>
      <c r="V5" s="36"/>
      <c r="W5" s="37"/>
      <c r="X5" s="27"/>
      <c r="Y5" s="15" t="s">
        <v>299</v>
      </c>
      <c r="Z5" s="41">
        <v>45047.0</v>
      </c>
      <c r="AA5" s="21">
        <v>60.09</v>
      </c>
      <c r="AB5" s="20">
        <v>180270.0</v>
      </c>
    </row>
    <row r="6">
      <c r="A6" s="38"/>
      <c r="B6" s="32"/>
      <c r="C6" s="14">
        <f>I6/E138</f>
        <v>0</v>
      </c>
      <c r="D6" s="15" t="s">
        <v>37</v>
      </c>
      <c r="E6" s="15" t="s">
        <v>36</v>
      </c>
      <c r="F6" s="17">
        <v>8.0</v>
      </c>
      <c r="G6" s="18">
        <v>750.0</v>
      </c>
      <c r="H6" s="19">
        <f t="shared" si="1"/>
        <v>125332.5</v>
      </c>
      <c r="I6" s="20">
        <v>0.0</v>
      </c>
      <c r="J6" s="21">
        <v>167.11</v>
      </c>
      <c r="K6" s="22">
        <f>IFERROR(__xludf.DUMMYFUNCTION("GOOGLEFINANCE(E6,""changepct"")"),-3.3)</f>
        <v>-3.3</v>
      </c>
      <c r="L6" s="23">
        <f>IFERROR(__xludf.DUMMYFUNCTION("googlefinance(E6,""price"")"),417.41)</f>
        <v>417.41</v>
      </c>
      <c r="M6" s="24">
        <f t="shared" si="3"/>
        <v>250.3</v>
      </c>
      <c r="N6" s="25">
        <f>R6/J6-1</f>
        <v>0.01729399797</v>
      </c>
      <c r="O6" s="19">
        <f t="shared" si="5"/>
        <v>2167.5</v>
      </c>
      <c r="P6" s="34"/>
      <c r="Q6" s="29"/>
      <c r="R6" s="37">
        <v>170.0</v>
      </c>
      <c r="S6" s="27">
        <v>10900.0</v>
      </c>
      <c r="T6" s="27"/>
      <c r="U6" s="15" t="s">
        <v>36</v>
      </c>
      <c r="V6" s="36">
        <v>45093.0</v>
      </c>
      <c r="W6" s="37">
        <v>170.0</v>
      </c>
      <c r="X6" s="27">
        <v>127500.0</v>
      </c>
      <c r="Y6" s="15" t="s">
        <v>36</v>
      </c>
      <c r="Z6" s="41">
        <v>45036.0</v>
      </c>
      <c r="AA6" s="21">
        <v>167.11</v>
      </c>
      <c r="AB6" s="20">
        <v>125333.0</v>
      </c>
    </row>
    <row r="7">
      <c r="A7" s="38"/>
      <c r="B7" s="32"/>
      <c r="C7" s="14">
        <f>I7/E138</f>
        <v>0.02052028306</v>
      </c>
      <c r="D7" s="15" t="s">
        <v>37</v>
      </c>
      <c r="E7" s="15" t="s">
        <v>36</v>
      </c>
      <c r="F7" s="17">
        <v>8.0</v>
      </c>
      <c r="G7" s="18">
        <v>750.0</v>
      </c>
      <c r="H7" s="19">
        <f t="shared" si="1"/>
        <v>155595</v>
      </c>
      <c r="I7" s="20">
        <f>H7+O7</f>
        <v>313057.5</v>
      </c>
      <c r="J7" s="21">
        <v>207.46</v>
      </c>
      <c r="K7" s="22">
        <f>IFERROR(__xludf.DUMMYFUNCTION("GOOGLEFINANCE(E7,""changepct"")"),-3.3)</f>
        <v>-3.3</v>
      </c>
      <c r="L7" s="23">
        <f>IFERROR(__xludf.DUMMYFUNCTION("googlefinance(E7,""price"")"),417.41)</f>
        <v>417.41</v>
      </c>
      <c r="M7" s="24">
        <f t="shared" si="3"/>
        <v>209.95</v>
      </c>
      <c r="N7" s="25">
        <f>L7/J7-1</f>
        <v>1.012002314</v>
      </c>
      <c r="O7" s="19">
        <f t="shared" si="5"/>
        <v>157462.5</v>
      </c>
      <c r="P7" s="34"/>
      <c r="Q7" s="29"/>
      <c r="R7" s="37"/>
      <c r="S7" s="27">
        <v>15240.0</v>
      </c>
      <c r="T7" s="27"/>
      <c r="U7" s="15"/>
      <c r="V7" s="36"/>
      <c r="W7" s="37"/>
      <c r="X7" s="27"/>
      <c r="Y7" s="15"/>
      <c r="Z7" s="41"/>
      <c r="AA7" s="21"/>
      <c r="AB7" s="20"/>
    </row>
    <row r="8">
      <c r="A8" s="38"/>
      <c r="B8" s="32"/>
      <c r="C8" s="14">
        <f>I8/E138</f>
        <v>0</v>
      </c>
      <c r="D8" s="15" t="s">
        <v>35</v>
      </c>
      <c r="E8" s="15" t="s">
        <v>36</v>
      </c>
      <c r="F8" s="17">
        <v>8.0</v>
      </c>
      <c r="G8" s="18">
        <v>500.0</v>
      </c>
      <c r="H8" s="19">
        <f t="shared" si="1"/>
        <v>78780</v>
      </c>
      <c r="I8" s="20">
        <v>0.0</v>
      </c>
      <c r="J8" s="21">
        <v>157.56</v>
      </c>
      <c r="K8" s="22">
        <f>IFERROR(__xludf.DUMMYFUNCTION("GOOGLEFINANCE(E8,""changepct"")"),-3.3)</f>
        <v>-3.3</v>
      </c>
      <c r="L8" s="23">
        <f>IFERROR(__xludf.DUMMYFUNCTION("googlefinance(E8,""price"")"),417.41)</f>
        <v>417.41</v>
      </c>
      <c r="M8" s="24">
        <f t="shared" si="3"/>
        <v>259.85</v>
      </c>
      <c r="N8" s="25">
        <f>R8/J8-1</f>
        <v>0.5685453161</v>
      </c>
      <c r="O8" s="19">
        <f t="shared" si="5"/>
        <v>44790</v>
      </c>
      <c r="P8" s="34"/>
      <c r="Q8" s="29"/>
      <c r="R8" s="37">
        <v>247.14</v>
      </c>
      <c r="S8" s="27">
        <v>-2875.0</v>
      </c>
      <c r="T8" s="27"/>
      <c r="U8" s="15" t="s">
        <v>36</v>
      </c>
      <c r="V8" s="36">
        <v>45086.0</v>
      </c>
      <c r="W8" s="37">
        <v>247.14</v>
      </c>
      <c r="X8" s="27">
        <v>123570.0</v>
      </c>
      <c r="Y8" s="15" t="s">
        <v>36</v>
      </c>
      <c r="Z8" s="41">
        <v>45043.0</v>
      </c>
      <c r="AA8" s="21">
        <v>157.56</v>
      </c>
      <c r="AB8" s="20">
        <v>78780.0</v>
      </c>
    </row>
    <row r="9">
      <c r="A9" s="38"/>
      <c r="B9" s="32"/>
      <c r="C9" s="14">
        <f>I9/E138</f>
        <v>0.002064760999</v>
      </c>
      <c r="D9" s="16" t="s">
        <v>479</v>
      </c>
      <c r="E9" s="16" t="s">
        <v>480</v>
      </c>
      <c r="F9" s="17">
        <v>6.5</v>
      </c>
      <c r="G9" s="18">
        <v>10000.0</v>
      </c>
      <c r="H9" s="19">
        <f t="shared" si="1"/>
        <v>80400</v>
      </c>
      <c r="I9" s="20">
        <f t="shared" ref="I9:I11" si="6">H9+O9</f>
        <v>31500</v>
      </c>
      <c r="J9" s="21">
        <v>8.04</v>
      </c>
      <c r="K9" s="22">
        <f>IFERROR(__xludf.DUMMYFUNCTION("GOOGLEFINANCE(E9,""changepct"")"),-1.56)</f>
        <v>-1.56</v>
      </c>
      <c r="L9" s="23">
        <f>IFERROR(__xludf.DUMMYFUNCTION("googlefinance(E9,""price"")"),3.15)</f>
        <v>3.15</v>
      </c>
      <c r="M9" s="24">
        <f t="shared" si="3"/>
        <v>-4.89</v>
      </c>
      <c r="N9" s="25">
        <f t="shared" ref="N9:N11" si="7">L9/J9-1</f>
        <v>-0.6082089552</v>
      </c>
      <c r="O9" s="19">
        <f t="shared" si="5"/>
        <v>-48900</v>
      </c>
      <c r="P9" s="34"/>
      <c r="Q9" s="29"/>
      <c r="R9" s="37"/>
      <c r="S9" s="27">
        <v>-3860.0</v>
      </c>
      <c r="T9" s="27"/>
      <c r="U9" s="15"/>
      <c r="V9" s="36"/>
      <c r="W9" s="37"/>
      <c r="X9" s="27"/>
      <c r="Y9" s="15"/>
      <c r="Z9" s="41"/>
      <c r="AA9" s="21"/>
      <c r="AB9" s="20"/>
    </row>
    <row r="10">
      <c r="A10" s="38"/>
      <c r="B10" s="32"/>
      <c r="C10" s="14">
        <f>I10/E138</f>
        <v>0.002064760999</v>
      </c>
      <c r="D10" s="16" t="s">
        <v>479</v>
      </c>
      <c r="E10" s="16" t="s">
        <v>480</v>
      </c>
      <c r="F10" s="17">
        <v>6.5</v>
      </c>
      <c r="G10" s="18">
        <v>10000.0</v>
      </c>
      <c r="H10" s="19">
        <f t="shared" si="1"/>
        <v>65400</v>
      </c>
      <c r="I10" s="20">
        <f t="shared" si="6"/>
        <v>31500</v>
      </c>
      <c r="J10" s="21">
        <v>6.54</v>
      </c>
      <c r="K10" s="22">
        <f>IFERROR(__xludf.DUMMYFUNCTION("GOOGLEFINANCE(E10,""changepct"")"),-1.56)</f>
        <v>-1.56</v>
      </c>
      <c r="L10" s="23">
        <f>IFERROR(__xludf.DUMMYFUNCTION("googlefinance(E10,""price"")"),3.15)</f>
        <v>3.15</v>
      </c>
      <c r="M10" s="24">
        <f t="shared" si="3"/>
        <v>-3.39</v>
      </c>
      <c r="N10" s="25">
        <f t="shared" si="7"/>
        <v>-0.5183486239</v>
      </c>
      <c r="O10" s="19">
        <f t="shared" si="5"/>
        <v>-33900</v>
      </c>
      <c r="P10" s="34"/>
      <c r="Q10" s="29"/>
      <c r="R10" s="21"/>
      <c r="S10" s="27"/>
      <c r="T10" s="27"/>
      <c r="U10" s="15"/>
      <c r="V10" s="41"/>
      <c r="W10" s="21"/>
      <c r="X10" s="20"/>
      <c r="Y10" s="42" t="s">
        <v>480</v>
      </c>
      <c r="Z10" s="36">
        <v>45090.0</v>
      </c>
      <c r="AA10" s="37">
        <v>6.54</v>
      </c>
      <c r="AB10" s="27">
        <v>65400.0</v>
      </c>
    </row>
    <row r="11">
      <c r="A11" s="38"/>
      <c r="B11" s="32"/>
      <c r="C11" s="14">
        <f>I11/E138</f>
        <v>0.01239512079</v>
      </c>
      <c r="D11" s="42" t="s">
        <v>438</v>
      </c>
      <c r="E11" s="42" t="s">
        <v>439</v>
      </c>
      <c r="F11" s="44">
        <v>7.8</v>
      </c>
      <c r="G11" s="18">
        <v>10000.0</v>
      </c>
      <c r="H11" s="19">
        <f t="shared" si="1"/>
        <v>190100</v>
      </c>
      <c r="I11" s="20">
        <f t="shared" si="6"/>
        <v>189100</v>
      </c>
      <c r="J11" s="21">
        <v>19.01</v>
      </c>
      <c r="K11" s="22">
        <f>IFERROR(__xludf.DUMMYFUNCTION("GOOGLEFINANCE(E11,""changepct"")"),-0.32)</f>
        <v>-0.32</v>
      </c>
      <c r="L11" s="23">
        <f>IFERROR(__xludf.DUMMYFUNCTION("googlefinance(E11,""price"")"),18.91)</f>
        <v>18.91</v>
      </c>
      <c r="M11" s="24">
        <f t="shared" si="3"/>
        <v>-0.1</v>
      </c>
      <c r="N11" s="25">
        <f t="shared" si="7"/>
        <v>-0.005260389269</v>
      </c>
      <c r="O11" s="19">
        <f t="shared" si="5"/>
        <v>-1000</v>
      </c>
      <c r="P11" s="26">
        <v>0.04</v>
      </c>
      <c r="Q11" s="27" t="s">
        <v>128</v>
      </c>
      <c r="R11" s="21"/>
      <c r="S11" s="27"/>
      <c r="T11" s="27"/>
      <c r="U11" s="15"/>
      <c r="V11" s="41"/>
      <c r="W11" s="21"/>
      <c r="X11" s="20"/>
      <c r="Y11" s="42" t="s">
        <v>439</v>
      </c>
      <c r="Z11" s="36">
        <v>45106.0</v>
      </c>
      <c r="AA11" s="37">
        <v>19.01</v>
      </c>
      <c r="AB11" s="27">
        <v>190100.0</v>
      </c>
    </row>
    <row r="12">
      <c r="A12" s="38"/>
      <c r="B12" s="32"/>
      <c r="C12" s="14">
        <f>I12/E138</f>
        <v>0</v>
      </c>
      <c r="D12" s="42" t="s">
        <v>41</v>
      </c>
      <c r="E12" s="42" t="s">
        <v>40</v>
      </c>
      <c r="F12" s="44">
        <v>8.1</v>
      </c>
      <c r="G12" s="18">
        <v>800.0</v>
      </c>
      <c r="H12" s="19">
        <f t="shared" si="1"/>
        <v>65616</v>
      </c>
      <c r="I12" s="20">
        <v>0.0</v>
      </c>
      <c r="J12" s="21">
        <v>82.02</v>
      </c>
      <c r="K12" s="22">
        <f>IFERROR(__xludf.DUMMYFUNCTION("GOOGLEFINANCE(E12,""changepct"")"),-2.2)</f>
        <v>-2.2</v>
      </c>
      <c r="L12" s="23">
        <f>IFERROR(__xludf.DUMMYFUNCTION("googlefinance(E12,""price"")"),122.44)</f>
        <v>122.44</v>
      </c>
      <c r="M12" s="24">
        <f t="shared" si="3"/>
        <v>40.42</v>
      </c>
      <c r="N12" s="25">
        <f>R12/J12-1</f>
        <v>0.1216776396</v>
      </c>
      <c r="O12" s="19">
        <f t="shared" si="5"/>
        <v>7984</v>
      </c>
      <c r="P12" s="34"/>
      <c r="Q12" s="29"/>
      <c r="R12" s="21">
        <v>92.0</v>
      </c>
      <c r="S12" s="27">
        <v>9050.0</v>
      </c>
      <c r="T12" s="27"/>
      <c r="U12" s="15" t="s">
        <v>40</v>
      </c>
      <c r="V12" s="41">
        <v>45093.0</v>
      </c>
      <c r="W12" s="21">
        <v>92.0</v>
      </c>
      <c r="X12" s="20">
        <v>73600.0</v>
      </c>
      <c r="Y12" s="42"/>
      <c r="Z12" s="36"/>
      <c r="AA12" s="37"/>
      <c r="AB12" s="27"/>
    </row>
    <row r="13">
      <c r="A13" s="38"/>
      <c r="B13" s="32"/>
      <c r="C13" s="14">
        <f>I13/E138</f>
        <v>0.00802569323</v>
      </c>
      <c r="D13" s="42" t="s">
        <v>40</v>
      </c>
      <c r="E13" s="42" t="s">
        <v>40</v>
      </c>
      <c r="F13" s="44">
        <v>8.1</v>
      </c>
      <c r="G13" s="18">
        <v>1000.0</v>
      </c>
      <c r="H13" s="19">
        <f t="shared" si="1"/>
        <v>109900</v>
      </c>
      <c r="I13" s="20">
        <f t="shared" ref="I13:I15" si="8">H13+O13</f>
        <v>122440</v>
      </c>
      <c r="J13" s="21">
        <v>109.9</v>
      </c>
      <c r="K13" s="22">
        <f>IFERROR(__xludf.DUMMYFUNCTION("GOOGLEFINANCE(E13,""changepct"")"),-2.2)</f>
        <v>-2.2</v>
      </c>
      <c r="L13" s="23">
        <f>IFERROR(__xludf.DUMMYFUNCTION("googlefinance(E13,""price"")"),122.44)</f>
        <v>122.44</v>
      </c>
      <c r="M13" s="24">
        <f t="shared" si="3"/>
        <v>12.54</v>
      </c>
      <c r="N13" s="25">
        <f t="shared" ref="N13:N15" si="9">L13/J13-1</f>
        <v>0.1141037307</v>
      </c>
      <c r="O13" s="19">
        <f t="shared" si="5"/>
        <v>12540</v>
      </c>
      <c r="P13" s="34"/>
      <c r="Q13" s="29"/>
      <c r="R13" s="21"/>
      <c r="S13" s="27"/>
      <c r="T13" s="27"/>
      <c r="U13" s="15"/>
      <c r="V13" s="41"/>
      <c r="W13" s="21"/>
      <c r="X13" s="20"/>
      <c r="Y13" s="42" t="s">
        <v>40</v>
      </c>
      <c r="Z13" s="36">
        <v>45106.0</v>
      </c>
      <c r="AA13" s="37">
        <v>109.9</v>
      </c>
      <c r="AB13" s="27">
        <v>109900.0</v>
      </c>
    </row>
    <row r="14">
      <c r="A14" s="38"/>
      <c r="B14" s="32"/>
      <c r="C14" s="14">
        <f>I14/E138</f>
        <v>0.00802569323</v>
      </c>
      <c r="D14" s="42" t="s">
        <v>41</v>
      </c>
      <c r="E14" s="42" t="s">
        <v>40</v>
      </c>
      <c r="F14" s="44">
        <v>8.1</v>
      </c>
      <c r="G14" s="18">
        <v>1000.0</v>
      </c>
      <c r="H14" s="19">
        <f t="shared" si="1"/>
        <v>109120</v>
      </c>
      <c r="I14" s="20">
        <f t="shared" si="8"/>
        <v>122440</v>
      </c>
      <c r="J14" s="21">
        <v>109.12</v>
      </c>
      <c r="K14" s="22">
        <f>IFERROR(__xludf.DUMMYFUNCTION("GOOGLEFINANCE(E14,""changepct"")"),-2.2)</f>
        <v>-2.2</v>
      </c>
      <c r="L14" s="23">
        <f>IFERROR(__xludf.DUMMYFUNCTION("googlefinance(E14,""price"")"),122.44)</f>
        <v>122.44</v>
      </c>
      <c r="M14" s="24">
        <f t="shared" si="3"/>
        <v>13.32</v>
      </c>
      <c r="N14" s="25">
        <f t="shared" si="9"/>
        <v>0.1220674487</v>
      </c>
      <c r="O14" s="19">
        <f t="shared" si="5"/>
        <v>13320</v>
      </c>
      <c r="P14" s="34"/>
      <c r="Q14" s="29"/>
      <c r="R14" s="21"/>
      <c r="S14" s="27"/>
      <c r="T14" s="27"/>
      <c r="U14" s="15"/>
      <c r="V14" s="41"/>
      <c r="W14" s="21"/>
      <c r="X14" s="20"/>
      <c r="Y14" s="42" t="s">
        <v>40</v>
      </c>
      <c r="Z14" s="36">
        <v>45100.0</v>
      </c>
      <c r="AA14" s="37">
        <v>109.12</v>
      </c>
      <c r="AB14" s="27">
        <v>109120.0</v>
      </c>
    </row>
    <row r="15">
      <c r="A15" s="38"/>
      <c r="B15" s="32"/>
      <c r="C15" s="14">
        <f>I15/E138</f>
        <v>0.00802569323</v>
      </c>
      <c r="D15" s="42" t="s">
        <v>39</v>
      </c>
      <c r="E15" s="42" t="s">
        <v>40</v>
      </c>
      <c r="F15" s="44">
        <v>8.1</v>
      </c>
      <c r="G15" s="18">
        <v>1000.0</v>
      </c>
      <c r="H15" s="19">
        <f t="shared" si="1"/>
        <v>82020</v>
      </c>
      <c r="I15" s="20">
        <f t="shared" si="8"/>
        <v>122440</v>
      </c>
      <c r="J15" s="21">
        <v>82.02</v>
      </c>
      <c r="K15" s="22">
        <f>IFERROR(__xludf.DUMMYFUNCTION("GOOGLEFINANCE(E15,""changepct"")"),-2.2)</f>
        <v>-2.2</v>
      </c>
      <c r="L15" s="23">
        <f>IFERROR(__xludf.DUMMYFUNCTION("googlefinance(E15,""price"")"),122.44)</f>
        <v>122.44</v>
      </c>
      <c r="M15" s="24">
        <f t="shared" si="3"/>
        <v>40.42</v>
      </c>
      <c r="N15" s="25">
        <f t="shared" si="9"/>
        <v>0.4928066325</v>
      </c>
      <c r="O15" s="19">
        <f t="shared" si="5"/>
        <v>40420</v>
      </c>
      <c r="P15" s="34"/>
      <c r="Q15" s="29"/>
      <c r="R15" s="21"/>
      <c r="S15" s="27"/>
      <c r="T15" s="27"/>
      <c r="U15" s="15"/>
      <c r="V15" s="41"/>
      <c r="W15" s="21"/>
      <c r="X15" s="20"/>
      <c r="Y15" s="42" t="s">
        <v>40</v>
      </c>
      <c r="Z15" s="36">
        <v>45049.0</v>
      </c>
      <c r="AA15" s="37">
        <v>82.02</v>
      </c>
      <c r="AB15" s="27">
        <v>147636.0</v>
      </c>
    </row>
    <row r="16">
      <c r="A16" s="38"/>
      <c r="B16" s="32"/>
      <c r="C16" s="14">
        <f>I16/E138</f>
        <v>0</v>
      </c>
      <c r="D16" s="45" t="s">
        <v>527</v>
      </c>
      <c r="E16" s="45" t="s">
        <v>43</v>
      </c>
      <c r="F16" s="44">
        <v>8.2</v>
      </c>
      <c r="G16" s="18">
        <v>2000.0</v>
      </c>
      <c r="H16" s="19">
        <f t="shared" si="1"/>
        <v>209720</v>
      </c>
      <c r="I16" s="20">
        <v>0.0</v>
      </c>
      <c r="J16" s="21">
        <v>104.86</v>
      </c>
      <c r="K16" s="22">
        <f>IFERROR(__xludf.DUMMYFUNCTION("GOOGLEFINANCE(E16,""changepct"")"),-1.09)</f>
        <v>-1.09</v>
      </c>
      <c r="L16" s="23">
        <f>IFERROR(__xludf.DUMMYFUNCTION("googlefinance(E16,""price"")"),221.3)</f>
        <v>221.3</v>
      </c>
      <c r="M16" s="24">
        <f t="shared" si="3"/>
        <v>116.44</v>
      </c>
      <c r="N16" s="25">
        <f>R16/J16-1</f>
        <v>0.04901773794</v>
      </c>
      <c r="O16" s="19">
        <f t="shared" si="5"/>
        <v>10280</v>
      </c>
      <c r="P16" s="34"/>
      <c r="Q16" s="29"/>
      <c r="R16" s="21">
        <v>110.0</v>
      </c>
      <c r="S16" s="27">
        <v>6000.0</v>
      </c>
      <c r="T16" s="27"/>
      <c r="U16" s="15" t="s">
        <v>43</v>
      </c>
      <c r="V16" s="41">
        <v>45093.0</v>
      </c>
      <c r="W16" s="21">
        <v>110.0</v>
      </c>
      <c r="X16" s="20">
        <v>220000.0</v>
      </c>
      <c r="Y16" s="42" t="s">
        <v>43</v>
      </c>
      <c r="Z16" s="36">
        <v>45044.0</v>
      </c>
      <c r="AA16" s="37">
        <v>104.86</v>
      </c>
      <c r="AB16" s="27">
        <v>209720.0</v>
      </c>
    </row>
    <row r="17">
      <c r="A17" s="38"/>
      <c r="B17" s="32"/>
      <c r="C17" s="14">
        <f>I17/E138</f>
        <v>0.07252882685</v>
      </c>
      <c r="D17" s="42" t="s">
        <v>42</v>
      </c>
      <c r="E17" s="45" t="s">
        <v>43</v>
      </c>
      <c r="F17" s="44">
        <v>8.2</v>
      </c>
      <c r="G17" s="18">
        <v>5000.0</v>
      </c>
      <c r="H17" s="19">
        <f t="shared" si="1"/>
        <v>516450</v>
      </c>
      <c r="I17" s="20">
        <f>H17+O17</f>
        <v>1106500</v>
      </c>
      <c r="J17" s="21">
        <v>103.29</v>
      </c>
      <c r="K17" s="22">
        <f>IFERROR(__xludf.DUMMYFUNCTION("GOOGLEFINANCE(E17,""changepct"")"),-1.09)</f>
        <v>-1.09</v>
      </c>
      <c r="L17" s="23">
        <f>IFERROR(__xludf.DUMMYFUNCTION("googlefinance(E17,""price"")"),221.3)</f>
        <v>221.3</v>
      </c>
      <c r="M17" s="24">
        <f t="shared" si="3"/>
        <v>118.01</v>
      </c>
      <c r="N17" s="25">
        <f>L17/J17-1</f>
        <v>1.142511376</v>
      </c>
      <c r="O17" s="19">
        <f t="shared" si="5"/>
        <v>590050</v>
      </c>
      <c r="P17" s="34"/>
      <c r="Q17" s="29"/>
      <c r="R17" s="21"/>
      <c r="S17" s="27">
        <v>2640.0</v>
      </c>
      <c r="T17" s="27"/>
      <c r="U17" s="15"/>
      <c r="V17" s="41"/>
      <c r="W17" s="21"/>
      <c r="X17" s="20"/>
      <c r="Y17" s="42"/>
      <c r="Z17" s="36"/>
      <c r="AA17" s="37"/>
      <c r="AB17" s="27"/>
    </row>
    <row r="18">
      <c r="A18" s="38"/>
      <c r="B18" s="32"/>
      <c r="C18" s="14">
        <f>I18/E138</f>
        <v>0</v>
      </c>
      <c r="D18" s="42" t="s">
        <v>48</v>
      </c>
      <c r="E18" s="45" t="s">
        <v>46</v>
      </c>
      <c r="F18" s="44">
        <v>8.2</v>
      </c>
      <c r="G18" s="18">
        <v>25000.0</v>
      </c>
      <c r="H18" s="19">
        <f t="shared" si="1"/>
        <v>211250</v>
      </c>
      <c r="I18" s="20">
        <v>0.0</v>
      </c>
      <c r="J18" s="21">
        <v>8.45</v>
      </c>
      <c r="K18" s="22">
        <f>IFERROR(__xludf.DUMMYFUNCTION("GOOGLEFINANCE(E18,""changepct"")"),-2.4)</f>
        <v>-2.4</v>
      </c>
      <c r="L18" s="23">
        <f>IFERROR(__xludf.DUMMYFUNCTION("googlefinance(E18,""price"")"),77.18)</f>
        <v>77.18</v>
      </c>
      <c r="M18" s="24">
        <f t="shared" si="3"/>
        <v>68.73</v>
      </c>
      <c r="N18" s="25">
        <f>R18/J18-1</f>
        <v>0.2426035503</v>
      </c>
      <c r="O18" s="19">
        <f t="shared" si="5"/>
        <v>51250</v>
      </c>
      <c r="P18" s="34"/>
      <c r="Q18" s="29"/>
      <c r="R18" s="342">
        <v>10.5</v>
      </c>
      <c r="S18" s="27">
        <v>41100.0</v>
      </c>
      <c r="T18" s="27"/>
      <c r="U18" s="15" t="s">
        <v>46</v>
      </c>
      <c r="V18" s="36">
        <v>45086.0</v>
      </c>
      <c r="W18" s="37">
        <v>10.5</v>
      </c>
      <c r="X18" s="27">
        <v>262500.0</v>
      </c>
      <c r="Y18" s="42"/>
      <c r="Z18" s="41"/>
      <c r="AA18" s="21"/>
      <c r="AB18" s="20"/>
    </row>
    <row r="19">
      <c r="A19" s="38"/>
      <c r="B19" s="32"/>
      <c r="C19" s="14">
        <f>I19/E138</f>
        <v>0.05058992188</v>
      </c>
      <c r="D19" s="42" t="s">
        <v>48</v>
      </c>
      <c r="E19" s="45" t="s">
        <v>46</v>
      </c>
      <c r="F19" s="44">
        <v>8.2</v>
      </c>
      <c r="G19" s="18">
        <v>10000.0</v>
      </c>
      <c r="H19" s="19">
        <f t="shared" si="1"/>
        <v>136500</v>
      </c>
      <c r="I19" s="20">
        <f t="shared" ref="I19:I20" si="10">H19+O19</f>
        <v>771800</v>
      </c>
      <c r="J19" s="21">
        <v>13.65</v>
      </c>
      <c r="K19" s="22">
        <f>IFERROR(__xludf.DUMMYFUNCTION("GOOGLEFINANCE(E19,""changepct"")"),-2.4)</f>
        <v>-2.4</v>
      </c>
      <c r="L19" s="23">
        <f>IFERROR(__xludf.DUMMYFUNCTION("googlefinance(E19,""price"")"),77.18)</f>
        <v>77.18</v>
      </c>
      <c r="M19" s="24">
        <f t="shared" si="3"/>
        <v>63.53</v>
      </c>
      <c r="N19" s="25">
        <f t="shared" ref="N19:N20" si="11">L19/J19-1</f>
        <v>4.654212454</v>
      </c>
      <c r="O19" s="19">
        <f t="shared" si="5"/>
        <v>635300</v>
      </c>
      <c r="P19" s="34"/>
      <c r="Q19" s="29"/>
      <c r="R19" s="342"/>
      <c r="S19" s="27"/>
      <c r="T19" s="27"/>
      <c r="U19" s="15"/>
      <c r="V19" s="36"/>
      <c r="W19" s="37"/>
      <c r="X19" s="27"/>
      <c r="Y19" s="42" t="s">
        <v>46</v>
      </c>
      <c r="Z19" s="41">
        <v>45100.0</v>
      </c>
      <c r="AA19" s="21">
        <v>13.65</v>
      </c>
      <c r="AB19" s="20">
        <v>136500.0</v>
      </c>
    </row>
    <row r="20">
      <c r="A20" s="38"/>
      <c r="B20" s="32"/>
      <c r="C20" s="14">
        <f>I20/E138</f>
        <v>0.07588488282</v>
      </c>
      <c r="D20" s="42" t="s">
        <v>48</v>
      </c>
      <c r="E20" s="45" t="s">
        <v>46</v>
      </c>
      <c r="F20" s="44">
        <v>8.2</v>
      </c>
      <c r="G20" s="18">
        <v>15000.0</v>
      </c>
      <c r="H20" s="19">
        <f t="shared" si="1"/>
        <v>237450</v>
      </c>
      <c r="I20" s="20">
        <f t="shared" si="10"/>
        <v>1157700</v>
      </c>
      <c r="J20" s="21">
        <v>15.83</v>
      </c>
      <c r="K20" s="22">
        <f>IFERROR(__xludf.DUMMYFUNCTION("GOOGLEFINANCE(E20,""changepct"")"),-2.4)</f>
        <v>-2.4</v>
      </c>
      <c r="L20" s="23">
        <f>IFERROR(__xludf.DUMMYFUNCTION("googlefinance(E20,""price"")"),77.18)</f>
        <v>77.18</v>
      </c>
      <c r="M20" s="24">
        <f t="shared" si="3"/>
        <v>61.35</v>
      </c>
      <c r="N20" s="25">
        <f t="shared" si="11"/>
        <v>3.875552748</v>
      </c>
      <c r="O20" s="19">
        <f t="shared" si="5"/>
        <v>920250</v>
      </c>
      <c r="P20" s="34"/>
      <c r="Q20" s="29"/>
      <c r="R20" s="342"/>
      <c r="S20" s="27">
        <v>12900.0</v>
      </c>
      <c r="T20" s="27"/>
      <c r="U20" s="15"/>
      <c r="V20" s="36"/>
      <c r="W20" s="37"/>
      <c r="X20" s="27"/>
      <c r="Y20" s="42" t="s">
        <v>46</v>
      </c>
      <c r="Z20" s="41">
        <v>45090.0</v>
      </c>
      <c r="AA20" s="21">
        <v>15.83</v>
      </c>
      <c r="AB20" s="20">
        <v>237450.0</v>
      </c>
    </row>
    <row r="21">
      <c r="A21" s="38"/>
      <c r="B21" s="32"/>
      <c r="C21" s="14">
        <f>I21/E138</f>
        <v>0</v>
      </c>
      <c r="D21" s="42" t="s">
        <v>48</v>
      </c>
      <c r="E21" s="45" t="s">
        <v>46</v>
      </c>
      <c r="F21" s="44">
        <v>8.2</v>
      </c>
      <c r="G21" s="18">
        <v>25000.0</v>
      </c>
      <c r="H21" s="19">
        <f t="shared" si="1"/>
        <v>211250</v>
      </c>
      <c r="I21" s="20">
        <v>0.0</v>
      </c>
      <c r="J21" s="21">
        <v>8.45</v>
      </c>
      <c r="K21" s="22">
        <f>IFERROR(__xludf.DUMMYFUNCTION("GOOGLEFINANCE(E21,""changepct"")"),-2.4)</f>
        <v>-2.4</v>
      </c>
      <c r="L21" s="23">
        <f>IFERROR(__xludf.DUMMYFUNCTION("googlefinance(E21,""price"")"),77.18)</f>
        <v>77.18</v>
      </c>
      <c r="M21" s="24">
        <f t="shared" si="3"/>
        <v>68.73</v>
      </c>
      <c r="N21" s="25">
        <f>R21/J21-1</f>
        <v>0.8650887574</v>
      </c>
      <c r="O21" s="19">
        <f t="shared" si="5"/>
        <v>182750</v>
      </c>
      <c r="P21" s="34"/>
      <c r="Q21" s="29"/>
      <c r="R21" s="342">
        <v>15.76</v>
      </c>
      <c r="S21" s="27"/>
      <c r="T21" s="27"/>
      <c r="U21" s="15" t="s">
        <v>46</v>
      </c>
      <c r="V21" s="36">
        <v>45090.0</v>
      </c>
      <c r="W21" s="37">
        <v>15.76</v>
      </c>
      <c r="X21" s="27">
        <v>394000.0</v>
      </c>
      <c r="Y21" s="42"/>
      <c r="Z21" s="41"/>
      <c r="AA21" s="21"/>
      <c r="AB21" s="20"/>
    </row>
    <row r="22">
      <c r="A22" s="38"/>
      <c r="B22" s="32"/>
      <c r="C22" s="14">
        <f>I22/E138</f>
        <v>0.2529496094</v>
      </c>
      <c r="D22" s="42" t="s">
        <v>45</v>
      </c>
      <c r="E22" s="45" t="s">
        <v>46</v>
      </c>
      <c r="F22" s="44">
        <v>8.2</v>
      </c>
      <c r="G22" s="18">
        <v>50000.0</v>
      </c>
      <c r="H22" s="19">
        <f t="shared" si="1"/>
        <v>422500</v>
      </c>
      <c r="I22" s="20">
        <f t="shared" ref="I22:I30" si="12">H22+O22</f>
        <v>3859000</v>
      </c>
      <c r="J22" s="21">
        <v>8.45</v>
      </c>
      <c r="K22" s="22">
        <f>IFERROR(__xludf.DUMMYFUNCTION("GOOGLEFINANCE(E22,""changepct"")"),-2.4)</f>
        <v>-2.4</v>
      </c>
      <c r="L22" s="23">
        <f>IFERROR(__xludf.DUMMYFUNCTION("googlefinance(E22,""price"")"),77.18)</f>
        <v>77.18</v>
      </c>
      <c r="M22" s="24">
        <f t="shared" si="3"/>
        <v>68.73</v>
      </c>
      <c r="N22" s="25">
        <f t="shared" ref="N22:N30" si="13">L22/J22-1</f>
        <v>8.133727811</v>
      </c>
      <c r="O22" s="19">
        <f t="shared" si="5"/>
        <v>3436500</v>
      </c>
      <c r="P22" s="34"/>
      <c r="Q22" s="29"/>
      <c r="R22" s="343"/>
      <c r="S22" s="27"/>
      <c r="T22" s="27"/>
      <c r="U22" s="15"/>
      <c r="V22" s="36"/>
      <c r="W22" s="37"/>
      <c r="X22" s="27"/>
      <c r="Y22" s="42"/>
      <c r="Z22" s="41"/>
      <c r="AA22" s="21"/>
      <c r="AB22" s="20"/>
    </row>
    <row r="23">
      <c r="A23" s="38"/>
      <c r="B23" s="32"/>
      <c r="C23" s="14">
        <f>I23/E138</f>
        <v>0.01013240493</v>
      </c>
      <c r="D23" s="45" t="s">
        <v>440</v>
      </c>
      <c r="E23" s="45" t="s">
        <v>77</v>
      </c>
      <c r="F23" s="44">
        <v>8.0</v>
      </c>
      <c r="G23" s="18">
        <v>1000.0</v>
      </c>
      <c r="H23" s="19">
        <f t="shared" si="1"/>
        <v>118740</v>
      </c>
      <c r="I23" s="20">
        <f t="shared" si="12"/>
        <v>154580</v>
      </c>
      <c r="J23" s="21">
        <v>118.74</v>
      </c>
      <c r="K23" s="22">
        <f>IFERROR(__xludf.DUMMYFUNCTION("GOOGLEFINANCE(E23,""changepct"")"),-1.69)</f>
        <v>-1.69</v>
      </c>
      <c r="L23" s="23">
        <f>IFERROR(__xludf.DUMMYFUNCTION("googlefinance(E23,""price"")"),154.58)</f>
        <v>154.58</v>
      </c>
      <c r="M23" s="24">
        <f t="shared" si="3"/>
        <v>35.84</v>
      </c>
      <c r="N23" s="25">
        <f t="shared" si="13"/>
        <v>0.3018359441</v>
      </c>
      <c r="O23" s="19">
        <f t="shared" si="5"/>
        <v>35840</v>
      </c>
      <c r="P23" s="47">
        <v>0.027</v>
      </c>
      <c r="Q23" s="27" t="s">
        <v>128</v>
      </c>
      <c r="R23" s="341" t="s">
        <v>528</v>
      </c>
      <c r="S23" s="27">
        <v>5800.0</v>
      </c>
      <c r="T23" s="27"/>
      <c r="U23" s="15"/>
      <c r="V23" s="41"/>
      <c r="W23" s="21"/>
      <c r="X23" s="20"/>
      <c r="Y23" s="15" t="s">
        <v>77</v>
      </c>
      <c r="Z23" s="41">
        <v>45086.0</v>
      </c>
      <c r="AA23" s="21">
        <v>118.74</v>
      </c>
      <c r="AB23" s="20">
        <v>118740.0</v>
      </c>
    </row>
    <row r="24">
      <c r="A24" s="38"/>
      <c r="B24" s="32"/>
      <c r="C24" s="14">
        <f>I24/E138</f>
        <v>0.01013240493</v>
      </c>
      <c r="D24" s="45" t="s">
        <v>440</v>
      </c>
      <c r="E24" s="45" t="s">
        <v>77</v>
      </c>
      <c r="F24" s="44">
        <v>8.0</v>
      </c>
      <c r="G24" s="18">
        <v>1000.0</v>
      </c>
      <c r="H24" s="19">
        <f t="shared" si="1"/>
        <v>127580</v>
      </c>
      <c r="I24" s="20">
        <f t="shared" si="12"/>
        <v>154580</v>
      </c>
      <c r="J24" s="21">
        <v>127.58</v>
      </c>
      <c r="K24" s="22">
        <f>IFERROR(__xludf.DUMMYFUNCTION("GOOGLEFINANCE(E24,""changepct"")"),-1.69)</f>
        <v>-1.69</v>
      </c>
      <c r="L24" s="23">
        <f>IFERROR(__xludf.DUMMYFUNCTION("googlefinance(E24,""price"")"),154.58)</f>
        <v>154.58</v>
      </c>
      <c r="M24" s="24">
        <f t="shared" si="3"/>
        <v>27</v>
      </c>
      <c r="N24" s="25">
        <f t="shared" si="13"/>
        <v>0.2116319172</v>
      </c>
      <c r="O24" s="19">
        <f t="shared" si="5"/>
        <v>27000</v>
      </c>
      <c r="P24" s="47">
        <v>0.027</v>
      </c>
      <c r="Q24" s="27">
        <v>810.0</v>
      </c>
      <c r="R24" s="21"/>
      <c r="S24" s="27">
        <v>4625.0</v>
      </c>
      <c r="T24" s="27">
        <v>3450.0</v>
      </c>
      <c r="U24" s="15"/>
      <c r="V24" s="41"/>
      <c r="W24" s="21"/>
      <c r="X24" s="20"/>
      <c r="Y24" s="15"/>
      <c r="Z24" s="41"/>
      <c r="AA24" s="21"/>
      <c r="AB24" s="20"/>
    </row>
    <row r="25">
      <c r="A25" s="38"/>
      <c r="B25" s="32"/>
      <c r="C25" s="14">
        <f>I25/E138</f>
        <v>0.005422783412</v>
      </c>
      <c r="D25" s="42" t="s">
        <v>441</v>
      </c>
      <c r="E25" s="42" t="s">
        <v>340</v>
      </c>
      <c r="F25" s="44">
        <v>7.5</v>
      </c>
      <c r="G25" s="18">
        <v>1000.0</v>
      </c>
      <c r="H25" s="19">
        <f t="shared" si="1"/>
        <v>69600</v>
      </c>
      <c r="I25" s="20">
        <f t="shared" si="12"/>
        <v>82730</v>
      </c>
      <c r="J25" s="21">
        <v>69.6</v>
      </c>
      <c r="K25" s="22">
        <f>IFERROR(__xludf.DUMMYFUNCTION("GOOGLEFINANCE(E25,""changepct"")"),-1.3)</f>
        <v>-1.3</v>
      </c>
      <c r="L25" s="23">
        <f>IFERROR(__xludf.DUMMYFUNCTION("googlefinance(E25,""price"")"),82.73)</f>
        <v>82.73</v>
      </c>
      <c r="M25" s="24">
        <f t="shared" si="3"/>
        <v>13.13</v>
      </c>
      <c r="N25" s="25">
        <f t="shared" si="13"/>
        <v>0.1886494253</v>
      </c>
      <c r="O25" s="19">
        <f t="shared" si="5"/>
        <v>13130</v>
      </c>
      <c r="P25" s="34"/>
      <c r="Q25" s="29"/>
      <c r="R25" s="35"/>
      <c r="S25" s="27">
        <v>1650.0</v>
      </c>
      <c r="T25" s="27"/>
      <c r="U25" s="15"/>
      <c r="V25" s="41"/>
      <c r="W25" s="21"/>
      <c r="X25" s="20"/>
      <c r="Y25" s="15" t="s">
        <v>340</v>
      </c>
      <c r="Z25" s="36">
        <v>45068.0</v>
      </c>
      <c r="AA25" s="37">
        <v>69.6</v>
      </c>
      <c r="AB25" s="27">
        <v>69600.0</v>
      </c>
    </row>
    <row r="26">
      <c r="A26" s="38"/>
      <c r="B26" s="32"/>
      <c r="C26" s="14">
        <f>I26/E138</f>
        <v>0.01084556682</v>
      </c>
      <c r="D26" s="42" t="s">
        <v>441</v>
      </c>
      <c r="E26" s="42" t="s">
        <v>340</v>
      </c>
      <c r="F26" s="44">
        <v>7.5</v>
      </c>
      <c r="G26" s="18">
        <v>2000.0</v>
      </c>
      <c r="H26" s="19">
        <f t="shared" si="1"/>
        <v>147680</v>
      </c>
      <c r="I26" s="20">
        <f t="shared" si="12"/>
        <v>165460</v>
      </c>
      <c r="J26" s="21">
        <v>73.84</v>
      </c>
      <c r="K26" s="22">
        <f>IFERROR(__xludf.DUMMYFUNCTION("GOOGLEFINANCE(E26,""changepct"")"),-1.3)</f>
        <v>-1.3</v>
      </c>
      <c r="L26" s="23">
        <f>IFERROR(__xludf.DUMMYFUNCTION("googlefinance(E26,""price"")"),82.73)</f>
        <v>82.73</v>
      </c>
      <c r="M26" s="24">
        <f t="shared" si="3"/>
        <v>8.89</v>
      </c>
      <c r="N26" s="25">
        <f t="shared" si="13"/>
        <v>0.1203954496</v>
      </c>
      <c r="O26" s="19">
        <f t="shared" si="5"/>
        <v>17780</v>
      </c>
      <c r="P26" s="34"/>
      <c r="Q26" s="29"/>
      <c r="R26" s="21"/>
      <c r="S26" s="27">
        <v>9570.0</v>
      </c>
      <c r="T26" s="27">
        <v>9650.0</v>
      </c>
      <c r="U26" s="15"/>
      <c r="V26" s="41"/>
      <c r="W26" s="21"/>
      <c r="X26" s="20"/>
      <c r="Y26" s="15"/>
      <c r="Z26" s="36"/>
      <c r="AA26" s="37"/>
      <c r="AB26" s="27"/>
    </row>
    <row r="27">
      <c r="A27" s="38"/>
      <c r="B27" s="32"/>
      <c r="C27" s="14">
        <f>I27/E138</f>
        <v>0.01544637871</v>
      </c>
      <c r="D27" s="15" t="s">
        <v>376</v>
      </c>
      <c r="E27" s="15" t="s">
        <v>377</v>
      </c>
      <c r="F27" s="17">
        <v>8.0</v>
      </c>
      <c r="G27" s="18">
        <v>3000.0</v>
      </c>
      <c r="H27" s="19">
        <f t="shared" si="1"/>
        <v>150870</v>
      </c>
      <c r="I27" s="20">
        <f t="shared" si="12"/>
        <v>235650</v>
      </c>
      <c r="J27" s="21">
        <v>50.29</v>
      </c>
      <c r="K27" s="22">
        <f>IFERROR(__xludf.DUMMYFUNCTION("GOOGLEFINANCE(E27,""changepct"")"),-2.29)</f>
        <v>-2.29</v>
      </c>
      <c r="L27" s="23">
        <f>IFERROR(__xludf.DUMMYFUNCTION("googlefinance(E27,""price"")"),78.55)</f>
        <v>78.55</v>
      </c>
      <c r="M27" s="24">
        <f t="shared" si="3"/>
        <v>28.26</v>
      </c>
      <c r="N27" s="25">
        <f t="shared" si="13"/>
        <v>0.5619407437</v>
      </c>
      <c r="O27" s="19">
        <f t="shared" si="5"/>
        <v>84780</v>
      </c>
      <c r="P27" s="14"/>
      <c r="Q27" s="19"/>
      <c r="R27" s="37"/>
      <c r="S27" s="27"/>
      <c r="T27" s="27"/>
      <c r="U27" s="15"/>
      <c r="V27" s="36"/>
      <c r="W27" s="37"/>
      <c r="X27" s="27"/>
      <c r="Y27" s="15"/>
      <c r="Z27" s="36"/>
      <c r="AA27" s="37"/>
      <c r="AB27" s="27"/>
    </row>
    <row r="28">
      <c r="A28" s="38"/>
      <c r="B28" s="32"/>
      <c r="C28" s="14">
        <f>I28/E138</f>
        <v>0.01132865535</v>
      </c>
      <c r="D28" s="15" t="s">
        <v>378</v>
      </c>
      <c r="E28" s="15" t="s">
        <v>379</v>
      </c>
      <c r="F28" s="17">
        <v>8.0</v>
      </c>
      <c r="G28" s="18">
        <v>3000.0</v>
      </c>
      <c r="H28" s="19">
        <f t="shared" si="1"/>
        <v>121020</v>
      </c>
      <c r="I28" s="20">
        <f t="shared" si="12"/>
        <v>172830</v>
      </c>
      <c r="J28" s="21">
        <v>40.34</v>
      </c>
      <c r="K28" s="22">
        <f>IFERROR(__xludf.DUMMYFUNCTION("GOOGLEFINANCE(E28,""changepct"")"),-2.8)</f>
        <v>-2.8</v>
      </c>
      <c r="L28" s="23">
        <f>IFERROR(__xludf.DUMMYFUNCTION("googlefinance(E28,""price"")"),57.61)</f>
        <v>57.61</v>
      </c>
      <c r="M28" s="24">
        <f t="shared" si="3"/>
        <v>17.27</v>
      </c>
      <c r="N28" s="25">
        <f t="shared" si="13"/>
        <v>0.428111056</v>
      </c>
      <c r="O28" s="19">
        <f t="shared" si="5"/>
        <v>51810</v>
      </c>
      <c r="P28" s="14"/>
      <c r="Q28" s="19"/>
      <c r="R28" s="37"/>
      <c r="S28" s="27"/>
      <c r="T28" s="27"/>
      <c r="U28" s="15"/>
      <c r="V28" s="36"/>
      <c r="W28" s="288"/>
      <c r="X28" s="27"/>
      <c r="Y28" s="15"/>
      <c r="Z28" s="36"/>
      <c r="AA28" s="37"/>
      <c r="AB28" s="27"/>
    </row>
    <row r="29">
      <c r="A29" s="38"/>
      <c r="B29" s="32"/>
      <c r="C29" s="14">
        <f>I29/E138</f>
        <v>0.02157380278</v>
      </c>
      <c r="D29" s="104" t="s">
        <v>333</v>
      </c>
      <c r="E29" s="278" t="s">
        <v>334</v>
      </c>
      <c r="F29" s="279">
        <v>7.9</v>
      </c>
      <c r="G29" s="18">
        <v>3000.0</v>
      </c>
      <c r="H29" s="19">
        <f t="shared" si="1"/>
        <v>160830</v>
      </c>
      <c r="I29" s="20">
        <f t="shared" si="12"/>
        <v>329130</v>
      </c>
      <c r="J29" s="21">
        <v>53.61</v>
      </c>
      <c r="K29" s="22">
        <f>IFERROR(__xludf.DUMMYFUNCTION("GOOGLEFINANCE(E29,""changepct"")"),-1.76)</f>
        <v>-1.76</v>
      </c>
      <c r="L29" s="23">
        <f>IFERROR(__xludf.DUMMYFUNCTION("googlefinance(E29,""price"")"),109.71)</f>
        <v>109.71</v>
      </c>
      <c r="M29" s="24">
        <f t="shared" si="3"/>
        <v>56.1</v>
      </c>
      <c r="N29" s="25">
        <f t="shared" si="13"/>
        <v>1.046446558</v>
      </c>
      <c r="O29" s="19">
        <f t="shared" si="5"/>
        <v>168300</v>
      </c>
      <c r="P29" s="14"/>
      <c r="Q29" s="19"/>
      <c r="R29" s="37"/>
      <c r="S29" s="27"/>
      <c r="T29" s="27"/>
      <c r="U29" s="15"/>
      <c r="V29" s="36"/>
      <c r="W29" s="37"/>
      <c r="X29" s="27"/>
      <c r="Y29" s="15"/>
      <c r="Z29" s="36"/>
      <c r="AA29" s="37"/>
      <c r="AB29" s="27"/>
    </row>
    <row r="30">
      <c r="A30" s="38"/>
      <c r="B30" s="32"/>
      <c r="C30" s="14">
        <f>I30/E138</f>
        <v>0.01074986679</v>
      </c>
      <c r="D30" s="42" t="s">
        <v>288</v>
      </c>
      <c r="E30" s="42" t="s">
        <v>289</v>
      </c>
      <c r="F30" s="44">
        <v>8.0</v>
      </c>
      <c r="G30" s="18">
        <v>5000.0</v>
      </c>
      <c r="H30" s="19">
        <f t="shared" si="1"/>
        <v>198750</v>
      </c>
      <c r="I30" s="20">
        <f t="shared" si="12"/>
        <v>164000</v>
      </c>
      <c r="J30" s="21">
        <v>39.75</v>
      </c>
      <c r="K30" s="22">
        <f>IFERROR(__xludf.DUMMYFUNCTION("GOOGLEFINANCE(E30,""changepct"")"),-1.12)</f>
        <v>-1.12</v>
      </c>
      <c r="L30" s="23">
        <f>IFERROR(__xludf.DUMMYFUNCTION("googlefinance(E30,""price"")"),32.8)</f>
        <v>32.8</v>
      </c>
      <c r="M30" s="24">
        <f t="shared" si="3"/>
        <v>-6.95</v>
      </c>
      <c r="N30" s="25">
        <f t="shared" si="13"/>
        <v>-0.1748427673</v>
      </c>
      <c r="O30" s="19">
        <f t="shared" si="5"/>
        <v>-34750</v>
      </c>
      <c r="P30" s="14"/>
      <c r="Q30" s="19"/>
      <c r="R30" s="31"/>
      <c r="S30" s="29"/>
      <c r="T30" s="29"/>
      <c r="U30" s="16"/>
      <c r="V30" s="30"/>
      <c r="W30" s="31"/>
      <c r="X30" s="29"/>
      <c r="Y30" s="15" t="s">
        <v>289</v>
      </c>
      <c r="Z30" s="36">
        <v>45086.0</v>
      </c>
      <c r="AA30" s="37">
        <v>39.75</v>
      </c>
      <c r="AB30" s="27">
        <v>198750.0</v>
      </c>
    </row>
    <row r="31">
      <c r="A31" s="38"/>
      <c r="B31" s="32"/>
      <c r="C31" s="14">
        <f>I31/E138</f>
        <v>0</v>
      </c>
      <c r="D31" s="42" t="s">
        <v>288</v>
      </c>
      <c r="E31" s="42" t="s">
        <v>289</v>
      </c>
      <c r="F31" s="44">
        <v>8.0</v>
      </c>
      <c r="G31" s="18">
        <v>4000.0</v>
      </c>
      <c r="H31" s="19">
        <f t="shared" si="1"/>
        <v>138600</v>
      </c>
      <c r="I31" s="20">
        <v>0.0</v>
      </c>
      <c r="J31" s="21">
        <v>34.65</v>
      </c>
      <c r="K31" s="22">
        <f>IFERROR(__xludf.DUMMYFUNCTION("GOOGLEFINANCE(E31,""changepct"")"),-1.12)</f>
        <v>-1.12</v>
      </c>
      <c r="L31" s="23">
        <f>IFERROR(__xludf.DUMMYFUNCTION("googlefinance(E31,""price"")"),32.8)</f>
        <v>32.8</v>
      </c>
      <c r="M31" s="24">
        <f t="shared" si="3"/>
        <v>-1.85</v>
      </c>
      <c r="N31" s="25">
        <f>R31/J31-1</f>
        <v>0.2603174603</v>
      </c>
      <c r="O31" s="19">
        <f t="shared" si="5"/>
        <v>36080</v>
      </c>
      <c r="P31" s="14"/>
      <c r="Q31" s="19"/>
      <c r="R31" s="37">
        <v>43.67</v>
      </c>
      <c r="S31" s="27"/>
      <c r="T31" s="29"/>
      <c r="U31" s="15" t="s">
        <v>289</v>
      </c>
      <c r="V31" s="36">
        <v>45092.0</v>
      </c>
      <c r="W31" s="37">
        <v>43.67</v>
      </c>
      <c r="X31" s="27">
        <v>174680.0</v>
      </c>
      <c r="Y31" s="15" t="s">
        <v>289</v>
      </c>
      <c r="Z31" s="36">
        <v>45076.0</v>
      </c>
      <c r="AA31" s="37">
        <v>34.65</v>
      </c>
      <c r="AB31" s="27">
        <v>138600.0</v>
      </c>
    </row>
    <row r="32">
      <c r="A32" s="38"/>
      <c r="B32" s="32"/>
      <c r="C32" s="14">
        <f>I32/E138</f>
        <v>0.003705098904</v>
      </c>
      <c r="D32" s="45" t="s">
        <v>483</v>
      </c>
      <c r="E32" s="45" t="s">
        <v>484</v>
      </c>
      <c r="F32" s="44">
        <v>7.1</v>
      </c>
      <c r="G32" s="18">
        <v>2500.0</v>
      </c>
      <c r="H32" s="19">
        <f t="shared" si="1"/>
        <v>44200</v>
      </c>
      <c r="I32" s="20">
        <f t="shared" ref="I32:I33" si="14">H32+O32</f>
        <v>56525</v>
      </c>
      <c r="J32" s="21">
        <v>17.68</v>
      </c>
      <c r="K32" s="22">
        <f>IFERROR(__xludf.DUMMYFUNCTION("GOOGLEFINANCE(E32,""changepct"")"),-1.09)</f>
        <v>-1.09</v>
      </c>
      <c r="L32" s="23">
        <f>IFERROR(__xludf.DUMMYFUNCTION("googlefinance(E32,""price"")"),22.61)</f>
        <v>22.61</v>
      </c>
      <c r="M32" s="24">
        <f t="shared" si="3"/>
        <v>4.93</v>
      </c>
      <c r="N32" s="25">
        <f t="shared" ref="N32:N33" si="15">L32/J32-1</f>
        <v>0.2788461538</v>
      </c>
      <c r="O32" s="19">
        <f t="shared" si="5"/>
        <v>12325</v>
      </c>
      <c r="P32" s="47">
        <v>0.07</v>
      </c>
      <c r="Q32" s="20">
        <v>700.0</v>
      </c>
      <c r="R32" s="31"/>
      <c r="S32" s="29"/>
      <c r="T32" s="29"/>
      <c r="U32" s="16"/>
      <c r="V32" s="30"/>
      <c r="W32" s="31"/>
      <c r="X32" s="29"/>
      <c r="Y32" s="15" t="s">
        <v>484</v>
      </c>
      <c r="Z32" s="36">
        <v>45036.0</v>
      </c>
      <c r="AA32" s="37">
        <v>17.68</v>
      </c>
      <c r="AB32" s="27">
        <v>44200.0</v>
      </c>
    </row>
    <row r="33">
      <c r="A33" s="38"/>
      <c r="B33" s="32"/>
      <c r="C33" s="14">
        <f>I33/E138</f>
        <v>0.01111529671</v>
      </c>
      <c r="D33" s="45" t="s">
        <v>483</v>
      </c>
      <c r="E33" s="45" t="s">
        <v>484</v>
      </c>
      <c r="F33" s="44">
        <v>7.1</v>
      </c>
      <c r="G33" s="18">
        <v>7500.0</v>
      </c>
      <c r="H33" s="19">
        <f t="shared" si="1"/>
        <v>144375</v>
      </c>
      <c r="I33" s="20">
        <f t="shared" si="14"/>
        <v>169575</v>
      </c>
      <c r="J33" s="21">
        <v>19.25</v>
      </c>
      <c r="K33" s="22">
        <f>IFERROR(__xludf.DUMMYFUNCTION("GOOGLEFINANCE(E33,""changepct"")"),-1.09)</f>
        <v>-1.09</v>
      </c>
      <c r="L33" s="23">
        <f>IFERROR(__xludf.DUMMYFUNCTION("googlefinance(E33,""price"")"),22.61)</f>
        <v>22.61</v>
      </c>
      <c r="M33" s="24">
        <f t="shared" si="3"/>
        <v>3.36</v>
      </c>
      <c r="N33" s="25">
        <f t="shared" si="15"/>
        <v>0.1745454545</v>
      </c>
      <c r="O33" s="19">
        <f t="shared" si="5"/>
        <v>25200</v>
      </c>
      <c r="P33" s="47">
        <v>0.07</v>
      </c>
      <c r="Q33" s="20">
        <v>2190.0</v>
      </c>
      <c r="R33" s="31"/>
      <c r="S33" s="29"/>
      <c r="T33" s="29"/>
      <c r="U33" s="16"/>
      <c r="V33" s="30"/>
      <c r="W33" s="31"/>
      <c r="X33" s="29"/>
      <c r="Y33" s="16"/>
      <c r="Z33" s="30"/>
      <c r="AA33" s="31"/>
      <c r="AB33" s="29"/>
    </row>
    <row r="34">
      <c r="A34" s="48"/>
      <c r="B34" s="6"/>
      <c r="C34" s="6" t="s">
        <v>89</v>
      </c>
      <c r="D34" s="6"/>
      <c r="E34" s="6"/>
      <c r="F34" s="6"/>
      <c r="G34" s="11"/>
      <c r="H34" s="49">
        <f t="shared" ref="H34:I34" si="16">SUM(H3:H33)</f>
        <v>5301523.5</v>
      </c>
      <c r="I34" s="50">
        <f t="shared" si="16"/>
        <v>10957127.5</v>
      </c>
      <c r="J34" s="8"/>
      <c r="K34" s="8"/>
      <c r="L34" s="8"/>
      <c r="M34" s="10"/>
      <c r="N34" s="51">
        <f>(O34+S34+T34+Q34)/I34</f>
        <v>0.1077466699</v>
      </c>
      <c r="O34" s="263">
        <v>1009219.0</v>
      </c>
      <c r="P34" s="52"/>
      <c r="Q34" s="49">
        <f>SUM(Q3:Q33)</f>
        <v>3700</v>
      </c>
      <c r="R34" s="10"/>
      <c r="S34" s="11">
        <f t="shared" ref="S34:T34" si="17">SUM(S3:S33)</f>
        <v>146890</v>
      </c>
      <c r="T34" s="11">
        <f t="shared" si="17"/>
        <v>20785</v>
      </c>
      <c r="U34" s="6" t="s">
        <v>89</v>
      </c>
      <c r="V34" s="53"/>
      <c r="W34" s="54"/>
      <c r="X34" s="49">
        <f>SUM(X3:X33)</f>
        <v>1375850</v>
      </c>
      <c r="Y34" s="6" t="s">
        <v>89</v>
      </c>
      <c r="Z34" s="53"/>
      <c r="AA34" s="54"/>
      <c r="AB34" s="49">
        <f>SUM(AB3:AB33)</f>
        <v>2160099</v>
      </c>
    </row>
    <row r="35">
      <c r="A35" s="55"/>
      <c r="B35" s="6" t="s">
        <v>342</v>
      </c>
      <c r="C35" s="6" t="s">
        <v>2</v>
      </c>
      <c r="D35" s="5" t="s">
        <v>3</v>
      </c>
      <c r="E35" s="6" t="s">
        <v>4</v>
      </c>
      <c r="F35" s="6" t="s">
        <v>5</v>
      </c>
      <c r="G35" s="280" t="s">
        <v>6</v>
      </c>
      <c r="H35" s="6" t="s">
        <v>7</v>
      </c>
      <c r="I35" s="7" t="s">
        <v>8</v>
      </c>
      <c r="J35" s="7" t="s">
        <v>9</v>
      </c>
      <c r="K35" s="8" t="s">
        <v>10</v>
      </c>
      <c r="L35" s="8" t="s">
        <v>11</v>
      </c>
      <c r="M35" s="10" t="s">
        <v>13</v>
      </c>
      <c r="N35" s="6" t="s">
        <v>14</v>
      </c>
      <c r="O35" s="10" t="s">
        <v>15</v>
      </c>
      <c r="P35" s="71" t="s">
        <v>16</v>
      </c>
      <c r="Q35" s="11" t="s">
        <v>17</v>
      </c>
      <c r="R35" s="9" t="s">
        <v>526</v>
      </c>
      <c r="S35" s="5" t="s">
        <v>19</v>
      </c>
      <c r="T35" s="5" t="s">
        <v>91</v>
      </c>
      <c r="U35" s="6" t="s">
        <v>21</v>
      </c>
      <c r="V35" s="281" t="s">
        <v>22</v>
      </c>
      <c r="W35" s="12" t="s">
        <v>23</v>
      </c>
      <c r="X35" s="12" t="s">
        <v>24</v>
      </c>
      <c r="Y35" s="6" t="s">
        <v>25</v>
      </c>
      <c r="Z35" s="6" t="s">
        <v>26</v>
      </c>
      <c r="AA35" s="12" t="s">
        <v>27</v>
      </c>
      <c r="AB35" s="11" t="s">
        <v>28</v>
      </c>
    </row>
    <row r="36">
      <c r="A36" s="56" t="s">
        <v>29</v>
      </c>
      <c r="B36" s="57">
        <f>I46/E138</f>
        <v>0.09998752622</v>
      </c>
      <c r="C36" s="14">
        <f>I36/E138</f>
        <v>0.02757275284</v>
      </c>
      <c r="D36" s="15" t="s">
        <v>529</v>
      </c>
      <c r="E36" s="16" t="s">
        <v>347</v>
      </c>
      <c r="F36" s="17">
        <v>8.1</v>
      </c>
      <c r="G36" s="18">
        <v>5000.0</v>
      </c>
      <c r="H36" s="19">
        <f t="shared" ref="H36:H45" si="18">G36*J36</f>
        <v>510900</v>
      </c>
      <c r="I36" s="19">
        <f t="shared" ref="I36:I45" si="19">H36+O36</f>
        <v>420650</v>
      </c>
      <c r="J36" s="21">
        <v>102.18</v>
      </c>
      <c r="K36" s="22">
        <f>IFERROR(__xludf.DUMMYFUNCTION("GOOGLEFINANCE(E36,""changepct"")"),-1.09)</f>
        <v>-1.09</v>
      </c>
      <c r="L36" s="23">
        <f>IFERROR(__xludf.DUMMYFUNCTION("googlefinance(E36,""price"")"),84.13)</f>
        <v>84.13</v>
      </c>
      <c r="M36" s="24">
        <f t="shared" ref="M36:M45" si="20">L36-J36</f>
        <v>-18.05</v>
      </c>
      <c r="N36" s="25">
        <f t="shared" ref="N36:N45" si="21">L36/J36-1</f>
        <v>-0.1766490507</v>
      </c>
      <c r="O36" s="19">
        <f t="shared" ref="O36:O45" si="22">H36*N36</f>
        <v>-90250</v>
      </c>
      <c r="P36" s="34"/>
      <c r="Q36" s="29"/>
      <c r="R36" s="37"/>
      <c r="S36" s="27"/>
      <c r="T36" s="15"/>
      <c r="U36" s="15"/>
      <c r="V36" s="36"/>
      <c r="W36" s="37"/>
      <c r="X36" s="27"/>
      <c r="Y36" s="16"/>
      <c r="Z36" s="32"/>
      <c r="AA36" s="31"/>
      <c r="AB36" s="29"/>
    </row>
    <row r="37">
      <c r="A37" s="38"/>
      <c r="B37" s="32"/>
      <c r="C37" s="14">
        <f>I37/E138</f>
        <v>0.01101861346</v>
      </c>
      <c r="D37" s="16" t="s">
        <v>530</v>
      </c>
      <c r="E37" s="16" t="s">
        <v>34</v>
      </c>
      <c r="F37" s="17">
        <v>8.1</v>
      </c>
      <c r="G37" s="18">
        <v>2000.0</v>
      </c>
      <c r="H37" s="19">
        <f t="shared" si="18"/>
        <v>233700</v>
      </c>
      <c r="I37" s="19">
        <f t="shared" si="19"/>
        <v>168100</v>
      </c>
      <c r="J37" s="21">
        <v>116.85</v>
      </c>
      <c r="K37" s="22">
        <f>IFERROR(__xludf.DUMMYFUNCTION("GOOGLEFINANCE(E37,""changepct"")"),-2.94)</f>
        <v>-2.94</v>
      </c>
      <c r="L37" s="23">
        <f>IFERROR(__xludf.DUMMYFUNCTION("googlefinance(E37,""price"")"),84.05)</f>
        <v>84.05</v>
      </c>
      <c r="M37" s="24">
        <f t="shared" si="20"/>
        <v>-32.8</v>
      </c>
      <c r="N37" s="25">
        <f t="shared" si="21"/>
        <v>-0.2807017544</v>
      </c>
      <c r="O37" s="19">
        <f t="shared" si="22"/>
        <v>-65600</v>
      </c>
      <c r="P37" s="34"/>
      <c r="Q37" s="29"/>
      <c r="R37" s="35"/>
      <c r="S37" s="27">
        <v>5000.0</v>
      </c>
      <c r="T37" s="15"/>
      <c r="U37" s="15"/>
      <c r="V37" s="36"/>
      <c r="W37" s="37"/>
      <c r="X37" s="27"/>
      <c r="Y37" s="15" t="s">
        <v>34</v>
      </c>
      <c r="Z37" s="36">
        <v>45041.0</v>
      </c>
      <c r="AA37" s="37">
        <v>116.85</v>
      </c>
      <c r="AB37" s="27">
        <v>233700.0</v>
      </c>
    </row>
    <row r="38">
      <c r="A38" s="38"/>
      <c r="B38" s="32"/>
      <c r="C38" s="14">
        <f>I38/E138</f>
        <v>0.01652792019</v>
      </c>
      <c r="D38" s="15" t="s">
        <v>287</v>
      </c>
      <c r="E38" s="15" t="s">
        <v>33</v>
      </c>
      <c r="F38" s="17">
        <v>8.1</v>
      </c>
      <c r="G38" s="18">
        <v>3000.0</v>
      </c>
      <c r="H38" s="19">
        <f t="shared" si="18"/>
        <v>452760</v>
      </c>
      <c r="I38" s="19">
        <f t="shared" si="19"/>
        <v>252150</v>
      </c>
      <c r="J38" s="21">
        <v>150.92</v>
      </c>
      <c r="K38" s="22">
        <f>IFERROR(__xludf.DUMMYFUNCTION("GOOGLEFINANCE(E38,""changepct"")"),-2.94)</f>
        <v>-2.94</v>
      </c>
      <c r="L38" s="23">
        <f>IFERROR(__xludf.DUMMYFUNCTION("googlefinance(E38,""price"")"),84.05)</f>
        <v>84.05</v>
      </c>
      <c r="M38" s="24">
        <f t="shared" si="20"/>
        <v>-66.87</v>
      </c>
      <c r="N38" s="25">
        <f t="shared" si="21"/>
        <v>-0.4430824278</v>
      </c>
      <c r="O38" s="19">
        <f t="shared" si="22"/>
        <v>-200610</v>
      </c>
      <c r="P38" s="34"/>
      <c r="Q38" s="29"/>
      <c r="R38" s="37"/>
      <c r="S38" s="27"/>
      <c r="T38" s="15"/>
      <c r="U38" s="15"/>
      <c r="V38" s="36"/>
      <c r="W38" s="37"/>
      <c r="X38" s="27"/>
      <c r="Y38" s="15"/>
      <c r="Z38" s="36"/>
      <c r="AA38" s="37"/>
      <c r="AB38" s="27"/>
    </row>
    <row r="39">
      <c r="A39" s="38"/>
      <c r="B39" s="32"/>
      <c r="C39" s="14">
        <f>I39/E138</f>
        <v>0.004491346783</v>
      </c>
      <c r="D39" s="42" t="s">
        <v>487</v>
      </c>
      <c r="E39" s="42" t="s">
        <v>302</v>
      </c>
      <c r="F39" s="44">
        <v>7.9</v>
      </c>
      <c r="G39" s="18">
        <v>2000.0</v>
      </c>
      <c r="H39" s="19">
        <f t="shared" si="18"/>
        <v>76100</v>
      </c>
      <c r="I39" s="19">
        <f t="shared" si="19"/>
        <v>68520</v>
      </c>
      <c r="J39" s="21">
        <v>38.05</v>
      </c>
      <c r="K39" s="22">
        <f>IFERROR(__xludf.DUMMYFUNCTION("GOOGLEFINANCE(E39,""changepct"")"),-2.06)</f>
        <v>-2.06</v>
      </c>
      <c r="L39" s="23">
        <f>IFERROR(__xludf.DUMMYFUNCTION("googlefinance(E39,""price"")"),34.26)</f>
        <v>34.26</v>
      </c>
      <c r="M39" s="24">
        <f t="shared" si="20"/>
        <v>-3.79</v>
      </c>
      <c r="N39" s="25">
        <f t="shared" si="21"/>
        <v>-0.09960578187</v>
      </c>
      <c r="O39" s="19">
        <f t="shared" si="22"/>
        <v>-7580</v>
      </c>
      <c r="P39" s="34"/>
      <c r="Q39" s="29"/>
      <c r="R39" s="35"/>
      <c r="S39" s="27">
        <v>2600.0</v>
      </c>
      <c r="T39" s="15"/>
      <c r="U39" s="15"/>
      <c r="V39" s="36"/>
      <c r="W39" s="37"/>
      <c r="X39" s="27"/>
      <c r="Y39" s="15" t="s">
        <v>302</v>
      </c>
      <c r="Z39" s="41">
        <v>45033.0</v>
      </c>
      <c r="AA39" s="21">
        <v>38.05</v>
      </c>
      <c r="AB39" s="20">
        <v>76100.0</v>
      </c>
    </row>
    <row r="40">
      <c r="A40" s="38"/>
      <c r="B40" s="32"/>
      <c r="C40" s="14">
        <f>I40/E138</f>
        <v>0.006737020175</v>
      </c>
      <c r="D40" s="42" t="s">
        <v>487</v>
      </c>
      <c r="E40" s="42" t="s">
        <v>302</v>
      </c>
      <c r="F40" s="44">
        <v>7.9</v>
      </c>
      <c r="G40" s="18">
        <v>3000.0</v>
      </c>
      <c r="H40" s="19">
        <f t="shared" si="18"/>
        <v>131670</v>
      </c>
      <c r="I40" s="19">
        <f t="shared" si="19"/>
        <v>102780</v>
      </c>
      <c r="J40" s="21">
        <v>43.89</v>
      </c>
      <c r="K40" s="22">
        <f>IFERROR(__xludf.DUMMYFUNCTION("GOOGLEFINANCE(E40,""changepct"")"),-2.06)</f>
        <v>-2.06</v>
      </c>
      <c r="L40" s="23">
        <f>IFERROR(__xludf.DUMMYFUNCTION("googlefinance(E40,""price"")"),34.26)</f>
        <v>34.26</v>
      </c>
      <c r="M40" s="24">
        <f t="shared" si="20"/>
        <v>-9.63</v>
      </c>
      <c r="N40" s="25">
        <f t="shared" si="21"/>
        <v>-0.2194121668</v>
      </c>
      <c r="O40" s="19">
        <f t="shared" si="22"/>
        <v>-28890</v>
      </c>
      <c r="P40" s="34"/>
      <c r="Q40" s="29"/>
      <c r="R40" s="23"/>
      <c r="S40" s="27"/>
      <c r="T40" s="15"/>
      <c r="U40" s="15"/>
      <c r="V40" s="36"/>
      <c r="W40" s="37"/>
      <c r="X40" s="27"/>
      <c r="Y40" s="15"/>
      <c r="Z40" s="41"/>
      <c r="AA40" s="21"/>
      <c r="AB40" s="20"/>
    </row>
    <row r="41">
      <c r="A41" s="38"/>
      <c r="B41" s="32"/>
      <c r="C41" s="14">
        <f>I41/E138</f>
        <v>0.007424487266</v>
      </c>
      <c r="D41" s="45" t="s">
        <v>343</v>
      </c>
      <c r="E41" s="45" t="s">
        <v>301</v>
      </c>
      <c r="F41" s="44">
        <v>8.0</v>
      </c>
      <c r="G41" s="18">
        <v>1200.0</v>
      </c>
      <c r="H41" s="19">
        <f t="shared" si="18"/>
        <v>82740</v>
      </c>
      <c r="I41" s="19">
        <f t="shared" si="19"/>
        <v>113268</v>
      </c>
      <c r="J41" s="21">
        <v>68.95</v>
      </c>
      <c r="K41" s="22">
        <f>IFERROR(__xludf.DUMMYFUNCTION("GOOGLEFINANCE(E41,""changepct"")"),-3.14)</f>
        <v>-3.14</v>
      </c>
      <c r="L41" s="23">
        <f>IFERROR(__xludf.DUMMYFUNCTION("googlefinance(E41,""price"")"),94.39)</f>
        <v>94.39</v>
      </c>
      <c r="M41" s="24">
        <f t="shared" si="20"/>
        <v>25.44</v>
      </c>
      <c r="N41" s="25">
        <f t="shared" si="21"/>
        <v>0.3689630167</v>
      </c>
      <c r="O41" s="19">
        <f t="shared" si="22"/>
        <v>30528</v>
      </c>
      <c r="P41" s="34"/>
      <c r="Q41" s="29"/>
      <c r="R41" s="341"/>
      <c r="S41" s="27">
        <v>2640.0</v>
      </c>
      <c r="T41" s="15"/>
      <c r="U41" s="15"/>
      <c r="V41" s="36"/>
      <c r="W41" s="37"/>
      <c r="X41" s="27"/>
      <c r="Y41" s="15" t="s">
        <v>301</v>
      </c>
      <c r="Z41" s="41">
        <v>45033.0</v>
      </c>
      <c r="AA41" s="21">
        <v>68.95</v>
      </c>
      <c r="AB41" s="20">
        <v>82740.0</v>
      </c>
    </row>
    <row r="42">
      <c r="A42" s="38"/>
      <c r="B42" s="32"/>
      <c r="C42" s="14">
        <f>I42/E138</f>
        <v>0.0111367309</v>
      </c>
      <c r="D42" s="45" t="s">
        <v>343</v>
      </c>
      <c r="E42" s="45" t="s">
        <v>301</v>
      </c>
      <c r="F42" s="44">
        <v>8.0</v>
      </c>
      <c r="G42" s="18">
        <v>1800.0</v>
      </c>
      <c r="H42" s="19">
        <f t="shared" si="18"/>
        <v>136620</v>
      </c>
      <c r="I42" s="19">
        <f t="shared" si="19"/>
        <v>169902</v>
      </c>
      <c r="J42" s="21">
        <v>75.9</v>
      </c>
      <c r="K42" s="22">
        <f>IFERROR(__xludf.DUMMYFUNCTION("GOOGLEFINANCE(E42,""changepct"")"),-3.14)</f>
        <v>-3.14</v>
      </c>
      <c r="L42" s="23">
        <f>IFERROR(__xludf.DUMMYFUNCTION("googlefinance(E42,""price"")"),94.39)</f>
        <v>94.39</v>
      </c>
      <c r="M42" s="24">
        <f t="shared" si="20"/>
        <v>18.49</v>
      </c>
      <c r="N42" s="25">
        <f t="shared" si="21"/>
        <v>0.2436100132</v>
      </c>
      <c r="O42" s="19">
        <f t="shared" si="22"/>
        <v>33282</v>
      </c>
      <c r="P42" s="34"/>
      <c r="Q42" s="29"/>
      <c r="R42" s="37"/>
      <c r="S42" s="27">
        <v>8750.0</v>
      </c>
      <c r="T42" s="15"/>
      <c r="U42" s="15"/>
      <c r="V42" s="36"/>
      <c r="W42" s="37"/>
      <c r="X42" s="27"/>
      <c r="Y42" s="15"/>
      <c r="Z42" s="41"/>
      <c r="AA42" s="21"/>
      <c r="AB42" s="20"/>
    </row>
    <row r="43">
      <c r="A43" s="38"/>
      <c r="B43" s="32"/>
      <c r="C43" s="14">
        <f>I43/E138</f>
        <v>0.009336652595</v>
      </c>
      <c r="D43" s="42" t="s">
        <v>446</v>
      </c>
      <c r="E43" s="42" t="s">
        <v>447</v>
      </c>
      <c r="F43" s="44">
        <v>7.5</v>
      </c>
      <c r="G43" s="18">
        <v>12000.0</v>
      </c>
      <c r="H43" s="19">
        <f t="shared" si="18"/>
        <v>133320</v>
      </c>
      <c r="I43" s="19">
        <f t="shared" si="19"/>
        <v>142440</v>
      </c>
      <c r="J43" s="21">
        <v>11.11</v>
      </c>
      <c r="K43" s="22">
        <f>IFERROR(__xludf.DUMMYFUNCTION("GOOGLEFINANCE(E43,""changepct"")"),-6.02)</f>
        <v>-6.02</v>
      </c>
      <c r="L43" s="23">
        <f>IFERROR(__xludf.DUMMYFUNCTION("googlefinance(E43,""price"")"),11.87)</f>
        <v>11.87</v>
      </c>
      <c r="M43" s="24">
        <f t="shared" si="20"/>
        <v>0.76</v>
      </c>
      <c r="N43" s="25">
        <f t="shared" si="21"/>
        <v>0.06840684068</v>
      </c>
      <c r="O43" s="19">
        <f t="shared" si="22"/>
        <v>9120</v>
      </c>
      <c r="P43" s="34"/>
      <c r="Q43" s="29"/>
      <c r="R43" s="23"/>
      <c r="S43" s="27"/>
      <c r="T43" s="15"/>
      <c r="U43" s="15"/>
      <c r="V43" s="36"/>
      <c r="W43" s="37"/>
      <c r="X43" s="27"/>
      <c r="Y43" s="15"/>
      <c r="Z43" s="41"/>
      <c r="AA43" s="21"/>
      <c r="AB43" s="20"/>
    </row>
    <row r="44">
      <c r="A44" s="38"/>
      <c r="B44" s="32"/>
      <c r="C44" s="14">
        <f>I44/E138</f>
        <v>0.001866150656</v>
      </c>
      <c r="D44" s="45" t="s">
        <v>490</v>
      </c>
      <c r="E44" s="45" t="s">
        <v>349</v>
      </c>
      <c r="F44" s="44">
        <v>7.7</v>
      </c>
      <c r="G44" s="18">
        <v>6500.0</v>
      </c>
      <c r="H44" s="19">
        <f t="shared" si="18"/>
        <v>58500</v>
      </c>
      <c r="I44" s="19">
        <f t="shared" si="19"/>
        <v>28470</v>
      </c>
      <c r="J44" s="21">
        <v>9.0</v>
      </c>
      <c r="K44" s="22">
        <f>IFERROR(__xludf.DUMMYFUNCTION("GOOGLEFINANCE(E44,""changepct"")"),-2.23)</f>
        <v>-2.23</v>
      </c>
      <c r="L44" s="23">
        <f>IFERROR(__xludf.DUMMYFUNCTION("googlefinance(E44,""price"")"),4.38)</f>
        <v>4.38</v>
      </c>
      <c r="M44" s="24">
        <f t="shared" si="20"/>
        <v>-4.62</v>
      </c>
      <c r="N44" s="25">
        <f t="shared" si="21"/>
        <v>-0.5133333333</v>
      </c>
      <c r="O44" s="19">
        <f t="shared" si="22"/>
        <v>-30030</v>
      </c>
      <c r="P44" s="34"/>
      <c r="Q44" s="29"/>
      <c r="R44" s="31"/>
      <c r="S44" s="29"/>
      <c r="T44" s="16"/>
      <c r="U44" s="16"/>
      <c r="V44" s="30"/>
      <c r="W44" s="31"/>
      <c r="X44" s="29"/>
      <c r="Y44" s="15" t="s">
        <v>349</v>
      </c>
      <c r="Z44" s="41">
        <v>45022.0</v>
      </c>
      <c r="AA44" s="21">
        <v>9.0</v>
      </c>
      <c r="AB44" s="20">
        <v>58500.0</v>
      </c>
    </row>
    <row r="45">
      <c r="A45" s="38"/>
      <c r="B45" s="32"/>
      <c r="C45" s="14">
        <f>I45/E138</f>
        <v>0.003875851362</v>
      </c>
      <c r="D45" s="45" t="s">
        <v>490</v>
      </c>
      <c r="E45" s="45" t="s">
        <v>349</v>
      </c>
      <c r="F45" s="44">
        <v>7.7</v>
      </c>
      <c r="G45" s="18">
        <v>13500.0</v>
      </c>
      <c r="H45" s="19">
        <f t="shared" si="18"/>
        <v>141885</v>
      </c>
      <c r="I45" s="19">
        <f t="shared" si="19"/>
        <v>59130</v>
      </c>
      <c r="J45" s="21">
        <v>10.51</v>
      </c>
      <c r="K45" s="22">
        <f>IFERROR(__xludf.DUMMYFUNCTION("GOOGLEFINANCE(E45,""changepct"")"),-2.23)</f>
        <v>-2.23</v>
      </c>
      <c r="L45" s="23">
        <f>IFERROR(__xludf.DUMMYFUNCTION("googlefinance(E45,""price"")"),4.38)</f>
        <v>4.38</v>
      </c>
      <c r="M45" s="24">
        <f t="shared" si="20"/>
        <v>-6.13</v>
      </c>
      <c r="N45" s="25">
        <f t="shared" si="21"/>
        <v>-0.5832540438</v>
      </c>
      <c r="O45" s="19">
        <f t="shared" si="22"/>
        <v>-82755</v>
      </c>
      <c r="P45" s="34"/>
      <c r="Q45" s="29"/>
      <c r="R45" s="31"/>
      <c r="S45" s="29"/>
      <c r="T45" s="16"/>
      <c r="U45" s="16"/>
      <c r="V45" s="30"/>
      <c r="W45" s="31"/>
      <c r="X45" s="29"/>
      <c r="Y45" s="16"/>
      <c r="Z45" s="94"/>
      <c r="AA45" s="24"/>
      <c r="AB45" s="19"/>
    </row>
    <row r="46">
      <c r="A46" s="48"/>
      <c r="B46" s="6"/>
      <c r="C46" s="6" t="s">
        <v>89</v>
      </c>
      <c r="D46" s="6"/>
      <c r="E46" s="6"/>
      <c r="F46" s="6"/>
      <c r="G46" s="69"/>
      <c r="H46" s="49">
        <f t="shared" ref="H46:I46" si="23">SUM(H36:H45)</f>
        <v>1958195</v>
      </c>
      <c r="I46" s="50">
        <f t="shared" si="23"/>
        <v>1525410</v>
      </c>
      <c r="J46" s="8"/>
      <c r="K46" s="8"/>
      <c r="L46" s="8"/>
      <c r="M46" s="10"/>
      <c r="N46" s="51">
        <f>(O46+S46)/I46</f>
        <v>-0.06883067503</v>
      </c>
      <c r="O46" s="263">
        <v>-123985.0</v>
      </c>
      <c r="P46" s="6"/>
      <c r="Q46" s="49">
        <v>0.0</v>
      </c>
      <c r="R46" s="10"/>
      <c r="S46" s="11">
        <f>SUM(S36:S45)</f>
        <v>18990</v>
      </c>
      <c r="T46" s="6"/>
      <c r="U46" s="6" t="s">
        <v>89</v>
      </c>
      <c r="V46" s="53"/>
      <c r="W46" s="53"/>
      <c r="X46" s="49">
        <f>SUM(X36:X45)</f>
        <v>0</v>
      </c>
      <c r="Y46" s="6" t="s">
        <v>89</v>
      </c>
      <c r="Z46" s="53"/>
      <c r="AA46" s="54"/>
      <c r="AB46" s="49">
        <f>SUM(AB36:AB45)</f>
        <v>451040</v>
      </c>
    </row>
    <row r="47">
      <c r="A47" s="55"/>
      <c r="B47" s="5" t="s">
        <v>448</v>
      </c>
      <c r="C47" s="6" t="s">
        <v>2</v>
      </c>
      <c r="D47" s="6" t="s">
        <v>3</v>
      </c>
      <c r="E47" s="6" t="s">
        <v>4</v>
      </c>
      <c r="F47" s="6" t="s">
        <v>5</v>
      </c>
      <c r="G47" s="6" t="s">
        <v>6</v>
      </c>
      <c r="H47" s="6" t="s">
        <v>7</v>
      </c>
      <c r="I47" s="7" t="s">
        <v>8</v>
      </c>
      <c r="J47" s="7" t="s">
        <v>9</v>
      </c>
      <c r="K47" s="8" t="s">
        <v>10</v>
      </c>
      <c r="L47" s="8" t="s">
        <v>11</v>
      </c>
      <c r="M47" s="10" t="s">
        <v>13</v>
      </c>
      <c r="N47" s="6" t="s">
        <v>14</v>
      </c>
      <c r="O47" s="10" t="s">
        <v>15</v>
      </c>
      <c r="P47" s="6" t="s">
        <v>16</v>
      </c>
      <c r="Q47" s="6" t="s">
        <v>17</v>
      </c>
      <c r="R47" s="9" t="s">
        <v>526</v>
      </c>
      <c r="S47" s="5" t="s">
        <v>19</v>
      </c>
      <c r="T47" s="5" t="s">
        <v>91</v>
      </c>
      <c r="U47" s="6" t="s">
        <v>21</v>
      </c>
      <c r="V47" s="6" t="s">
        <v>22</v>
      </c>
      <c r="W47" s="12" t="s">
        <v>23</v>
      </c>
      <c r="X47" s="12" t="s">
        <v>24</v>
      </c>
      <c r="Y47" s="6" t="s">
        <v>25</v>
      </c>
      <c r="Z47" s="6" t="s">
        <v>26</v>
      </c>
      <c r="AA47" s="6" t="s">
        <v>27</v>
      </c>
      <c r="AB47" s="6" t="s">
        <v>28</v>
      </c>
    </row>
    <row r="48">
      <c r="A48" s="56" t="s">
        <v>29</v>
      </c>
      <c r="B48" s="57">
        <f>I55/E138</f>
        <v>0.01002654496</v>
      </c>
      <c r="C48" s="14">
        <f>I48/E138</f>
        <v>0.004407445384</v>
      </c>
      <c r="D48" s="16" t="s">
        <v>304</v>
      </c>
      <c r="E48" s="16" t="s">
        <v>305</v>
      </c>
      <c r="F48" s="17">
        <v>7.8</v>
      </c>
      <c r="G48" s="85">
        <v>2000.0</v>
      </c>
      <c r="H48" s="19">
        <f t="shared" ref="H48:H54" si="24">J48*G48</f>
        <v>155260</v>
      </c>
      <c r="I48" s="19">
        <f t="shared" ref="I48:I49" si="25">H48+O48</f>
        <v>67240</v>
      </c>
      <c r="J48" s="21">
        <v>77.63</v>
      </c>
      <c r="K48" s="22">
        <f>IFERROR(__xludf.DUMMYFUNCTION("GOOGLEFINANCE(E48,""changepct"")"),-0.97)</f>
        <v>-0.97</v>
      </c>
      <c r="L48" s="24">
        <f>IFERROR(__xludf.DUMMYFUNCTION("googlefinance(E48,""price"")"),33.62)</f>
        <v>33.62</v>
      </c>
      <c r="M48" s="24">
        <f t="shared" ref="M48:M54" si="26">L48-J48</f>
        <v>-44.01</v>
      </c>
      <c r="N48" s="25">
        <f t="shared" ref="N48:N49" si="27">L48/J48-1</f>
        <v>-0.5669200052</v>
      </c>
      <c r="O48" s="19">
        <f t="shared" ref="O48:O54" si="28">H48*N48</f>
        <v>-88020</v>
      </c>
      <c r="P48" s="34"/>
      <c r="Q48" s="29"/>
      <c r="R48" s="24"/>
      <c r="S48" s="16"/>
      <c r="T48" s="16"/>
      <c r="U48" s="16"/>
      <c r="V48" s="94"/>
      <c r="W48" s="24"/>
      <c r="X48" s="19"/>
      <c r="Y48" s="16"/>
      <c r="Z48" s="32"/>
      <c r="AA48" s="31"/>
      <c r="AB48" s="29"/>
    </row>
    <row r="49">
      <c r="A49" s="38"/>
      <c r="B49" s="32"/>
      <c r="C49" s="14">
        <f>I49/E138</f>
        <v>0.005619099577</v>
      </c>
      <c r="D49" s="264" t="s">
        <v>306</v>
      </c>
      <c r="E49" s="264" t="s">
        <v>307</v>
      </c>
      <c r="F49" s="17">
        <v>7.7</v>
      </c>
      <c r="G49" s="85">
        <v>7500.0</v>
      </c>
      <c r="H49" s="19">
        <f t="shared" si="24"/>
        <v>148350</v>
      </c>
      <c r="I49" s="19">
        <f t="shared" si="25"/>
        <v>85725</v>
      </c>
      <c r="J49" s="21">
        <v>19.78</v>
      </c>
      <c r="K49" s="22">
        <f>IFERROR(__xludf.DUMMYFUNCTION("GOOGLEFINANCE(E49,""changepct"")"),-0.87)</f>
        <v>-0.87</v>
      </c>
      <c r="L49" s="24">
        <f>IFERROR(__xludf.DUMMYFUNCTION("googlefinance(E49,""price"")"),11.43)</f>
        <v>11.43</v>
      </c>
      <c r="M49" s="24">
        <f t="shared" si="26"/>
        <v>-8.35</v>
      </c>
      <c r="N49" s="25">
        <f t="shared" si="27"/>
        <v>-0.4221435794</v>
      </c>
      <c r="O49" s="19">
        <f t="shared" si="28"/>
        <v>-62625</v>
      </c>
      <c r="P49" s="14"/>
      <c r="Q49" s="19"/>
      <c r="R49" s="31"/>
      <c r="S49" s="16"/>
      <c r="T49" s="16"/>
      <c r="U49" s="16"/>
      <c r="V49" s="30"/>
      <c r="W49" s="31"/>
      <c r="X49" s="29"/>
      <c r="Y49" s="16"/>
      <c r="Z49" s="30"/>
      <c r="AA49" s="31"/>
      <c r="AB49" s="29"/>
    </row>
    <row r="50">
      <c r="A50" s="38"/>
      <c r="B50" s="32"/>
      <c r="C50" s="14">
        <f>I50/E138</f>
        <v>0</v>
      </c>
      <c r="D50" s="344" t="s">
        <v>391</v>
      </c>
      <c r="E50" s="278" t="s">
        <v>392</v>
      </c>
      <c r="F50" s="279">
        <v>7.5</v>
      </c>
      <c r="G50" s="18">
        <v>5000.0</v>
      </c>
      <c r="H50" s="19">
        <f t="shared" si="24"/>
        <v>157550</v>
      </c>
      <c r="I50" s="20">
        <v>0.0</v>
      </c>
      <c r="J50" s="21">
        <v>31.51</v>
      </c>
      <c r="K50" s="22">
        <f>IFERROR(__xludf.DUMMYFUNCTION("GOOGLEFINANCE(E50,""changepct"")"),-0.52)</f>
        <v>-0.52</v>
      </c>
      <c r="L50" s="24">
        <f>IFERROR(__xludf.DUMMYFUNCTION("googlefinance(E50,""price"")"),22.94)</f>
        <v>22.94</v>
      </c>
      <c r="M50" s="24">
        <f t="shared" si="26"/>
        <v>-8.57</v>
      </c>
      <c r="N50" s="25">
        <f>R50/J50-1</f>
        <v>-0.00793398921</v>
      </c>
      <c r="O50" s="19">
        <f t="shared" si="28"/>
        <v>-1250</v>
      </c>
      <c r="P50" s="14"/>
      <c r="Q50" s="29"/>
      <c r="R50" s="21">
        <v>31.26</v>
      </c>
      <c r="S50" s="15"/>
      <c r="T50" s="15"/>
      <c r="U50" s="15" t="s">
        <v>392</v>
      </c>
      <c r="V50" s="41">
        <v>45041.0</v>
      </c>
      <c r="W50" s="21">
        <v>31.26</v>
      </c>
      <c r="X50" s="20">
        <v>156300.0</v>
      </c>
      <c r="Y50" s="15"/>
      <c r="Z50" s="36"/>
      <c r="AA50" s="37"/>
      <c r="AB50" s="27"/>
    </row>
    <row r="51">
      <c r="A51" s="38"/>
      <c r="B51" s="32"/>
      <c r="C51" s="14">
        <f>I51/E138</f>
        <v>0</v>
      </c>
      <c r="D51" s="59" t="s">
        <v>387</v>
      </c>
      <c r="E51" s="59" t="s">
        <v>388</v>
      </c>
      <c r="F51" s="17">
        <v>7.4</v>
      </c>
      <c r="G51" s="18">
        <v>1000.0</v>
      </c>
      <c r="H51" s="19">
        <f t="shared" si="24"/>
        <v>163160</v>
      </c>
      <c r="I51" s="20">
        <v>0.0</v>
      </c>
      <c r="J51" s="21">
        <v>163.16</v>
      </c>
      <c r="K51" s="22">
        <f>IFERROR(__xludf.DUMMYFUNCTION("GOOGLEFINANCE(E51,""changepct"")"),-0.65)</f>
        <v>-0.65</v>
      </c>
      <c r="L51" s="24">
        <f>IFERROR(__xludf.DUMMYFUNCTION("googlefinance(E51,""price"")"),143.07)</f>
        <v>143.07</v>
      </c>
      <c r="M51" s="24">
        <f t="shared" si="26"/>
        <v>-20.09</v>
      </c>
      <c r="N51" s="25">
        <f>(R51/J51)-1</f>
        <v>0.0256803138</v>
      </c>
      <c r="O51" s="19">
        <f t="shared" si="28"/>
        <v>4190</v>
      </c>
      <c r="P51" s="14"/>
      <c r="Q51" s="29"/>
      <c r="R51" s="21">
        <v>167.35</v>
      </c>
      <c r="S51" s="15"/>
      <c r="T51" s="15"/>
      <c r="U51" s="15" t="s">
        <v>388</v>
      </c>
      <c r="V51" s="41">
        <v>45042.0</v>
      </c>
      <c r="W51" s="21">
        <v>167.35</v>
      </c>
      <c r="X51" s="20">
        <v>167350.0</v>
      </c>
      <c r="Y51" s="15"/>
      <c r="Z51" s="41"/>
      <c r="AA51" s="37"/>
      <c r="AB51" s="27"/>
    </row>
    <row r="52">
      <c r="A52" s="38"/>
      <c r="B52" s="32"/>
      <c r="C52" s="14">
        <f>I52/E138</f>
        <v>0</v>
      </c>
      <c r="D52" s="59" t="s">
        <v>531</v>
      </c>
      <c r="E52" s="59" t="s">
        <v>394</v>
      </c>
      <c r="F52" s="17">
        <v>7.4</v>
      </c>
      <c r="G52" s="18">
        <v>5000.0</v>
      </c>
      <c r="H52" s="19">
        <f t="shared" si="24"/>
        <v>119800</v>
      </c>
      <c r="I52" s="20">
        <v>0.0</v>
      </c>
      <c r="J52" s="21">
        <v>23.96</v>
      </c>
      <c r="K52" s="22">
        <f>IFERROR(__xludf.DUMMYFUNCTION("GOOGLEFINANCE(E52,""changepct"")"),-0.62)</f>
        <v>-0.62</v>
      </c>
      <c r="L52" s="24">
        <f>IFERROR(__xludf.DUMMYFUNCTION("googlefinance(E52,""price"")"),543.4)</f>
        <v>543.4</v>
      </c>
      <c r="M52" s="24">
        <f t="shared" si="26"/>
        <v>519.44</v>
      </c>
      <c r="N52" s="25">
        <f t="shared" ref="N52:N54" si="29">R52/J52-1</f>
        <v>0.01210350584</v>
      </c>
      <c r="O52" s="19">
        <f t="shared" si="28"/>
        <v>1450</v>
      </c>
      <c r="P52" s="14"/>
      <c r="Q52" s="29"/>
      <c r="R52" s="21">
        <v>24.25</v>
      </c>
      <c r="S52" s="15"/>
      <c r="T52" s="15"/>
      <c r="U52" s="15" t="s">
        <v>394</v>
      </c>
      <c r="V52" s="41">
        <v>45036.0</v>
      </c>
      <c r="W52" s="21">
        <v>24.25</v>
      </c>
      <c r="X52" s="20">
        <v>121250.0</v>
      </c>
      <c r="Y52" s="16"/>
      <c r="Z52" s="30"/>
      <c r="AA52" s="31"/>
      <c r="AB52" s="29"/>
    </row>
    <row r="53">
      <c r="A53" s="38"/>
      <c r="B53" s="32"/>
      <c r="C53" s="14">
        <f>I53/E138</f>
        <v>0</v>
      </c>
      <c r="D53" s="264" t="s">
        <v>491</v>
      </c>
      <c r="E53" s="264" t="s">
        <v>492</v>
      </c>
      <c r="F53" s="17">
        <v>7.5</v>
      </c>
      <c r="G53" s="18">
        <v>1500.0</v>
      </c>
      <c r="H53" s="19">
        <f t="shared" si="24"/>
        <v>164490</v>
      </c>
      <c r="I53" s="20">
        <v>0.0</v>
      </c>
      <c r="J53" s="21">
        <v>109.66</v>
      </c>
      <c r="K53" s="22">
        <f>IFERROR(__xludf.DUMMYFUNCTION("GOOGLEFINANCE(E53,""changepct"")"),-0.68)</f>
        <v>-0.68</v>
      </c>
      <c r="L53" s="24">
        <f>IFERROR(__xludf.DUMMYFUNCTION("googlefinance(E53,""price"")"),105.76)</f>
        <v>105.76</v>
      </c>
      <c r="M53" s="24">
        <f t="shared" si="26"/>
        <v>-3.9</v>
      </c>
      <c r="N53" s="25">
        <f t="shared" si="29"/>
        <v>0.05061097939</v>
      </c>
      <c r="O53" s="19">
        <f t="shared" si="28"/>
        <v>8325</v>
      </c>
      <c r="P53" s="14"/>
      <c r="Q53" s="19"/>
      <c r="R53" s="37">
        <v>115.21</v>
      </c>
      <c r="S53" s="15"/>
      <c r="T53" s="15"/>
      <c r="U53" s="15" t="s">
        <v>492</v>
      </c>
      <c r="V53" s="36">
        <v>45042.0</v>
      </c>
      <c r="W53" s="37">
        <v>115.21</v>
      </c>
      <c r="X53" s="27">
        <v>172815.0</v>
      </c>
      <c r="Y53" s="16"/>
      <c r="Z53" s="30"/>
      <c r="AA53" s="31"/>
      <c r="AB53" s="29"/>
    </row>
    <row r="54">
      <c r="A54" s="38"/>
      <c r="B54" s="32"/>
      <c r="C54" s="14">
        <f>I54/E138</f>
        <v>0</v>
      </c>
      <c r="D54" s="16" t="s">
        <v>352</v>
      </c>
      <c r="E54" s="16" t="s">
        <v>97</v>
      </c>
      <c r="F54" s="17">
        <v>7.2</v>
      </c>
      <c r="G54" s="18">
        <v>3000.0</v>
      </c>
      <c r="H54" s="19">
        <f t="shared" si="24"/>
        <v>108180</v>
      </c>
      <c r="I54" s="20">
        <v>0.0</v>
      </c>
      <c r="J54" s="21">
        <v>36.06</v>
      </c>
      <c r="K54" s="22">
        <f>IFERROR(__xludf.DUMMYFUNCTION("GOOGLEFINANCE(E54,""changepct"")"),1.49)</f>
        <v>1.49</v>
      </c>
      <c r="L54" s="24">
        <f>IFERROR(__xludf.DUMMYFUNCTION("googlefinance(E54,""price"")"),22.42)</f>
        <v>22.42</v>
      </c>
      <c r="M54" s="24">
        <f t="shared" si="26"/>
        <v>-13.64</v>
      </c>
      <c r="N54" s="25">
        <f t="shared" si="29"/>
        <v>0.04547975596</v>
      </c>
      <c r="O54" s="19">
        <f t="shared" si="28"/>
        <v>4920</v>
      </c>
      <c r="P54" s="14"/>
      <c r="Q54" s="19"/>
      <c r="R54" s="37">
        <v>37.7</v>
      </c>
      <c r="S54" s="15"/>
      <c r="T54" s="15"/>
      <c r="U54" s="15" t="s">
        <v>97</v>
      </c>
      <c r="V54" s="36">
        <v>45036.0</v>
      </c>
      <c r="W54" s="37">
        <v>37.7</v>
      </c>
      <c r="X54" s="27">
        <v>113100.0</v>
      </c>
      <c r="Y54" s="16"/>
      <c r="Z54" s="94"/>
      <c r="AA54" s="24"/>
      <c r="AB54" s="19"/>
    </row>
    <row r="55">
      <c r="A55" s="48"/>
      <c r="B55" s="6"/>
      <c r="C55" s="6" t="s">
        <v>89</v>
      </c>
      <c r="D55" s="6"/>
      <c r="E55" s="6"/>
      <c r="F55" s="6"/>
      <c r="G55" s="69"/>
      <c r="H55" s="49">
        <f t="shared" ref="H55:I55" si="30">SUM(H48:H54)</f>
        <v>1016790</v>
      </c>
      <c r="I55" s="50">
        <f t="shared" si="30"/>
        <v>152965</v>
      </c>
      <c r="J55" s="8"/>
      <c r="K55" s="8"/>
      <c r="L55" s="8"/>
      <c r="M55" s="10"/>
      <c r="N55" s="51">
        <f>O55/I55</f>
        <v>-0.03356977086</v>
      </c>
      <c r="O55" s="263">
        <v>-5135.0</v>
      </c>
      <c r="P55" s="6"/>
      <c r="Q55" s="49">
        <f>SUM(Q48:Q54)</f>
        <v>0</v>
      </c>
      <c r="R55" s="10"/>
      <c r="S55" s="6"/>
      <c r="T55" s="6"/>
      <c r="U55" s="6" t="s">
        <v>89</v>
      </c>
      <c r="V55" s="53"/>
      <c r="W55" s="54"/>
      <c r="X55" s="49">
        <f>SUM(X48:X54)</f>
        <v>730815</v>
      </c>
      <c r="Y55" s="6" t="s">
        <v>89</v>
      </c>
      <c r="Z55" s="53"/>
      <c r="AA55" s="54"/>
      <c r="AB55" s="49">
        <f>SUM(AB48:AB54)</f>
        <v>0</v>
      </c>
    </row>
    <row r="56">
      <c r="A56" s="55"/>
      <c r="B56" s="5" t="s">
        <v>532</v>
      </c>
      <c r="C56" s="6" t="s">
        <v>2</v>
      </c>
      <c r="D56" s="6" t="s">
        <v>3</v>
      </c>
      <c r="E56" s="6" t="s">
        <v>4</v>
      </c>
      <c r="F56" s="6" t="s">
        <v>5</v>
      </c>
      <c r="G56" s="6" t="s">
        <v>6</v>
      </c>
      <c r="H56" s="6" t="s">
        <v>7</v>
      </c>
      <c r="I56" s="7" t="s">
        <v>8</v>
      </c>
      <c r="J56" s="7" t="s">
        <v>9</v>
      </c>
      <c r="K56" s="8" t="s">
        <v>10</v>
      </c>
      <c r="L56" s="8" t="s">
        <v>11</v>
      </c>
      <c r="M56" s="10" t="s">
        <v>13</v>
      </c>
      <c r="N56" s="6" t="s">
        <v>14</v>
      </c>
      <c r="O56" s="10" t="s">
        <v>15</v>
      </c>
      <c r="P56" s="6" t="s">
        <v>16</v>
      </c>
      <c r="Q56" s="6" t="s">
        <v>17</v>
      </c>
      <c r="R56" s="9" t="s">
        <v>526</v>
      </c>
      <c r="S56" s="5" t="s">
        <v>19</v>
      </c>
      <c r="T56" s="5" t="s">
        <v>91</v>
      </c>
      <c r="U56" s="6" t="s">
        <v>21</v>
      </c>
      <c r="V56" s="6" t="s">
        <v>22</v>
      </c>
      <c r="W56" s="12" t="s">
        <v>23</v>
      </c>
      <c r="X56" s="12" t="s">
        <v>24</v>
      </c>
      <c r="Y56" s="6" t="s">
        <v>25</v>
      </c>
      <c r="Z56" s="6" t="s">
        <v>26</v>
      </c>
      <c r="AA56" s="6" t="s">
        <v>27</v>
      </c>
      <c r="AB56" s="6" t="s">
        <v>28</v>
      </c>
    </row>
    <row r="57">
      <c r="A57" s="56" t="s">
        <v>29</v>
      </c>
      <c r="B57" s="57">
        <f>I67/E138</f>
        <v>0.03998734138</v>
      </c>
      <c r="C57" s="14">
        <f>I57/E138</f>
        <v>0.00758534198</v>
      </c>
      <c r="D57" s="16" t="s">
        <v>498</v>
      </c>
      <c r="E57" s="16" t="s">
        <v>499</v>
      </c>
      <c r="F57" s="17">
        <v>7.9</v>
      </c>
      <c r="G57" s="18">
        <v>1800.0</v>
      </c>
      <c r="H57" s="19">
        <f t="shared" ref="H57:H66" si="31">G57*J57</f>
        <v>156348</v>
      </c>
      <c r="I57" s="19">
        <f>H57+O57</f>
        <v>115722</v>
      </c>
      <c r="J57" s="21">
        <v>86.86</v>
      </c>
      <c r="K57" s="22">
        <f>IFERROR(__xludf.DUMMYFUNCTION("GOOGLEFINANCE(E57,""changepct"")"),-0.97)</f>
        <v>-0.97</v>
      </c>
      <c r="L57" s="24">
        <f>IFERROR(__xludf.DUMMYFUNCTION("googlefinance(E57,""price"")"),64.29)</f>
        <v>64.29</v>
      </c>
      <c r="M57" s="24">
        <f t="shared" ref="M57:M66" si="32">L57-J57</f>
        <v>-22.57</v>
      </c>
      <c r="N57" s="25">
        <f>L57/J57-1</f>
        <v>-0.2598434262</v>
      </c>
      <c r="O57" s="84">
        <f t="shared" ref="O57:O66" si="33">H57*N57</f>
        <v>-40626</v>
      </c>
      <c r="P57" s="47">
        <v>0.023</v>
      </c>
      <c r="Q57" s="20">
        <v>863.0</v>
      </c>
      <c r="R57" s="37"/>
      <c r="S57" s="27"/>
      <c r="T57" s="27"/>
      <c r="U57" s="15"/>
      <c r="V57" s="36"/>
      <c r="W57" s="37"/>
      <c r="X57" s="27"/>
      <c r="Y57" s="16"/>
      <c r="Z57" s="30"/>
      <c r="AA57" s="31"/>
      <c r="AB57" s="29"/>
    </row>
    <row r="58">
      <c r="A58" s="38"/>
      <c r="B58" s="32"/>
      <c r="C58" s="14">
        <f>I58/E138</f>
        <v>0</v>
      </c>
      <c r="D58" s="76" t="s">
        <v>533</v>
      </c>
      <c r="E58" s="15" t="s">
        <v>534</v>
      </c>
      <c r="F58" s="17">
        <v>7.8</v>
      </c>
      <c r="G58" s="18">
        <v>800.0</v>
      </c>
      <c r="H58" s="19">
        <f t="shared" si="31"/>
        <v>183072</v>
      </c>
      <c r="I58" s="20">
        <v>0.0</v>
      </c>
      <c r="J58" s="21">
        <v>228.84</v>
      </c>
      <c r="K58" s="22">
        <f>IFERROR(__xludf.DUMMYFUNCTION("GOOGLEFINANCE(E58,""changepct"")"),-0.51)</f>
        <v>-0.51</v>
      </c>
      <c r="L58" s="24">
        <f>IFERROR(__xludf.DUMMYFUNCTION("googlefinance(E58,""price"")"),363.01)</f>
        <v>363.01</v>
      </c>
      <c r="M58" s="24">
        <f t="shared" si="32"/>
        <v>134.17</v>
      </c>
      <c r="N58" s="25">
        <f>R58/J58-1</f>
        <v>-0.03688166404</v>
      </c>
      <c r="O58" s="84">
        <f t="shared" si="33"/>
        <v>-6752</v>
      </c>
      <c r="P58" s="32"/>
      <c r="Q58" s="29"/>
      <c r="R58" s="21">
        <v>220.4</v>
      </c>
      <c r="S58" s="29"/>
      <c r="T58" s="29"/>
      <c r="U58" s="15" t="s">
        <v>534</v>
      </c>
      <c r="V58" s="41">
        <v>45041.0</v>
      </c>
      <c r="W58" s="21">
        <v>220.4</v>
      </c>
      <c r="X58" s="20">
        <v>176320.0</v>
      </c>
      <c r="Y58" s="15"/>
      <c r="Z58" s="41"/>
      <c r="AA58" s="21"/>
      <c r="AB58" s="20"/>
    </row>
    <row r="59">
      <c r="A59" s="38"/>
      <c r="B59" s="32"/>
      <c r="C59" s="14">
        <f>I59/E138</f>
        <v>0.001966439047</v>
      </c>
      <c r="D59" s="95" t="s">
        <v>143</v>
      </c>
      <c r="E59" s="16" t="s">
        <v>144</v>
      </c>
      <c r="F59" s="17">
        <v>7.8</v>
      </c>
      <c r="G59" s="18">
        <v>10000.0</v>
      </c>
      <c r="H59" s="19">
        <f t="shared" si="31"/>
        <v>217600</v>
      </c>
      <c r="I59" s="19">
        <f t="shared" ref="I59:I60" si="34">H59+O59</f>
        <v>30000</v>
      </c>
      <c r="J59" s="21">
        <v>21.76</v>
      </c>
      <c r="K59" s="22">
        <f>IFERROR(__xludf.DUMMYFUNCTION("GOOGLEFINANCE(E59,""changepct"")"),-2.91)</f>
        <v>-2.91</v>
      </c>
      <c r="L59" s="24">
        <f>IFERROR(__xludf.DUMMYFUNCTION("googlefinance(E59,""price"")"),3.0)</f>
        <v>3</v>
      </c>
      <c r="M59" s="24">
        <f t="shared" si="32"/>
        <v>-18.76</v>
      </c>
      <c r="N59" s="25">
        <f t="shared" ref="N59:N60" si="35">L59/J59-1</f>
        <v>-0.8621323529</v>
      </c>
      <c r="O59" s="84">
        <f t="shared" si="33"/>
        <v>-187600</v>
      </c>
      <c r="P59" s="32"/>
      <c r="Q59" s="29"/>
      <c r="R59" s="24"/>
      <c r="S59" s="27">
        <v>18200.0</v>
      </c>
      <c r="T59" s="27">
        <v>7800.0</v>
      </c>
      <c r="U59" s="16"/>
      <c r="V59" s="94"/>
      <c r="W59" s="24"/>
      <c r="X59" s="19"/>
      <c r="Y59" s="16"/>
      <c r="Z59" s="94"/>
      <c r="AA59" s="24"/>
      <c r="AB59" s="19"/>
    </row>
    <row r="60">
      <c r="A60" s="38"/>
      <c r="B60" s="32"/>
      <c r="C60" s="14">
        <f>I60/E138</f>
        <v>0.000006554796823</v>
      </c>
      <c r="D60" s="76" t="s">
        <v>535</v>
      </c>
      <c r="E60" s="15" t="s">
        <v>451</v>
      </c>
      <c r="F60" s="17">
        <v>8.0</v>
      </c>
      <c r="G60" s="18">
        <v>10000.0</v>
      </c>
      <c r="H60" s="19">
        <f t="shared" si="31"/>
        <v>215400</v>
      </c>
      <c r="I60" s="19">
        <f t="shared" si="34"/>
        <v>100</v>
      </c>
      <c r="J60" s="21">
        <v>21.54</v>
      </c>
      <c r="K60" s="22">
        <f>IFERROR(__xludf.DUMMYFUNCTION("GOOGLEFINANCE(E60,""changepct"")"),0.0)</f>
        <v>0</v>
      </c>
      <c r="L60" s="24">
        <f>IFERROR(__xludf.DUMMYFUNCTION("googlefinance(E60,""price"")"),0.01)</f>
        <v>0.01</v>
      </c>
      <c r="M60" s="24">
        <f t="shared" si="32"/>
        <v>-21.53</v>
      </c>
      <c r="N60" s="25">
        <f t="shared" si="35"/>
        <v>-0.9995357474</v>
      </c>
      <c r="O60" s="84">
        <f t="shared" si="33"/>
        <v>-215300</v>
      </c>
      <c r="P60" s="32"/>
      <c r="Q60" s="29"/>
      <c r="R60" s="21"/>
      <c r="S60" s="27"/>
      <c r="T60" s="27"/>
      <c r="U60" s="15"/>
      <c r="V60" s="41"/>
      <c r="W60" s="21"/>
      <c r="X60" s="20"/>
      <c r="Y60" s="15" t="s">
        <v>451</v>
      </c>
      <c r="Z60" s="36">
        <v>45043.0</v>
      </c>
      <c r="AA60" s="37">
        <v>21.54</v>
      </c>
      <c r="AB60" s="27">
        <v>215400.0</v>
      </c>
    </row>
    <row r="61">
      <c r="A61" s="38"/>
      <c r="B61" s="32"/>
      <c r="C61" s="14">
        <f>I61/E138</f>
        <v>0</v>
      </c>
      <c r="D61" s="76" t="s">
        <v>536</v>
      </c>
      <c r="E61" s="15" t="s">
        <v>136</v>
      </c>
      <c r="F61" s="17">
        <v>7.6</v>
      </c>
      <c r="G61" s="18">
        <v>5000.0</v>
      </c>
      <c r="H61" s="19">
        <f t="shared" si="31"/>
        <v>130850</v>
      </c>
      <c r="I61" s="20">
        <v>0.0</v>
      </c>
      <c r="J61" s="21">
        <v>26.17</v>
      </c>
      <c r="K61" s="22">
        <f>IFERROR(__xludf.DUMMYFUNCTION("GOOGLEFINANCE(E61,""changepct"")"),-2.21)</f>
        <v>-2.21</v>
      </c>
      <c r="L61" s="24">
        <f>IFERROR(__xludf.DUMMYFUNCTION("googlefinance(E61,""price"")"),51.33)</f>
        <v>51.33</v>
      </c>
      <c r="M61" s="24">
        <f t="shared" si="32"/>
        <v>25.16</v>
      </c>
      <c r="N61" s="25">
        <f t="shared" ref="N61:N62" si="36">R61/J61-1</f>
        <v>0.03400840657</v>
      </c>
      <c r="O61" s="84">
        <f t="shared" si="33"/>
        <v>4450</v>
      </c>
      <c r="P61" s="32"/>
      <c r="Q61" s="29"/>
      <c r="R61" s="21">
        <v>27.06</v>
      </c>
      <c r="S61" s="27"/>
      <c r="T61" s="27"/>
      <c r="U61" s="15" t="s">
        <v>136</v>
      </c>
      <c r="V61" s="41">
        <v>45076.0</v>
      </c>
      <c r="W61" s="21">
        <v>27.06</v>
      </c>
      <c r="X61" s="20">
        <v>135300.0</v>
      </c>
      <c r="Y61" s="16"/>
      <c r="Z61" s="30"/>
      <c r="AA61" s="31"/>
      <c r="AB61" s="29"/>
    </row>
    <row r="62">
      <c r="A62" s="38"/>
      <c r="B62" s="32"/>
      <c r="C62" s="14">
        <f>I62/E138</f>
        <v>0</v>
      </c>
      <c r="D62" s="95" t="s">
        <v>145</v>
      </c>
      <c r="E62" s="16" t="s">
        <v>146</v>
      </c>
      <c r="F62" s="17">
        <v>7.3</v>
      </c>
      <c r="G62" s="18">
        <v>2500.0</v>
      </c>
      <c r="H62" s="19">
        <f t="shared" si="31"/>
        <v>152375</v>
      </c>
      <c r="I62" s="20">
        <v>0.0</v>
      </c>
      <c r="J62" s="21">
        <v>60.95</v>
      </c>
      <c r="K62" s="22">
        <f>IFERROR(__xludf.DUMMYFUNCTION("GOOGLEFINANCE(E62,""changepct"")"),-2.33)</f>
        <v>-2.33</v>
      </c>
      <c r="L62" s="24">
        <f>IFERROR(__xludf.DUMMYFUNCTION("googlefinance(E62,""price"")"),36.47)</f>
        <v>36.47</v>
      </c>
      <c r="M62" s="24">
        <f t="shared" si="32"/>
        <v>-24.48</v>
      </c>
      <c r="N62" s="25">
        <f t="shared" si="36"/>
        <v>0.09745693191</v>
      </c>
      <c r="O62" s="84">
        <f t="shared" si="33"/>
        <v>14850</v>
      </c>
      <c r="P62" s="47">
        <v>0.14</v>
      </c>
      <c r="Q62" s="20">
        <v>5250.0</v>
      </c>
      <c r="R62" s="37">
        <v>66.89</v>
      </c>
      <c r="S62" s="29"/>
      <c r="T62" s="29"/>
      <c r="U62" s="15" t="s">
        <v>146</v>
      </c>
      <c r="V62" s="36">
        <v>45076.0</v>
      </c>
      <c r="W62" s="37">
        <v>66.89</v>
      </c>
      <c r="X62" s="27">
        <v>167225.0</v>
      </c>
      <c r="Y62" s="15" t="s">
        <v>146</v>
      </c>
      <c r="Z62" s="41">
        <v>45037.0</v>
      </c>
      <c r="AA62" s="21">
        <v>60.95</v>
      </c>
      <c r="AB62" s="20">
        <v>152725.0</v>
      </c>
    </row>
    <row r="63">
      <c r="A63" s="38"/>
      <c r="B63" s="32"/>
      <c r="C63" s="14">
        <f>I63/E138</f>
        <v>0.003585801602</v>
      </c>
      <c r="D63" s="95" t="s">
        <v>145</v>
      </c>
      <c r="E63" s="16" t="s">
        <v>146</v>
      </c>
      <c r="F63" s="17">
        <v>7.3</v>
      </c>
      <c r="G63" s="18">
        <v>1500.0</v>
      </c>
      <c r="H63" s="19">
        <f t="shared" si="31"/>
        <v>121590</v>
      </c>
      <c r="I63" s="19">
        <f t="shared" ref="I63:I66" si="37">H63+O63</f>
        <v>54705</v>
      </c>
      <c r="J63" s="21">
        <v>81.06</v>
      </c>
      <c r="K63" s="22">
        <f>IFERROR(__xludf.DUMMYFUNCTION("GOOGLEFINANCE(E63,""changepct"")"),-2.33)</f>
        <v>-2.33</v>
      </c>
      <c r="L63" s="24">
        <f>IFERROR(__xludf.DUMMYFUNCTION("googlefinance(E63,""price"")"),36.47)</f>
        <v>36.47</v>
      </c>
      <c r="M63" s="24">
        <f t="shared" si="32"/>
        <v>-44.59</v>
      </c>
      <c r="N63" s="25">
        <f t="shared" ref="N63:N66" si="38">L63/J63-1</f>
        <v>-0.5500863558</v>
      </c>
      <c r="O63" s="84">
        <f t="shared" si="33"/>
        <v>-66885</v>
      </c>
      <c r="P63" s="47">
        <v>0.14</v>
      </c>
      <c r="Q63" s="20">
        <v>4200.0</v>
      </c>
      <c r="R63" s="31"/>
      <c r="S63" s="29"/>
      <c r="T63" s="29"/>
      <c r="U63" s="16"/>
      <c r="V63" s="30"/>
      <c r="W63" s="31"/>
      <c r="X63" s="29"/>
      <c r="Y63" s="16"/>
      <c r="Z63" s="94"/>
      <c r="AA63" s="24"/>
      <c r="AB63" s="19"/>
    </row>
    <row r="64">
      <c r="A64" s="38"/>
      <c r="B64" s="32"/>
      <c r="C64" s="14">
        <f>I64/E138</f>
        <v>0.01111169157</v>
      </c>
      <c r="D64" s="15" t="s">
        <v>500</v>
      </c>
      <c r="E64" s="15" t="s">
        <v>134</v>
      </c>
      <c r="F64" s="17">
        <v>6.9</v>
      </c>
      <c r="G64" s="18">
        <v>8000.0</v>
      </c>
      <c r="H64" s="19">
        <f t="shared" si="31"/>
        <v>220800</v>
      </c>
      <c r="I64" s="19">
        <f t="shared" si="37"/>
        <v>169520</v>
      </c>
      <c r="J64" s="21">
        <v>27.6</v>
      </c>
      <c r="K64" s="22">
        <f>IFERROR(__xludf.DUMMYFUNCTION("GOOGLEFINANCE(E64,""changepct"")"),-2.75)</f>
        <v>-2.75</v>
      </c>
      <c r="L64" s="24">
        <f>IFERROR(__xludf.DUMMYFUNCTION("googlefinance(E64,""price"")"),21.19)</f>
        <v>21.19</v>
      </c>
      <c r="M64" s="24">
        <f t="shared" si="32"/>
        <v>-6.41</v>
      </c>
      <c r="N64" s="25">
        <f t="shared" si="38"/>
        <v>-0.2322463768</v>
      </c>
      <c r="O64" s="84">
        <f t="shared" si="33"/>
        <v>-51280</v>
      </c>
      <c r="P64" s="47"/>
      <c r="Q64" s="29"/>
      <c r="R64" s="21"/>
      <c r="S64" s="27"/>
      <c r="T64" s="27"/>
      <c r="U64" s="15"/>
      <c r="V64" s="41"/>
      <c r="W64" s="21"/>
      <c r="X64" s="20"/>
      <c r="Y64" s="15"/>
      <c r="Z64" s="36"/>
      <c r="AA64" s="37"/>
      <c r="AB64" s="27"/>
    </row>
    <row r="65">
      <c r="A65" s="38"/>
      <c r="B65" s="32"/>
      <c r="C65" s="14">
        <f>I65/E138</f>
        <v>0.009438907425</v>
      </c>
      <c r="D65" s="15" t="s">
        <v>501</v>
      </c>
      <c r="E65" s="16" t="s">
        <v>132</v>
      </c>
      <c r="F65" s="17">
        <v>7.8</v>
      </c>
      <c r="G65" s="18">
        <v>6000.0</v>
      </c>
      <c r="H65" s="19">
        <f t="shared" si="31"/>
        <v>216180</v>
      </c>
      <c r="I65" s="19">
        <f t="shared" si="37"/>
        <v>144000</v>
      </c>
      <c r="J65" s="21">
        <v>36.03</v>
      </c>
      <c r="K65" s="22">
        <f>IFERROR(__xludf.DUMMYFUNCTION("GOOGLEFINANCE(E65,""changepct"")"),0.54)</f>
        <v>0.54</v>
      </c>
      <c r="L65" s="24">
        <f>IFERROR(__xludf.DUMMYFUNCTION("googlefinance(E65,""price"")"),24.0)</f>
        <v>24</v>
      </c>
      <c r="M65" s="24">
        <f t="shared" si="32"/>
        <v>-12.03</v>
      </c>
      <c r="N65" s="25">
        <f t="shared" si="38"/>
        <v>-0.3338884263</v>
      </c>
      <c r="O65" s="84">
        <f t="shared" si="33"/>
        <v>-72180</v>
      </c>
      <c r="P65" s="47">
        <v>0.023</v>
      </c>
      <c r="Q65" s="20">
        <v>1237.0</v>
      </c>
      <c r="R65" s="37"/>
      <c r="S65" s="27"/>
      <c r="T65" s="27"/>
      <c r="U65" s="15"/>
      <c r="V65" s="36"/>
      <c r="W65" s="37"/>
      <c r="X65" s="27"/>
      <c r="Y65" s="15" t="s">
        <v>132</v>
      </c>
      <c r="Z65" s="41">
        <v>45069.0</v>
      </c>
      <c r="AA65" s="21">
        <v>36.03</v>
      </c>
      <c r="AB65" s="20">
        <v>216180.0</v>
      </c>
    </row>
    <row r="66">
      <c r="A66" s="38"/>
      <c r="B66" s="32"/>
      <c r="C66" s="14">
        <f>I66/E138</f>
        <v>0.00629260495</v>
      </c>
      <c r="D66" s="16" t="s">
        <v>454</v>
      </c>
      <c r="E66" s="16" t="s">
        <v>132</v>
      </c>
      <c r="F66" s="17">
        <v>7.8</v>
      </c>
      <c r="G66" s="18">
        <v>4000.0</v>
      </c>
      <c r="H66" s="19">
        <f t="shared" si="31"/>
        <v>183520</v>
      </c>
      <c r="I66" s="20">
        <f t="shared" si="37"/>
        <v>96000</v>
      </c>
      <c r="J66" s="21">
        <v>45.88</v>
      </c>
      <c r="K66" s="22">
        <f>IFERROR(__xludf.DUMMYFUNCTION("GOOGLEFINANCE(E66,""changepct"")"),0.54)</f>
        <v>0.54</v>
      </c>
      <c r="L66" s="24">
        <f>IFERROR(__xludf.DUMMYFUNCTION("googlefinance(E66,""price"")"),24.0)</f>
        <v>24</v>
      </c>
      <c r="M66" s="24">
        <f t="shared" si="32"/>
        <v>-21.88</v>
      </c>
      <c r="N66" s="25">
        <f t="shared" si="38"/>
        <v>-0.4768962511</v>
      </c>
      <c r="O66" s="84">
        <f t="shared" si="33"/>
        <v>-87520</v>
      </c>
      <c r="P66" s="47">
        <v>0.023</v>
      </c>
      <c r="Q66" s="20">
        <v>920.0</v>
      </c>
      <c r="R66" s="37"/>
      <c r="S66" s="27">
        <v>10320.0</v>
      </c>
      <c r="T66" s="27"/>
      <c r="U66" s="15"/>
      <c r="V66" s="36"/>
      <c r="W66" s="37"/>
      <c r="X66" s="27"/>
      <c r="Y66" s="15"/>
      <c r="Z66" s="41"/>
      <c r="AA66" s="21"/>
      <c r="AB66" s="20"/>
    </row>
    <row r="67">
      <c r="A67" s="48"/>
      <c r="B67" s="6"/>
      <c r="C67" s="6" t="s">
        <v>89</v>
      </c>
      <c r="D67" s="6"/>
      <c r="E67" s="6"/>
      <c r="F67" s="6"/>
      <c r="G67" s="69"/>
      <c r="H67" s="49">
        <f t="shared" ref="H67:I67" si="39">SUM(H57:H66)</f>
        <v>1797735</v>
      </c>
      <c r="I67" s="50">
        <f t="shared" si="39"/>
        <v>610047</v>
      </c>
      <c r="J67" s="8"/>
      <c r="K67" s="8"/>
      <c r="L67" s="8"/>
      <c r="M67" s="10"/>
      <c r="N67" s="51">
        <f>(O67+S67+T67+Q67)/I67</f>
        <v>-0.01005824141</v>
      </c>
      <c r="O67" s="263">
        <v>-54926.0</v>
      </c>
      <c r="P67" s="6"/>
      <c r="Q67" s="49">
        <f>SUM(Q57:Q66)</f>
        <v>12470</v>
      </c>
      <c r="R67" s="10"/>
      <c r="S67" s="11">
        <f t="shared" ref="S67:T67" si="40">SUM(S57:S66)</f>
        <v>28520</v>
      </c>
      <c r="T67" s="11">
        <f t="shared" si="40"/>
        <v>7800</v>
      </c>
      <c r="U67" s="6" t="s">
        <v>89</v>
      </c>
      <c r="V67" s="53"/>
      <c r="W67" s="54"/>
      <c r="X67" s="49">
        <f>SUM(X57:X66)</f>
        <v>478845</v>
      </c>
      <c r="Y67" s="6" t="s">
        <v>89</v>
      </c>
      <c r="Z67" s="53"/>
      <c r="AA67" s="54"/>
      <c r="AB67" s="49">
        <f>SUM(AB57:AB66)</f>
        <v>584305</v>
      </c>
    </row>
    <row r="68">
      <c r="A68" s="48"/>
      <c r="B68" s="5" t="s">
        <v>502</v>
      </c>
      <c r="C68" s="6" t="s">
        <v>2</v>
      </c>
      <c r="D68" s="6" t="s">
        <v>150</v>
      </c>
      <c r="E68" s="6" t="s">
        <v>4</v>
      </c>
      <c r="F68" s="6" t="s">
        <v>5</v>
      </c>
      <c r="G68" s="6" t="s">
        <v>6</v>
      </c>
      <c r="H68" s="6" t="s">
        <v>7</v>
      </c>
      <c r="I68" s="7" t="s">
        <v>8</v>
      </c>
      <c r="J68" s="7" t="s">
        <v>9</v>
      </c>
      <c r="K68" s="8" t="s">
        <v>10</v>
      </c>
      <c r="L68" s="8" t="s">
        <v>11</v>
      </c>
      <c r="M68" s="10" t="s">
        <v>13</v>
      </c>
      <c r="N68" s="6" t="s">
        <v>14</v>
      </c>
      <c r="O68" s="10" t="s">
        <v>15</v>
      </c>
      <c r="P68" s="6" t="s">
        <v>16</v>
      </c>
      <c r="Q68" s="6" t="s">
        <v>17</v>
      </c>
      <c r="R68" s="9" t="s">
        <v>526</v>
      </c>
      <c r="S68" s="5" t="s">
        <v>19</v>
      </c>
      <c r="T68" s="5" t="s">
        <v>91</v>
      </c>
      <c r="U68" s="6" t="s">
        <v>21</v>
      </c>
      <c r="V68" s="6" t="s">
        <v>22</v>
      </c>
      <c r="W68" s="12" t="s">
        <v>23</v>
      </c>
      <c r="X68" s="12" t="s">
        <v>24</v>
      </c>
      <c r="Y68" s="6" t="s">
        <v>25</v>
      </c>
      <c r="Z68" s="6" t="s">
        <v>26</v>
      </c>
      <c r="AA68" s="6" t="s">
        <v>27</v>
      </c>
      <c r="AB68" s="6" t="s">
        <v>28</v>
      </c>
    </row>
    <row r="69">
      <c r="A69" s="56" t="s">
        <v>29</v>
      </c>
      <c r="B69" s="57">
        <f>I75/E138</f>
        <v>0.06999041623</v>
      </c>
      <c r="C69" s="324">
        <f>I69/E138</f>
        <v>0</v>
      </c>
      <c r="D69" s="95" t="s">
        <v>503</v>
      </c>
      <c r="E69" s="16" t="s">
        <v>118</v>
      </c>
      <c r="F69" s="17">
        <v>7.4</v>
      </c>
      <c r="G69" s="325">
        <v>400.0</v>
      </c>
      <c r="H69" s="64">
        <f t="shared" ref="H69:H74" si="41">G69*J69</f>
        <v>189092</v>
      </c>
      <c r="I69" s="326">
        <v>0.0</v>
      </c>
      <c r="J69" s="327">
        <v>472.73</v>
      </c>
      <c r="K69" s="328">
        <f>IFERROR(__xludf.DUMMYFUNCTION("GOOGLEFINANCE(E69,""changepct"")"),-1.15)</f>
        <v>-1.15</v>
      </c>
      <c r="L69" s="23">
        <f>IFERROR(__xludf.DUMMYFUNCTION("googlefinance(E69,""price"")"),483.37)</f>
        <v>483.37</v>
      </c>
      <c r="M69" s="24">
        <f t="shared" ref="M69:M74" si="42">L69-J69</f>
        <v>10.64</v>
      </c>
      <c r="N69" s="329">
        <f>R69/J69-1</f>
        <v>-0.04300552112</v>
      </c>
      <c r="O69" s="102">
        <f t="shared" ref="O69:O74" si="43">H69*N69</f>
        <v>-8132</v>
      </c>
      <c r="P69" s="324"/>
      <c r="Q69" s="64"/>
      <c r="R69" s="39">
        <v>452.4</v>
      </c>
      <c r="S69" s="66"/>
      <c r="T69" s="42"/>
      <c r="U69" s="42" t="s">
        <v>118</v>
      </c>
      <c r="V69" s="67">
        <v>45069.0</v>
      </c>
      <c r="W69" s="39">
        <v>452.4</v>
      </c>
      <c r="X69" s="66">
        <v>180960.0</v>
      </c>
      <c r="Y69" s="45"/>
      <c r="Z69" s="270"/>
      <c r="AA69" s="28"/>
      <c r="AB69" s="72"/>
    </row>
    <row r="70">
      <c r="A70" s="63"/>
      <c r="B70" s="45"/>
      <c r="C70" s="324">
        <f>I70/E138</f>
        <v>0.02220109684</v>
      </c>
      <c r="D70" s="95" t="s">
        <v>537</v>
      </c>
      <c r="E70" s="16" t="s">
        <v>538</v>
      </c>
      <c r="F70" s="17">
        <v>7.5</v>
      </c>
      <c r="G70" s="325">
        <v>10000.0</v>
      </c>
      <c r="H70" s="64">
        <f t="shared" si="41"/>
        <v>345300</v>
      </c>
      <c r="I70" s="345">
        <f t="shared" ref="I70:I71" si="44">H70+O70</f>
        <v>338700</v>
      </c>
      <c r="J70" s="327">
        <v>34.53</v>
      </c>
      <c r="K70" s="328">
        <f>IFERROR(__xludf.DUMMYFUNCTION("GOOGLEFINANCE(E70,""changepct"")"),-0.32)</f>
        <v>-0.32</v>
      </c>
      <c r="L70" s="23">
        <f>IFERROR(__xludf.DUMMYFUNCTION("googlefinance(E70,""price"")"),33.87)</f>
        <v>33.87</v>
      </c>
      <c r="M70" s="24">
        <f t="shared" si="42"/>
        <v>-0.66</v>
      </c>
      <c r="N70" s="329">
        <f t="shared" ref="N70:N71" si="45">L70/J70-1</f>
        <v>-0.01911381407</v>
      </c>
      <c r="O70" s="102">
        <f t="shared" si="43"/>
        <v>-6600</v>
      </c>
      <c r="P70" s="58"/>
      <c r="Q70" s="72"/>
      <c r="R70" s="35"/>
      <c r="S70" s="66">
        <v>53810.0</v>
      </c>
      <c r="T70" s="42"/>
      <c r="U70" s="42"/>
      <c r="V70" s="331"/>
      <c r="W70" s="310"/>
      <c r="X70" s="68"/>
      <c r="Y70" s="42"/>
      <c r="Z70" s="331"/>
      <c r="AA70" s="332"/>
      <c r="AB70" s="64"/>
    </row>
    <row r="71">
      <c r="A71" s="63"/>
      <c r="B71" s="45"/>
      <c r="C71" s="324">
        <f>I71/E138</f>
        <v>0.01523557645</v>
      </c>
      <c r="D71" s="45" t="s">
        <v>452</v>
      </c>
      <c r="E71" s="45" t="s">
        <v>453</v>
      </c>
      <c r="F71" s="44">
        <v>7.7</v>
      </c>
      <c r="G71" s="325">
        <v>1800.0</v>
      </c>
      <c r="H71" s="64">
        <f t="shared" si="41"/>
        <v>189198</v>
      </c>
      <c r="I71" s="345">
        <f t="shared" si="44"/>
        <v>232434</v>
      </c>
      <c r="J71" s="327">
        <v>105.11</v>
      </c>
      <c r="K71" s="328">
        <f>IFERROR(__xludf.DUMMYFUNCTION("GOOGLEFINANCE(E71,""changepct"")"),-0.81)</f>
        <v>-0.81</v>
      </c>
      <c r="L71" s="23">
        <f>IFERROR(__xludf.DUMMYFUNCTION("googlefinance(E71,""price"")"),129.13)</f>
        <v>129.13</v>
      </c>
      <c r="M71" s="24">
        <f t="shared" si="42"/>
        <v>24.02</v>
      </c>
      <c r="N71" s="329">
        <f t="shared" si="45"/>
        <v>0.2285225002</v>
      </c>
      <c r="O71" s="102">
        <f t="shared" si="43"/>
        <v>43236</v>
      </c>
      <c r="P71" s="330">
        <v>0.06</v>
      </c>
      <c r="Q71" s="68">
        <v>2700.0</v>
      </c>
      <c r="R71" s="28"/>
      <c r="S71" s="72"/>
      <c r="T71" s="45"/>
      <c r="U71" s="45"/>
      <c r="V71" s="346"/>
      <c r="W71" s="28"/>
      <c r="X71" s="72"/>
      <c r="Y71" s="42"/>
      <c r="Z71" s="331"/>
      <c r="AA71" s="310"/>
      <c r="AB71" s="68"/>
    </row>
    <row r="72">
      <c r="A72" s="63"/>
      <c r="B72" s="45"/>
      <c r="C72" s="324">
        <f>I72/E138</f>
        <v>0</v>
      </c>
      <c r="D72" s="95" t="s">
        <v>401</v>
      </c>
      <c r="E72" s="16" t="s">
        <v>402</v>
      </c>
      <c r="F72" s="17">
        <v>7.4</v>
      </c>
      <c r="G72" s="325">
        <v>2000.0</v>
      </c>
      <c r="H72" s="64">
        <f t="shared" si="41"/>
        <v>195860</v>
      </c>
      <c r="I72" s="326">
        <v>0.0</v>
      </c>
      <c r="J72" s="327">
        <v>97.93</v>
      </c>
      <c r="K72" s="328">
        <f>IFERROR(__xludf.DUMMYFUNCTION("GOOGLEFINANCE(E72,""changepct"")"),-1.28)</f>
        <v>-1.28</v>
      </c>
      <c r="L72" s="23">
        <f>IFERROR(__xludf.DUMMYFUNCTION("googlefinance(E72,""price"")"),115.22)</f>
        <v>115.22</v>
      </c>
      <c r="M72" s="24">
        <f t="shared" si="42"/>
        <v>17.29</v>
      </c>
      <c r="N72" s="329">
        <f>R72/J72-1</f>
        <v>-0.02348616359</v>
      </c>
      <c r="O72" s="102">
        <f t="shared" si="43"/>
        <v>-4600</v>
      </c>
      <c r="P72" s="324"/>
      <c r="Q72" s="64"/>
      <c r="R72" s="39">
        <v>95.63</v>
      </c>
      <c r="S72" s="72"/>
      <c r="T72" s="45"/>
      <c r="U72" s="42" t="s">
        <v>402</v>
      </c>
      <c r="V72" s="67">
        <v>45068.0</v>
      </c>
      <c r="W72" s="39">
        <v>95.63</v>
      </c>
      <c r="X72" s="66">
        <v>191260.0</v>
      </c>
      <c r="Y72" s="42"/>
      <c r="Z72" s="331"/>
      <c r="AA72" s="310"/>
      <c r="AB72" s="68"/>
    </row>
    <row r="73">
      <c r="A73" s="63"/>
      <c r="B73" s="45"/>
      <c r="C73" s="324">
        <f>I73/E138</f>
        <v>0.01726402387</v>
      </c>
      <c r="D73" s="76" t="s">
        <v>115</v>
      </c>
      <c r="E73" s="15" t="s">
        <v>116</v>
      </c>
      <c r="F73" s="17">
        <v>7.5</v>
      </c>
      <c r="G73" s="325">
        <v>1000.0</v>
      </c>
      <c r="H73" s="64">
        <f t="shared" si="41"/>
        <v>228210</v>
      </c>
      <c r="I73" s="326">
        <f t="shared" ref="I73:I74" si="46">H73+O73</f>
        <v>263380</v>
      </c>
      <c r="J73" s="327">
        <v>228.21</v>
      </c>
      <c r="K73" s="328">
        <f>IFERROR(__xludf.DUMMYFUNCTION("GOOGLEFINANCE(E73,""changepct"")"),-1.04)</f>
        <v>-1.04</v>
      </c>
      <c r="L73" s="23">
        <f>IFERROR(__xludf.DUMMYFUNCTION("googlefinance(E73,""price"")"),263.38)</f>
        <v>263.38</v>
      </c>
      <c r="M73" s="24">
        <f t="shared" si="42"/>
        <v>35.17</v>
      </c>
      <c r="N73" s="329">
        <f t="shared" ref="N73:N74" si="47">L73/J73-1</f>
        <v>0.1541124403</v>
      </c>
      <c r="O73" s="102">
        <f t="shared" si="43"/>
        <v>35170</v>
      </c>
      <c r="P73" s="330">
        <v>0.025</v>
      </c>
      <c r="Q73" s="68">
        <v>1375.0</v>
      </c>
      <c r="R73" s="39"/>
      <c r="S73" s="66"/>
      <c r="T73" s="42"/>
      <c r="U73" s="42"/>
      <c r="V73" s="67"/>
      <c r="W73" s="39"/>
      <c r="X73" s="66"/>
      <c r="Y73" s="42"/>
      <c r="Z73" s="331"/>
      <c r="AA73" s="310"/>
      <c r="AB73" s="68"/>
    </row>
    <row r="74">
      <c r="A74" s="63"/>
      <c r="B74" s="45"/>
      <c r="C74" s="324">
        <f>I74/E138</f>
        <v>0.01528971907</v>
      </c>
      <c r="D74" s="95" t="s">
        <v>504</v>
      </c>
      <c r="E74" s="16" t="s">
        <v>120</v>
      </c>
      <c r="F74" s="17">
        <v>7.5</v>
      </c>
      <c r="G74" s="325">
        <v>500.0</v>
      </c>
      <c r="H74" s="64">
        <f t="shared" si="41"/>
        <v>230860</v>
      </c>
      <c r="I74" s="345">
        <f t="shared" si="46"/>
        <v>233260</v>
      </c>
      <c r="J74" s="327">
        <v>461.72</v>
      </c>
      <c r="K74" s="328">
        <f>IFERROR(__xludf.DUMMYFUNCTION("GOOGLEFINANCE(E74,""changepct"")"),-1.02)</f>
        <v>-1.02</v>
      </c>
      <c r="L74" s="23">
        <f>IFERROR(__xludf.DUMMYFUNCTION("googlefinance(E74,""price"")"),466.52)</f>
        <v>466.52</v>
      </c>
      <c r="M74" s="24">
        <f t="shared" si="42"/>
        <v>4.8</v>
      </c>
      <c r="N74" s="329">
        <f t="shared" si="47"/>
        <v>0.01039591094</v>
      </c>
      <c r="O74" s="102">
        <f t="shared" si="43"/>
        <v>2400</v>
      </c>
      <c r="P74" s="330">
        <v>0.017</v>
      </c>
      <c r="Q74" s="68">
        <v>965.0</v>
      </c>
      <c r="R74" s="28"/>
      <c r="S74" s="72"/>
      <c r="T74" s="45"/>
      <c r="U74" s="45"/>
      <c r="V74" s="346"/>
      <c r="W74" s="28"/>
      <c r="X74" s="72"/>
      <c r="Y74" s="42"/>
      <c r="Z74" s="331"/>
      <c r="AA74" s="310"/>
      <c r="AB74" s="68"/>
    </row>
    <row r="75">
      <c r="A75" s="48"/>
      <c r="B75" s="6"/>
      <c r="C75" s="6" t="s">
        <v>89</v>
      </c>
      <c r="D75" s="6"/>
      <c r="E75" s="6"/>
      <c r="F75" s="6"/>
      <c r="G75" s="69"/>
      <c r="H75" s="49">
        <f t="shared" ref="H75:I75" si="48">SUM(H69:H74)</f>
        <v>1378520</v>
      </c>
      <c r="I75" s="50">
        <f t="shared" si="48"/>
        <v>1067774</v>
      </c>
      <c r="J75" s="8"/>
      <c r="K75" s="8"/>
      <c r="L75" s="8"/>
      <c r="M75" s="10"/>
      <c r="N75" s="51">
        <f>(O75+S75+Q75)/I75</f>
        <v>-0.03028543493</v>
      </c>
      <c r="O75" s="263">
        <v>-91188.0</v>
      </c>
      <c r="P75" s="6"/>
      <c r="Q75" s="49">
        <f>SUM(Q69:Q74)</f>
        <v>5040</v>
      </c>
      <c r="R75" s="10"/>
      <c r="S75" s="11">
        <f>SUM(S69:S74)</f>
        <v>53810</v>
      </c>
      <c r="T75" s="6"/>
      <c r="U75" s="6" t="s">
        <v>89</v>
      </c>
      <c r="V75" s="53"/>
      <c r="W75" s="54"/>
      <c r="X75" s="49">
        <f>SUM(X69:X74)</f>
        <v>372220</v>
      </c>
      <c r="Y75" s="6" t="s">
        <v>89</v>
      </c>
      <c r="Z75" s="53"/>
      <c r="AA75" s="54"/>
      <c r="AB75" s="49">
        <f>SUM(AB69:AB74)</f>
        <v>0</v>
      </c>
    </row>
    <row r="76">
      <c r="A76" s="48"/>
      <c r="B76" s="5" t="s">
        <v>406</v>
      </c>
      <c r="C76" s="6" t="s">
        <v>2</v>
      </c>
      <c r="D76" s="6" t="s">
        <v>150</v>
      </c>
      <c r="E76" s="6" t="s">
        <v>4</v>
      </c>
      <c r="F76" s="6" t="s">
        <v>5</v>
      </c>
      <c r="G76" s="6" t="s">
        <v>6</v>
      </c>
      <c r="H76" s="6" t="s">
        <v>7</v>
      </c>
      <c r="I76" s="7" t="s">
        <v>8</v>
      </c>
      <c r="J76" s="7" t="s">
        <v>9</v>
      </c>
      <c r="K76" s="8" t="s">
        <v>10</v>
      </c>
      <c r="L76" s="8" t="s">
        <v>11</v>
      </c>
      <c r="M76" s="10" t="s">
        <v>13</v>
      </c>
      <c r="N76" s="6" t="s">
        <v>14</v>
      </c>
      <c r="O76" s="10" t="s">
        <v>15</v>
      </c>
      <c r="P76" s="6" t="s">
        <v>16</v>
      </c>
      <c r="Q76" s="6" t="s">
        <v>17</v>
      </c>
      <c r="R76" s="9" t="s">
        <v>526</v>
      </c>
      <c r="S76" s="5" t="s">
        <v>19</v>
      </c>
      <c r="T76" s="5" t="s">
        <v>91</v>
      </c>
      <c r="U76" s="6" t="s">
        <v>21</v>
      </c>
      <c r="V76" s="6" t="s">
        <v>22</v>
      </c>
      <c r="W76" s="12" t="s">
        <v>23</v>
      </c>
      <c r="X76" s="12" t="s">
        <v>24</v>
      </c>
      <c r="Y76" s="6" t="s">
        <v>25</v>
      </c>
      <c r="Z76" s="6" t="s">
        <v>26</v>
      </c>
      <c r="AA76" s="6" t="s">
        <v>27</v>
      </c>
      <c r="AB76" s="6" t="s">
        <v>28</v>
      </c>
    </row>
    <row r="77">
      <c r="A77" s="56" t="s">
        <v>29</v>
      </c>
      <c r="B77" s="265">
        <f>I83/E138</f>
        <v>0.0677523464</v>
      </c>
      <c r="C77" s="58">
        <f>I77/E138</f>
        <v>0</v>
      </c>
      <c r="D77" s="42" t="s">
        <v>539</v>
      </c>
      <c r="E77" s="42" t="s">
        <v>540</v>
      </c>
      <c r="F77" s="42">
        <v>7.6</v>
      </c>
      <c r="G77" s="336">
        <v>500.0</v>
      </c>
      <c r="H77" s="72">
        <f t="shared" ref="H77:H82" si="49">G77*J77</f>
        <v>163555</v>
      </c>
      <c r="I77" s="79">
        <v>0.0</v>
      </c>
      <c r="J77" s="74">
        <v>327.11</v>
      </c>
      <c r="K77" s="266">
        <f>IFERROR(__xludf.DUMMYFUNCTION("GOOGLEFINANCE(E77,""changepct"")"),-0.46)</f>
        <v>-0.46</v>
      </c>
      <c r="L77" s="75">
        <f>IFERROR(__xludf.DUMMYFUNCTION("googlefinance(E77,""price"")"),573.55)</f>
        <v>573.55</v>
      </c>
      <c r="M77" s="75">
        <f t="shared" ref="M77:M82" si="50">L77-J77</f>
        <v>246.44</v>
      </c>
      <c r="N77" s="267">
        <f>R77/J77-1</f>
        <v>0.0434410443</v>
      </c>
      <c r="O77" s="73">
        <f t="shared" ref="O77:O82" si="51">H77*N77</f>
        <v>7105</v>
      </c>
      <c r="P77" s="58"/>
      <c r="Q77" s="72"/>
      <c r="R77" s="61">
        <v>341.32</v>
      </c>
      <c r="S77" s="72"/>
      <c r="T77" s="270"/>
      <c r="U77" s="42" t="s">
        <v>540</v>
      </c>
      <c r="V77" s="67">
        <v>45041.0</v>
      </c>
      <c r="W77" s="39">
        <v>341.32</v>
      </c>
      <c r="X77" s="66">
        <v>170660.0</v>
      </c>
      <c r="Y77" s="42"/>
      <c r="Z77" s="67"/>
      <c r="AA77" s="39"/>
      <c r="AB77" s="66"/>
    </row>
    <row r="78">
      <c r="A78" s="63"/>
      <c r="B78" s="45"/>
      <c r="C78" s="58">
        <f>I78/E138</f>
        <v>0.008783427743</v>
      </c>
      <c r="D78" s="42" t="s">
        <v>541</v>
      </c>
      <c r="E78" s="42" t="s">
        <v>382</v>
      </c>
      <c r="F78" s="42">
        <v>8.1</v>
      </c>
      <c r="G78" s="336">
        <v>2000.0</v>
      </c>
      <c r="H78" s="72">
        <f t="shared" si="49"/>
        <v>122880</v>
      </c>
      <c r="I78" s="73">
        <f t="shared" ref="I78:I82" si="52">H78+O78</f>
        <v>134000</v>
      </c>
      <c r="J78" s="74">
        <v>61.44</v>
      </c>
      <c r="K78" s="266">
        <f>IFERROR(__xludf.DUMMYFUNCTION("GOOGLEFINANCE(E78,""changepct"")"),-1.65)</f>
        <v>-1.65</v>
      </c>
      <c r="L78" s="61">
        <v>67.0</v>
      </c>
      <c r="M78" s="75">
        <f t="shared" si="50"/>
        <v>5.56</v>
      </c>
      <c r="N78" s="267">
        <f t="shared" ref="N78:N82" si="53">L78/J78-1</f>
        <v>0.09049479167</v>
      </c>
      <c r="O78" s="73">
        <f t="shared" si="51"/>
        <v>11120</v>
      </c>
      <c r="P78" s="58"/>
      <c r="Q78" s="72"/>
      <c r="R78" s="289"/>
      <c r="S78" s="66"/>
      <c r="T78" s="270"/>
      <c r="U78" s="45"/>
      <c r="V78" s="270"/>
      <c r="W78" s="28"/>
      <c r="X78" s="28"/>
      <c r="Y78" s="42" t="s">
        <v>382</v>
      </c>
      <c r="Z78" s="67">
        <v>45070.0</v>
      </c>
      <c r="AA78" s="39">
        <v>61.44</v>
      </c>
      <c r="AB78" s="66">
        <v>122880.0</v>
      </c>
    </row>
    <row r="79">
      <c r="A79" s="63"/>
      <c r="B79" s="45"/>
      <c r="C79" s="58">
        <f>I79/E138</f>
        <v>0.008783427743</v>
      </c>
      <c r="D79" s="42" t="s">
        <v>541</v>
      </c>
      <c r="E79" s="42" t="s">
        <v>382</v>
      </c>
      <c r="F79" s="42">
        <v>8.1</v>
      </c>
      <c r="G79" s="336">
        <v>2000.0</v>
      </c>
      <c r="H79" s="72">
        <f t="shared" si="49"/>
        <v>132920</v>
      </c>
      <c r="I79" s="73">
        <f t="shared" si="52"/>
        <v>134000</v>
      </c>
      <c r="J79" s="74">
        <v>66.46</v>
      </c>
      <c r="K79" s="266">
        <f>IFERROR(__xludf.DUMMYFUNCTION("GOOGLEFINANCE(E79,""changepct"")"),-1.65)</f>
        <v>-1.65</v>
      </c>
      <c r="L79" s="61">
        <v>67.0</v>
      </c>
      <c r="M79" s="75">
        <f t="shared" si="50"/>
        <v>0.54</v>
      </c>
      <c r="N79" s="267">
        <f t="shared" si="53"/>
        <v>0.008125188083</v>
      </c>
      <c r="O79" s="73">
        <f t="shared" si="51"/>
        <v>1080</v>
      </c>
      <c r="P79" s="58"/>
      <c r="Q79" s="72"/>
      <c r="R79" s="289"/>
      <c r="S79" s="66"/>
      <c r="T79" s="270"/>
      <c r="U79" s="45"/>
      <c r="V79" s="270"/>
      <c r="W79" s="28"/>
      <c r="X79" s="28"/>
      <c r="Y79" s="42" t="s">
        <v>382</v>
      </c>
      <c r="Z79" s="67">
        <v>45055.0</v>
      </c>
      <c r="AA79" s="39">
        <v>66.46</v>
      </c>
      <c r="AB79" s="66">
        <v>132920.0</v>
      </c>
    </row>
    <row r="80">
      <c r="A80" s="63"/>
      <c r="B80" s="45"/>
      <c r="C80" s="58">
        <f>I80/E138</f>
        <v>0.01317514161</v>
      </c>
      <c r="D80" s="42" t="s">
        <v>541</v>
      </c>
      <c r="E80" s="42" t="s">
        <v>382</v>
      </c>
      <c r="F80" s="42">
        <v>8.1</v>
      </c>
      <c r="G80" s="336">
        <v>3000.0</v>
      </c>
      <c r="H80" s="72">
        <f t="shared" si="49"/>
        <v>227820</v>
      </c>
      <c r="I80" s="73">
        <f t="shared" si="52"/>
        <v>201000</v>
      </c>
      <c r="J80" s="74">
        <v>75.94</v>
      </c>
      <c r="K80" s="266">
        <f>IFERROR(__xludf.DUMMYFUNCTION("GOOGLEFINANCE(E80,""changepct"")"),-1.65)</f>
        <v>-1.65</v>
      </c>
      <c r="L80" s="61">
        <v>67.0</v>
      </c>
      <c r="M80" s="75">
        <f t="shared" si="50"/>
        <v>-8.94</v>
      </c>
      <c r="N80" s="267">
        <f t="shared" si="53"/>
        <v>-0.1177245194</v>
      </c>
      <c r="O80" s="73">
        <f t="shared" si="51"/>
        <v>-26820</v>
      </c>
      <c r="P80" s="58"/>
      <c r="Q80" s="72"/>
      <c r="R80" s="289"/>
      <c r="S80" s="66">
        <v>6790.0</v>
      </c>
      <c r="T80" s="270"/>
      <c r="U80" s="45"/>
      <c r="V80" s="270"/>
      <c r="W80" s="28"/>
      <c r="X80" s="28"/>
      <c r="Y80" s="42"/>
      <c r="Z80" s="67"/>
      <c r="AA80" s="39"/>
      <c r="AB80" s="66"/>
    </row>
    <row r="81">
      <c r="A81" s="63"/>
      <c r="B81" s="45"/>
      <c r="C81" s="58">
        <f>I81/E138</f>
        <v>0.01682288605</v>
      </c>
      <c r="D81" s="42" t="s">
        <v>456</v>
      </c>
      <c r="E81" s="42" t="s">
        <v>457</v>
      </c>
      <c r="F81" s="42">
        <v>7.7</v>
      </c>
      <c r="G81" s="336">
        <v>15000.0</v>
      </c>
      <c r="H81" s="72">
        <f t="shared" si="49"/>
        <v>144150</v>
      </c>
      <c r="I81" s="73">
        <f t="shared" si="52"/>
        <v>256650</v>
      </c>
      <c r="J81" s="74">
        <v>9.61</v>
      </c>
      <c r="K81" s="266">
        <f>IFERROR(__xludf.DUMMYFUNCTION("GOOGLEFINANCE(E81,""changepct"")"),-0.52)</f>
        <v>-0.52</v>
      </c>
      <c r="L81" s="75">
        <f>IFERROR(__xludf.DUMMYFUNCTION("googlefinance(E81,""price"")"),17.11)</f>
        <v>17.11</v>
      </c>
      <c r="M81" s="75">
        <f t="shared" si="50"/>
        <v>7.5</v>
      </c>
      <c r="N81" s="267">
        <f t="shared" si="53"/>
        <v>0.7804370447</v>
      </c>
      <c r="O81" s="73">
        <f t="shared" si="51"/>
        <v>112500</v>
      </c>
      <c r="P81" s="62">
        <v>0.09</v>
      </c>
      <c r="Q81" s="66">
        <v>3150.0</v>
      </c>
      <c r="R81" s="347"/>
      <c r="S81" s="66">
        <v>7500.0</v>
      </c>
      <c r="T81" s="270"/>
      <c r="U81" s="45"/>
      <c r="V81" s="270"/>
      <c r="W81" s="28"/>
      <c r="X81" s="28"/>
      <c r="Y81" s="42" t="s">
        <v>457</v>
      </c>
      <c r="Z81" s="67">
        <v>45048.0</v>
      </c>
      <c r="AA81" s="39">
        <v>9.61</v>
      </c>
      <c r="AB81" s="66">
        <v>144150.0</v>
      </c>
    </row>
    <row r="82">
      <c r="A82" s="63"/>
      <c r="B82" s="45"/>
      <c r="C82" s="58">
        <f>I82/E138</f>
        <v>0.02018746326</v>
      </c>
      <c r="D82" s="42" t="s">
        <v>456</v>
      </c>
      <c r="E82" s="42" t="s">
        <v>457</v>
      </c>
      <c r="F82" s="42">
        <v>7.7</v>
      </c>
      <c r="G82" s="336">
        <v>18000.0</v>
      </c>
      <c r="H82" s="72">
        <f t="shared" si="49"/>
        <v>225360</v>
      </c>
      <c r="I82" s="73">
        <f t="shared" si="52"/>
        <v>307980</v>
      </c>
      <c r="J82" s="74">
        <v>12.52</v>
      </c>
      <c r="K82" s="266">
        <f>IFERROR(__xludf.DUMMYFUNCTION("GOOGLEFINANCE(E82,""changepct"")"),-0.52)</f>
        <v>-0.52</v>
      </c>
      <c r="L82" s="75">
        <f>IFERROR(__xludf.DUMMYFUNCTION("googlefinance(E82,""price"")"),17.11)</f>
        <v>17.11</v>
      </c>
      <c r="M82" s="75">
        <f t="shared" si="50"/>
        <v>4.59</v>
      </c>
      <c r="N82" s="267">
        <f t="shared" si="53"/>
        <v>0.3666134185</v>
      </c>
      <c r="O82" s="73">
        <f t="shared" si="51"/>
        <v>82620</v>
      </c>
      <c r="P82" s="62">
        <v>0.09</v>
      </c>
      <c r="Q82" s="66">
        <v>4050.0</v>
      </c>
      <c r="R82" s="65"/>
      <c r="S82" s="66">
        <v>19650.0</v>
      </c>
      <c r="T82" s="270"/>
      <c r="U82" s="45"/>
      <c r="V82" s="270"/>
      <c r="W82" s="28"/>
      <c r="X82" s="28"/>
      <c r="Y82" s="42"/>
      <c r="Z82" s="67"/>
      <c r="AA82" s="39"/>
      <c r="AB82" s="66"/>
    </row>
    <row r="83">
      <c r="A83" s="48"/>
      <c r="B83" s="6"/>
      <c r="C83" s="5" t="s">
        <v>89</v>
      </c>
      <c r="D83" s="6"/>
      <c r="E83" s="6"/>
      <c r="F83" s="6"/>
      <c r="G83" s="6"/>
      <c r="H83" s="11">
        <f t="shared" ref="H83:I83" si="54">SUM(H77:H82)</f>
        <v>1016685</v>
      </c>
      <c r="I83" s="70">
        <f t="shared" si="54"/>
        <v>1033630</v>
      </c>
      <c r="J83" s="7"/>
      <c r="K83" s="8"/>
      <c r="L83" s="8"/>
      <c r="M83" s="10"/>
      <c r="N83" s="71">
        <f>(O83+S83+Q83)/H83</f>
        <v>-0.03045682783</v>
      </c>
      <c r="O83" s="273">
        <v>-72105.0</v>
      </c>
      <c r="P83" s="6"/>
      <c r="Q83" s="11">
        <f>SUM(Q77:Q82)</f>
        <v>7200</v>
      </c>
      <c r="R83" s="10"/>
      <c r="S83" s="11">
        <f>SUM(S77:S82)</f>
        <v>33940</v>
      </c>
      <c r="T83" s="6"/>
      <c r="U83" s="6"/>
      <c r="V83" s="6"/>
      <c r="W83" s="12"/>
      <c r="X83" s="192">
        <f>SUM(X77:X82)</f>
        <v>170660</v>
      </c>
      <c r="Y83" s="6"/>
      <c r="Z83" s="6"/>
      <c r="AA83" s="6"/>
      <c r="AB83" s="11">
        <f>SUM(AB77:AB82)</f>
        <v>399950</v>
      </c>
    </row>
    <row r="84">
      <c r="A84" s="48"/>
      <c r="B84" s="6" t="s">
        <v>542</v>
      </c>
      <c r="C84" s="6" t="s">
        <v>2</v>
      </c>
      <c r="D84" s="6" t="s">
        <v>150</v>
      </c>
      <c r="E84" s="6" t="s">
        <v>4</v>
      </c>
      <c r="F84" s="6" t="s">
        <v>5</v>
      </c>
      <c r="G84" s="6" t="s">
        <v>6</v>
      </c>
      <c r="H84" s="6" t="s">
        <v>7</v>
      </c>
      <c r="I84" s="7" t="s">
        <v>8</v>
      </c>
      <c r="J84" s="7" t="s">
        <v>9</v>
      </c>
      <c r="K84" s="8" t="s">
        <v>10</v>
      </c>
      <c r="L84" s="8" t="s">
        <v>11</v>
      </c>
      <c r="M84" s="10" t="s">
        <v>13</v>
      </c>
      <c r="N84" s="6" t="s">
        <v>14</v>
      </c>
      <c r="O84" s="10" t="s">
        <v>15</v>
      </c>
      <c r="P84" s="6" t="s">
        <v>16</v>
      </c>
      <c r="Q84" s="6" t="s">
        <v>17</v>
      </c>
      <c r="R84" s="10" t="s">
        <v>476</v>
      </c>
      <c r="S84" s="5" t="s">
        <v>19</v>
      </c>
      <c r="T84" s="5" t="s">
        <v>91</v>
      </c>
      <c r="U84" s="6" t="s">
        <v>21</v>
      </c>
      <c r="V84" s="6" t="s">
        <v>22</v>
      </c>
      <c r="W84" s="12" t="s">
        <v>23</v>
      </c>
      <c r="X84" s="12" t="s">
        <v>24</v>
      </c>
      <c r="Y84" s="6" t="s">
        <v>25</v>
      </c>
      <c r="Z84" s="6" t="s">
        <v>26</v>
      </c>
      <c r="AA84" s="6" t="s">
        <v>27</v>
      </c>
      <c r="AB84" s="6" t="s">
        <v>28</v>
      </c>
    </row>
    <row r="85">
      <c r="A85" s="56" t="s">
        <v>29</v>
      </c>
      <c r="B85" s="57">
        <f>I87/E138</f>
        <v>0</v>
      </c>
      <c r="C85" s="324">
        <f>I85/E138</f>
        <v>0</v>
      </c>
      <c r="D85" s="42" t="s">
        <v>543</v>
      </c>
      <c r="E85" s="45" t="s">
        <v>408</v>
      </c>
      <c r="F85" s="44">
        <v>7.3</v>
      </c>
      <c r="G85" s="188">
        <v>2000.0</v>
      </c>
      <c r="H85" s="64">
        <f t="shared" ref="H85:H86" si="55">G85*J85</f>
        <v>212740</v>
      </c>
      <c r="I85" s="326">
        <v>0.0</v>
      </c>
      <c r="J85" s="327">
        <v>106.37</v>
      </c>
      <c r="K85" s="22">
        <f>IFERROR(__xludf.DUMMYFUNCTION("GOOGLEFINANCE(E85,""changepct"")"),0.8)</f>
        <v>0.8</v>
      </c>
      <c r="L85" s="348">
        <f>IFERROR(__xludf.DUMMYFUNCTION("googlefinance(E85,""price"")"),87.8)</f>
        <v>87.8</v>
      </c>
      <c r="M85" s="348">
        <f t="shared" ref="M85:M86" si="56">L85-J85</f>
        <v>-18.57</v>
      </c>
      <c r="N85" s="349">
        <f t="shared" ref="N85:N86" si="57">R85/J85-1</f>
        <v>-0.04061295478</v>
      </c>
      <c r="O85" s="345">
        <f t="shared" ref="O85:O86" si="58">H85*N85</f>
        <v>-8640</v>
      </c>
      <c r="P85" s="350">
        <v>0.03</v>
      </c>
      <c r="Q85" s="68">
        <v>1600.0</v>
      </c>
      <c r="R85" s="39">
        <v>102.05</v>
      </c>
      <c r="S85" s="42"/>
      <c r="T85" s="42"/>
      <c r="U85" s="42" t="s">
        <v>408</v>
      </c>
      <c r="V85" s="67">
        <v>45089.0</v>
      </c>
      <c r="W85" s="39">
        <v>102.05</v>
      </c>
      <c r="X85" s="66">
        <v>204100.0</v>
      </c>
      <c r="Y85" s="45"/>
      <c r="Z85" s="270"/>
      <c r="AA85" s="28"/>
      <c r="AB85" s="72"/>
    </row>
    <row r="86">
      <c r="A86" s="63"/>
      <c r="B86" s="45"/>
      <c r="C86" s="324">
        <f>I86/E138</f>
        <v>0</v>
      </c>
      <c r="D86" s="45" t="s">
        <v>544</v>
      </c>
      <c r="E86" s="45" t="s">
        <v>545</v>
      </c>
      <c r="F86" s="44">
        <v>7.5</v>
      </c>
      <c r="G86" s="188">
        <v>2000.0</v>
      </c>
      <c r="H86" s="64">
        <f t="shared" si="55"/>
        <v>220500</v>
      </c>
      <c r="I86" s="326">
        <v>0.0</v>
      </c>
      <c r="J86" s="327">
        <v>110.25</v>
      </c>
      <c r="K86" s="22">
        <f>IFERROR(__xludf.DUMMYFUNCTION("GOOGLEFINANCE(E86,""changepct"")"),0.29)</f>
        <v>0.29</v>
      </c>
      <c r="L86" s="348">
        <f>IFERROR(__xludf.DUMMYFUNCTION("googlefinance(E86,""price"")"),106.68)</f>
        <v>106.68</v>
      </c>
      <c r="M86" s="348">
        <f t="shared" si="56"/>
        <v>-3.57</v>
      </c>
      <c r="N86" s="349">
        <f t="shared" si="57"/>
        <v>-0.02485260771</v>
      </c>
      <c r="O86" s="345">
        <f t="shared" si="58"/>
        <v>-5480</v>
      </c>
      <c r="P86" s="330">
        <v>0.043</v>
      </c>
      <c r="Q86" s="68">
        <v>2365.0</v>
      </c>
      <c r="R86" s="39">
        <v>107.51</v>
      </c>
      <c r="S86" s="42"/>
      <c r="T86" s="42"/>
      <c r="U86" s="42" t="s">
        <v>545</v>
      </c>
      <c r="V86" s="67">
        <v>45090.0</v>
      </c>
      <c r="W86" s="39">
        <v>107.51</v>
      </c>
      <c r="X86" s="66">
        <v>215020.0</v>
      </c>
      <c r="Y86" s="42"/>
      <c r="Z86" s="67"/>
      <c r="AA86" s="39"/>
      <c r="AB86" s="66"/>
    </row>
    <row r="87">
      <c r="A87" s="48"/>
      <c r="B87" s="6"/>
      <c r="C87" s="6" t="s">
        <v>89</v>
      </c>
      <c r="D87" s="6"/>
      <c r="E87" s="6"/>
      <c r="F87" s="6"/>
      <c r="G87" s="11"/>
      <c r="H87" s="49">
        <f t="shared" ref="H87:I87" si="59">SUM(H85:H86)</f>
        <v>433240</v>
      </c>
      <c r="I87" s="50">
        <f t="shared" si="59"/>
        <v>0</v>
      </c>
      <c r="J87" s="8"/>
      <c r="K87" s="8"/>
      <c r="L87" s="8"/>
      <c r="M87" s="10"/>
      <c r="N87" s="51">
        <f>(O87+Q87)/H87</f>
        <v>-0.02343966393</v>
      </c>
      <c r="O87" s="263">
        <v>-14120.0</v>
      </c>
      <c r="P87" s="6"/>
      <c r="Q87" s="49">
        <f>SUM(Q85:Q86)</f>
        <v>3965</v>
      </c>
      <c r="R87" s="10"/>
      <c r="S87" s="6"/>
      <c r="T87" s="6"/>
      <c r="U87" s="6" t="s">
        <v>89</v>
      </c>
      <c r="V87" s="53"/>
      <c r="W87" s="54"/>
      <c r="X87" s="49">
        <f>SUM(X85:X86)</f>
        <v>419120</v>
      </c>
      <c r="Y87" s="6" t="s">
        <v>89</v>
      </c>
      <c r="Z87" s="53"/>
      <c r="AA87" s="54"/>
      <c r="AB87" s="191">
        <f>SUM(AB85:AB86)</f>
        <v>0</v>
      </c>
    </row>
    <row r="88">
      <c r="A88" s="55"/>
      <c r="B88" s="6" t="s">
        <v>409</v>
      </c>
      <c r="C88" s="6" t="s">
        <v>2</v>
      </c>
      <c r="D88" s="6" t="s">
        <v>150</v>
      </c>
      <c r="E88" s="6" t="s">
        <v>4</v>
      </c>
      <c r="F88" s="6" t="s">
        <v>5</v>
      </c>
      <c r="G88" s="6" t="s">
        <v>6</v>
      </c>
      <c r="H88" s="6" t="s">
        <v>7</v>
      </c>
      <c r="I88" s="7" t="s">
        <v>8</v>
      </c>
      <c r="J88" s="7" t="s">
        <v>9</v>
      </c>
      <c r="K88" s="8" t="s">
        <v>10</v>
      </c>
      <c r="L88" s="8" t="s">
        <v>11</v>
      </c>
      <c r="M88" s="10" t="s">
        <v>13</v>
      </c>
      <c r="N88" s="6" t="s">
        <v>14</v>
      </c>
      <c r="O88" s="10" t="s">
        <v>15</v>
      </c>
      <c r="P88" s="6" t="s">
        <v>16</v>
      </c>
      <c r="Q88" s="6" t="s">
        <v>17</v>
      </c>
      <c r="R88" s="10" t="s">
        <v>476</v>
      </c>
      <c r="S88" s="5" t="s">
        <v>19</v>
      </c>
      <c r="T88" s="5" t="s">
        <v>91</v>
      </c>
      <c r="U88" s="6" t="s">
        <v>21</v>
      </c>
      <c r="V88" s="6" t="s">
        <v>22</v>
      </c>
      <c r="W88" s="12" t="s">
        <v>23</v>
      </c>
      <c r="X88" s="12" t="s">
        <v>24</v>
      </c>
      <c r="Y88" s="6" t="s">
        <v>25</v>
      </c>
      <c r="Z88" s="6" t="s">
        <v>26</v>
      </c>
      <c r="AA88" s="6" t="s">
        <v>27</v>
      </c>
      <c r="AB88" s="6" t="s">
        <v>28</v>
      </c>
    </row>
    <row r="89">
      <c r="A89" s="56" t="s">
        <v>29</v>
      </c>
      <c r="B89" s="57">
        <f>I106/E138</f>
        <v>0.2775464845</v>
      </c>
      <c r="C89" s="14">
        <f>I89/E138</f>
        <v>0.03159412069</v>
      </c>
      <c r="D89" s="16" t="s">
        <v>151</v>
      </c>
      <c r="E89" s="16" t="s">
        <v>152</v>
      </c>
      <c r="F89" s="17">
        <v>8.6</v>
      </c>
      <c r="G89" s="85">
        <v>250.0</v>
      </c>
      <c r="H89" s="19">
        <f t="shared" ref="H89:H105" si="60">G89*J89</f>
        <v>492250</v>
      </c>
      <c r="I89" s="19">
        <f t="shared" ref="I89:I96" si="61">H89+O89</f>
        <v>482000</v>
      </c>
      <c r="J89" s="21">
        <v>1969.0</v>
      </c>
      <c r="K89" s="86"/>
      <c r="L89" s="87">
        <v>1928.0</v>
      </c>
      <c r="M89" s="88">
        <f t="shared" ref="M89:M105" si="62">L89-J89</f>
        <v>-41</v>
      </c>
      <c r="N89" s="25">
        <f t="shared" ref="N89:N96" si="63">L89/J89-1</f>
        <v>-0.02082275267</v>
      </c>
      <c r="O89" s="84">
        <f t="shared" ref="O89:O105" si="64">H89*N89</f>
        <v>-10250</v>
      </c>
      <c r="P89" s="34"/>
      <c r="Q89" s="29"/>
      <c r="R89" s="37"/>
      <c r="S89" s="16"/>
      <c r="T89" s="16"/>
      <c r="U89" s="16"/>
      <c r="V89" s="32"/>
      <c r="W89" s="31"/>
      <c r="X89" s="29"/>
      <c r="Y89" s="16"/>
      <c r="Z89" s="32"/>
      <c r="AA89" s="31"/>
      <c r="AB89" s="29"/>
    </row>
    <row r="90">
      <c r="A90" s="89" t="s">
        <v>153</v>
      </c>
      <c r="B90" s="90">
        <f>I89+I90</f>
        <v>712000</v>
      </c>
      <c r="C90" s="14">
        <f>I90/E138</f>
        <v>0.01507603269</v>
      </c>
      <c r="D90" s="16" t="s">
        <v>154</v>
      </c>
      <c r="E90" s="16" t="s">
        <v>155</v>
      </c>
      <c r="F90" s="334">
        <v>8.5</v>
      </c>
      <c r="G90" s="85">
        <v>10000.0</v>
      </c>
      <c r="H90" s="19">
        <f t="shared" si="60"/>
        <v>240700</v>
      </c>
      <c r="I90" s="19">
        <f t="shared" si="61"/>
        <v>230000</v>
      </c>
      <c r="J90" s="21">
        <v>24.07</v>
      </c>
      <c r="K90" s="86"/>
      <c r="L90" s="91">
        <v>23.0</v>
      </c>
      <c r="M90" s="24">
        <f t="shared" si="62"/>
        <v>-1.07</v>
      </c>
      <c r="N90" s="25">
        <f t="shared" si="63"/>
        <v>-0.04445367678</v>
      </c>
      <c r="O90" s="19">
        <f t="shared" si="64"/>
        <v>-10700</v>
      </c>
      <c r="P90" s="34"/>
      <c r="Q90" s="29"/>
      <c r="R90" s="37"/>
      <c r="S90" s="16"/>
      <c r="T90" s="16"/>
      <c r="U90" s="16"/>
      <c r="V90" s="32"/>
      <c r="W90" s="31"/>
      <c r="X90" s="29"/>
      <c r="Y90" s="16"/>
      <c r="Z90" s="32"/>
      <c r="AA90" s="31"/>
      <c r="AB90" s="29"/>
    </row>
    <row r="91">
      <c r="A91" s="89" t="s">
        <v>156</v>
      </c>
      <c r="B91" s="92">
        <f>B90/E138</f>
        <v>0.04667015338</v>
      </c>
      <c r="C91" s="14">
        <f>I91/E138</f>
        <v>0.02213554887</v>
      </c>
      <c r="D91" s="15" t="s">
        <v>546</v>
      </c>
      <c r="E91" s="16" t="s">
        <v>158</v>
      </c>
      <c r="F91" s="17">
        <v>7.9</v>
      </c>
      <c r="G91" s="18">
        <v>10000.0</v>
      </c>
      <c r="H91" s="19">
        <f t="shared" si="60"/>
        <v>323500</v>
      </c>
      <c r="I91" s="19">
        <f t="shared" si="61"/>
        <v>337700</v>
      </c>
      <c r="J91" s="21">
        <v>32.35</v>
      </c>
      <c r="K91" s="93">
        <f>IFERROR(__xludf.DUMMYFUNCTION("GOOGLEFINANCE(E91,""changepct"")"),-1.43)</f>
        <v>-1.43</v>
      </c>
      <c r="L91" s="23">
        <f>IFERROR(__xludf.DUMMYFUNCTION("googlefinance(E91,""price"")"),33.77)</f>
        <v>33.77</v>
      </c>
      <c r="M91" s="24">
        <f t="shared" si="62"/>
        <v>1.42</v>
      </c>
      <c r="N91" s="25">
        <f t="shared" si="63"/>
        <v>0.04389489954</v>
      </c>
      <c r="O91" s="19">
        <f t="shared" si="64"/>
        <v>14200</v>
      </c>
      <c r="P91" s="47">
        <v>0.016</v>
      </c>
      <c r="Q91" s="20">
        <v>1280.0</v>
      </c>
      <c r="R91" s="31"/>
      <c r="S91" s="16"/>
      <c r="T91" s="16"/>
      <c r="U91" s="16"/>
      <c r="V91" s="30"/>
      <c r="W91" s="31"/>
      <c r="X91" s="29"/>
      <c r="Y91" s="16"/>
      <c r="Z91" s="32"/>
      <c r="AA91" s="31"/>
      <c r="AB91" s="29"/>
    </row>
    <row r="92">
      <c r="A92" s="89" t="s">
        <v>159</v>
      </c>
      <c r="B92" s="90">
        <f>I92+I104+I97+I91+I93+I99+I105+I103+I100+I101+I98+I94+I95+I96+I102</f>
        <v>3522250</v>
      </c>
      <c r="C92" s="14">
        <f>I92/E138</f>
        <v>0.01386995008</v>
      </c>
      <c r="D92" s="16" t="s">
        <v>160</v>
      </c>
      <c r="E92" s="16" t="s">
        <v>161</v>
      </c>
      <c r="F92" s="334">
        <v>8.0</v>
      </c>
      <c r="G92" s="18">
        <v>5000.0</v>
      </c>
      <c r="H92" s="19">
        <f t="shared" si="60"/>
        <v>197500</v>
      </c>
      <c r="I92" s="19">
        <f t="shared" si="61"/>
        <v>211600</v>
      </c>
      <c r="J92" s="21">
        <v>39.5</v>
      </c>
      <c r="K92" s="93">
        <f>IFERROR(__xludf.DUMMYFUNCTION("GOOGLEFINANCE(E92,""changepct"")"),-1.7)</f>
        <v>-1.7</v>
      </c>
      <c r="L92" s="23">
        <f>IFERROR(__xludf.DUMMYFUNCTION("googlefinance(E92,""price"")"),42.32)</f>
        <v>42.32</v>
      </c>
      <c r="M92" s="24">
        <f t="shared" si="62"/>
        <v>2.82</v>
      </c>
      <c r="N92" s="25">
        <f t="shared" si="63"/>
        <v>0.07139240506</v>
      </c>
      <c r="O92" s="19">
        <f t="shared" si="64"/>
        <v>14100</v>
      </c>
      <c r="P92" s="47">
        <v>0.005</v>
      </c>
      <c r="Q92" s="20">
        <v>232.0</v>
      </c>
      <c r="R92" s="31"/>
      <c r="S92" s="16"/>
      <c r="T92" s="16"/>
      <c r="U92" s="16"/>
      <c r="V92" s="30"/>
      <c r="W92" s="31"/>
      <c r="X92" s="29"/>
      <c r="Y92" s="16"/>
      <c r="Z92" s="32"/>
      <c r="AA92" s="31"/>
      <c r="AB92" s="29"/>
    </row>
    <row r="93">
      <c r="A93" s="89" t="s">
        <v>162</v>
      </c>
      <c r="B93" s="92">
        <f>B92/E138</f>
        <v>0.2308763311</v>
      </c>
      <c r="C93" s="14">
        <f>I93/E138</f>
        <v>0.01212637412</v>
      </c>
      <c r="D93" s="16" t="s">
        <v>506</v>
      </c>
      <c r="E93" s="16" t="s">
        <v>169</v>
      </c>
      <c r="F93" s="334">
        <v>8.0</v>
      </c>
      <c r="G93" s="18">
        <v>5000.0</v>
      </c>
      <c r="H93" s="19">
        <f t="shared" si="60"/>
        <v>245100</v>
      </c>
      <c r="I93" s="19">
        <f t="shared" si="61"/>
        <v>185000</v>
      </c>
      <c r="J93" s="21">
        <v>49.02</v>
      </c>
      <c r="K93" s="93">
        <f>IFERROR(__xludf.DUMMYFUNCTION("GOOGLEFINANCE(E93,""changepct"")"),-2.22)</f>
        <v>-2.22</v>
      </c>
      <c r="L93" s="23">
        <f>IFERROR(__xludf.DUMMYFUNCTION("googlefinance(E93,""price"")"),37.0)</f>
        <v>37</v>
      </c>
      <c r="M93" s="24">
        <f t="shared" si="62"/>
        <v>-12.02</v>
      </c>
      <c r="N93" s="25">
        <f t="shared" si="63"/>
        <v>-0.2452060384</v>
      </c>
      <c r="O93" s="19">
        <f t="shared" si="64"/>
        <v>-60100</v>
      </c>
      <c r="P93" s="47">
        <v>0.0375</v>
      </c>
      <c r="Q93" s="20">
        <v>2250.0</v>
      </c>
      <c r="R93" s="31"/>
      <c r="S93" s="16"/>
      <c r="T93" s="16"/>
      <c r="U93" s="16"/>
      <c r="V93" s="30"/>
      <c r="W93" s="31"/>
      <c r="X93" s="29"/>
      <c r="Y93" s="16"/>
      <c r="Z93" s="32"/>
      <c r="AA93" s="31"/>
      <c r="AB93" s="29"/>
    </row>
    <row r="94">
      <c r="A94" s="38"/>
      <c r="B94" s="32"/>
      <c r="C94" s="14">
        <f>I94/E138</f>
        <v>0.01530872798</v>
      </c>
      <c r="D94" s="15" t="s">
        <v>163</v>
      </c>
      <c r="E94" s="16" t="s">
        <v>164</v>
      </c>
      <c r="F94" s="17">
        <v>8.1</v>
      </c>
      <c r="G94" s="18">
        <v>3000.0</v>
      </c>
      <c r="H94" s="19">
        <f t="shared" si="60"/>
        <v>168720</v>
      </c>
      <c r="I94" s="19">
        <f t="shared" si="61"/>
        <v>233550</v>
      </c>
      <c r="J94" s="21">
        <v>56.24</v>
      </c>
      <c r="K94" s="93">
        <f>IFERROR(__xludf.DUMMYFUNCTION("GOOGLEFINANCE(E94,""changepct"")"),-1.02)</f>
        <v>-1.02</v>
      </c>
      <c r="L94" s="23">
        <f>IFERROR(__xludf.DUMMYFUNCTION("googlefinance(E94,""price"")"),77.85)</f>
        <v>77.85</v>
      </c>
      <c r="M94" s="24">
        <f t="shared" si="62"/>
        <v>21.61</v>
      </c>
      <c r="N94" s="25">
        <f t="shared" si="63"/>
        <v>0.3842460882</v>
      </c>
      <c r="O94" s="19">
        <f t="shared" si="64"/>
        <v>64830</v>
      </c>
      <c r="P94" s="47">
        <v>0.032</v>
      </c>
      <c r="Q94" s="20">
        <v>1200.0</v>
      </c>
      <c r="R94" s="31"/>
      <c r="S94" s="16"/>
      <c r="T94" s="16"/>
      <c r="U94" s="16"/>
      <c r="V94" s="32"/>
      <c r="W94" s="31"/>
      <c r="X94" s="29"/>
      <c r="Y94" s="15" t="s">
        <v>164</v>
      </c>
      <c r="Z94" s="36">
        <v>45037.0</v>
      </c>
      <c r="AA94" s="37">
        <v>56.24</v>
      </c>
      <c r="AB94" s="27">
        <v>168720.0</v>
      </c>
    </row>
    <row r="95">
      <c r="A95" s="38"/>
      <c r="B95" s="32"/>
      <c r="C95" s="14">
        <f>I95/E138</f>
        <v>0.01530872798</v>
      </c>
      <c r="D95" s="16" t="s">
        <v>165</v>
      </c>
      <c r="E95" s="16" t="s">
        <v>164</v>
      </c>
      <c r="F95" s="17">
        <v>8.1</v>
      </c>
      <c r="G95" s="18">
        <v>3000.0</v>
      </c>
      <c r="H95" s="19">
        <f t="shared" si="60"/>
        <v>151530</v>
      </c>
      <c r="I95" s="19">
        <f t="shared" si="61"/>
        <v>233550</v>
      </c>
      <c r="J95" s="21">
        <v>50.51</v>
      </c>
      <c r="K95" s="93">
        <f>IFERROR(__xludf.DUMMYFUNCTION("GOOGLEFINANCE(E95,""changepct"")"),-1.02)</f>
        <v>-1.02</v>
      </c>
      <c r="L95" s="23">
        <f>IFERROR(__xludf.DUMMYFUNCTION("googlefinance(E95,""price"")"),77.85)</f>
        <v>77.85</v>
      </c>
      <c r="M95" s="24">
        <f t="shared" si="62"/>
        <v>27.34</v>
      </c>
      <c r="N95" s="25">
        <f t="shared" si="63"/>
        <v>0.5412789547</v>
      </c>
      <c r="O95" s="19">
        <f t="shared" si="64"/>
        <v>82020</v>
      </c>
      <c r="P95" s="47">
        <v>0.032</v>
      </c>
      <c r="Q95" s="20">
        <v>1200.0</v>
      </c>
      <c r="R95" s="37"/>
      <c r="S95" s="16"/>
      <c r="T95" s="16"/>
      <c r="U95" s="15"/>
      <c r="V95" s="36"/>
      <c r="W95" s="37"/>
      <c r="X95" s="27"/>
      <c r="Y95" s="15" t="s">
        <v>164</v>
      </c>
      <c r="Z95" s="36">
        <v>45077.0</v>
      </c>
      <c r="AA95" s="37">
        <v>50.51</v>
      </c>
      <c r="AB95" s="27">
        <v>151530.0</v>
      </c>
    </row>
    <row r="96">
      <c r="A96" s="38"/>
      <c r="B96" s="32"/>
      <c r="C96" s="14">
        <f>I96/E138</f>
        <v>0.02041163731</v>
      </c>
      <c r="D96" s="16" t="s">
        <v>165</v>
      </c>
      <c r="E96" s="16" t="s">
        <v>164</v>
      </c>
      <c r="F96" s="17">
        <v>8.1</v>
      </c>
      <c r="G96" s="18">
        <v>4000.0</v>
      </c>
      <c r="H96" s="19">
        <f t="shared" si="60"/>
        <v>195240</v>
      </c>
      <c r="I96" s="19">
        <f t="shared" si="61"/>
        <v>311400</v>
      </c>
      <c r="J96" s="21">
        <v>48.81</v>
      </c>
      <c r="K96" s="93">
        <f>IFERROR(__xludf.DUMMYFUNCTION("GOOGLEFINANCE(E96,""changepct"")"),-1.02)</f>
        <v>-1.02</v>
      </c>
      <c r="L96" s="23">
        <f>IFERROR(__xludf.DUMMYFUNCTION("googlefinance(E96,""price"")"),77.85)</f>
        <v>77.85</v>
      </c>
      <c r="M96" s="24">
        <f t="shared" si="62"/>
        <v>29.04</v>
      </c>
      <c r="N96" s="25">
        <f t="shared" si="63"/>
        <v>0.5949600492</v>
      </c>
      <c r="O96" s="19">
        <f t="shared" si="64"/>
        <v>116160</v>
      </c>
      <c r="P96" s="47">
        <v>0.032</v>
      </c>
      <c r="Q96" s="20" t="s">
        <v>128</v>
      </c>
      <c r="R96" s="37"/>
      <c r="S96" s="16"/>
      <c r="T96" s="16"/>
      <c r="U96" s="15"/>
      <c r="V96" s="36"/>
      <c r="W96" s="37"/>
      <c r="X96" s="27"/>
      <c r="Y96" s="15" t="s">
        <v>164</v>
      </c>
      <c r="Z96" s="36">
        <v>45097.0</v>
      </c>
      <c r="AA96" s="37">
        <v>48.81</v>
      </c>
      <c r="AB96" s="27">
        <v>195240.0</v>
      </c>
    </row>
    <row r="97">
      <c r="A97" s="38"/>
      <c r="B97" s="32"/>
      <c r="C97" s="14">
        <f>I97/E138</f>
        <v>0</v>
      </c>
      <c r="D97" s="16" t="s">
        <v>165</v>
      </c>
      <c r="E97" s="16" t="s">
        <v>164</v>
      </c>
      <c r="F97" s="17">
        <v>8.1</v>
      </c>
      <c r="G97" s="18">
        <v>6000.0</v>
      </c>
      <c r="H97" s="19">
        <f t="shared" si="60"/>
        <v>305820</v>
      </c>
      <c r="I97" s="20">
        <v>0.0</v>
      </c>
      <c r="J97" s="21">
        <v>50.97</v>
      </c>
      <c r="K97" s="93">
        <f>IFERROR(__xludf.DUMMYFUNCTION("GOOGLEFINANCE(E97,""changepct"")"),-1.02)</f>
        <v>-1.02</v>
      </c>
      <c r="L97" s="23">
        <f>IFERROR(__xludf.DUMMYFUNCTION("googlefinance(E97,""price"")"),77.85)</f>
        <v>77.85</v>
      </c>
      <c r="M97" s="24">
        <f t="shared" si="62"/>
        <v>26.88</v>
      </c>
      <c r="N97" s="25">
        <f>R97/J97-1</f>
        <v>0.1033941534</v>
      </c>
      <c r="O97" s="19">
        <f t="shared" si="64"/>
        <v>31620</v>
      </c>
      <c r="P97" s="47">
        <v>0.032</v>
      </c>
      <c r="Q97" s="20" t="s">
        <v>128</v>
      </c>
      <c r="R97" s="37">
        <v>56.24</v>
      </c>
      <c r="S97" s="16"/>
      <c r="T97" s="16"/>
      <c r="U97" s="15" t="s">
        <v>164</v>
      </c>
      <c r="V97" s="36">
        <v>45037.0</v>
      </c>
      <c r="W97" s="37">
        <v>56.24</v>
      </c>
      <c r="X97" s="27">
        <v>337440.0</v>
      </c>
      <c r="Y97" s="16"/>
      <c r="Z97" s="30"/>
      <c r="AA97" s="31"/>
      <c r="AB97" s="29"/>
    </row>
    <row r="98">
      <c r="A98" s="38"/>
      <c r="B98" s="32"/>
      <c r="C98" s="14">
        <f>I98/E138</f>
        <v>0.04508061515</v>
      </c>
      <c r="D98" s="16" t="s">
        <v>166</v>
      </c>
      <c r="E98" s="16" t="s">
        <v>167</v>
      </c>
      <c r="F98" s="17">
        <v>7.8</v>
      </c>
      <c r="G98" s="18">
        <v>75000.0</v>
      </c>
      <c r="H98" s="19">
        <f t="shared" si="60"/>
        <v>353250</v>
      </c>
      <c r="I98" s="19">
        <f>H98+O98</f>
        <v>687750</v>
      </c>
      <c r="J98" s="21">
        <v>4.71</v>
      </c>
      <c r="K98" s="93">
        <f>IFERROR(__xludf.DUMMYFUNCTION("GOOGLEFINANCE(E98,""changepct"")"),-1.5)</f>
        <v>-1.5</v>
      </c>
      <c r="L98" s="23">
        <f>IFERROR(__xludf.DUMMYFUNCTION("googlefinance(E98,""price"")"),9.17)</f>
        <v>9.17</v>
      </c>
      <c r="M98" s="24">
        <f t="shared" si="62"/>
        <v>4.46</v>
      </c>
      <c r="N98" s="25">
        <f>L98/J98-1</f>
        <v>0.9469214437</v>
      </c>
      <c r="O98" s="19">
        <f t="shared" si="64"/>
        <v>334500</v>
      </c>
      <c r="P98" s="47">
        <v>0.025</v>
      </c>
      <c r="Q98" s="20">
        <v>2120.0</v>
      </c>
      <c r="R98" s="31"/>
      <c r="S98" s="16"/>
      <c r="T98" s="16"/>
      <c r="U98" s="16"/>
      <c r="V98" s="32"/>
      <c r="W98" s="31"/>
      <c r="X98" s="29"/>
      <c r="Y98" s="15"/>
      <c r="Z98" s="36"/>
      <c r="AA98" s="37"/>
      <c r="AB98" s="27"/>
    </row>
    <row r="99">
      <c r="A99" s="38"/>
      <c r="B99" s="32"/>
      <c r="C99" s="14">
        <f>I99/E138</f>
        <v>0</v>
      </c>
      <c r="D99" s="16" t="s">
        <v>547</v>
      </c>
      <c r="E99" s="16" t="s">
        <v>548</v>
      </c>
      <c r="F99" s="17">
        <v>8.0</v>
      </c>
      <c r="G99" s="18">
        <v>15000.0</v>
      </c>
      <c r="H99" s="19">
        <f t="shared" si="60"/>
        <v>183450</v>
      </c>
      <c r="I99" s="20">
        <v>0.0</v>
      </c>
      <c r="J99" s="21">
        <v>12.23</v>
      </c>
      <c r="K99" s="93">
        <f>IFERROR(__xludf.DUMMYFUNCTION("GOOGLEFINANCE(E99,""changepct"")"),-1.53)</f>
        <v>-1.53</v>
      </c>
      <c r="L99" s="23">
        <f>IFERROR(__xludf.DUMMYFUNCTION("googlefinance(E99,""price"")"),18.07)</f>
        <v>18.07</v>
      </c>
      <c r="M99" s="24">
        <f t="shared" si="62"/>
        <v>5.84</v>
      </c>
      <c r="N99" s="25">
        <f>R99/J99-1</f>
        <v>0.04497138185</v>
      </c>
      <c r="O99" s="19">
        <f t="shared" si="64"/>
        <v>8250</v>
      </c>
      <c r="P99" s="47">
        <v>0.008</v>
      </c>
      <c r="Q99" s="20" t="s">
        <v>128</v>
      </c>
      <c r="R99" s="37">
        <v>12.78</v>
      </c>
      <c r="S99" s="15"/>
      <c r="T99" s="15"/>
      <c r="U99" s="15" t="s">
        <v>548</v>
      </c>
      <c r="V99" s="36">
        <v>45037.0</v>
      </c>
      <c r="W99" s="37">
        <v>12.78</v>
      </c>
      <c r="X99" s="27">
        <v>191700.0</v>
      </c>
      <c r="Y99" s="16"/>
      <c r="Z99" s="94"/>
      <c r="AA99" s="24"/>
      <c r="AB99" s="19"/>
    </row>
    <row r="100">
      <c r="A100" s="38"/>
      <c r="B100" s="32"/>
      <c r="C100" s="14">
        <f>I100/E138</f>
        <v>0.02026743178</v>
      </c>
      <c r="D100" s="15" t="s">
        <v>321</v>
      </c>
      <c r="E100" s="16" t="s">
        <v>172</v>
      </c>
      <c r="F100" s="17">
        <v>8.1</v>
      </c>
      <c r="G100" s="18">
        <v>20000.0</v>
      </c>
      <c r="H100" s="19">
        <f t="shared" si="60"/>
        <v>371400</v>
      </c>
      <c r="I100" s="19">
        <f t="shared" ref="I100:I105" si="65">H100+O100</f>
        <v>309200</v>
      </c>
      <c r="J100" s="21">
        <v>18.57</v>
      </c>
      <c r="K100" s="93">
        <f>IFERROR(__xludf.DUMMYFUNCTION("GOOGLEFINANCE(E100,""changepct"")"),-1.4)</f>
        <v>-1.4</v>
      </c>
      <c r="L100" s="23">
        <f>IFERROR(__xludf.DUMMYFUNCTION("googlefinance(E100,""price"")"),15.46)</f>
        <v>15.46</v>
      </c>
      <c r="M100" s="24">
        <f t="shared" si="62"/>
        <v>-3.11</v>
      </c>
      <c r="N100" s="25">
        <f t="shared" ref="N100:N105" si="66">L100/J100-1</f>
        <v>-0.1674744211</v>
      </c>
      <c r="O100" s="19">
        <f t="shared" si="64"/>
        <v>-62200</v>
      </c>
      <c r="P100" s="47">
        <v>0.024</v>
      </c>
      <c r="Q100" s="20">
        <v>2100.0</v>
      </c>
      <c r="R100" s="31"/>
      <c r="S100" s="16"/>
      <c r="T100" s="16"/>
      <c r="U100" s="16"/>
      <c r="V100" s="30"/>
      <c r="W100" s="31"/>
      <c r="X100" s="29"/>
      <c r="Y100" s="15"/>
      <c r="Z100" s="41"/>
      <c r="AA100" s="21"/>
      <c r="AB100" s="20"/>
    </row>
    <row r="101">
      <c r="A101" s="38"/>
      <c r="B101" s="32"/>
      <c r="C101" s="14">
        <f>I101/E138</f>
        <v>0.005299553232</v>
      </c>
      <c r="D101" s="16" t="s">
        <v>549</v>
      </c>
      <c r="E101" s="16" t="s">
        <v>550</v>
      </c>
      <c r="F101" s="17">
        <v>7.5</v>
      </c>
      <c r="G101" s="18">
        <v>15000.0</v>
      </c>
      <c r="H101" s="19">
        <f t="shared" si="60"/>
        <v>108150</v>
      </c>
      <c r="I101" s="19">
        <f t="shared" si="65"/>
        <v>80850</v>
      </c>
      <c r="J101" s="21">
        <v>7.21</v>
      </c>
      <c r="K101" s="93">
        <f>IFERROR(__xludf.DUMMYFUNCTION("GOOGLEFINANCE(E101,""changepct"")"),-2.71)</f>
        <v>-2.71</v>
      </c>
      <c r="L101" s="23">
        <f>IFERROR(__xludf.DUMMYFUNCTION("googlefinance(E101,""price"")"),5.39)</f>
        <v>5.39</v>
      </c>
      <c r="M101" s="24">
        <f t="shared" si="62"/>
        <v>-1.82</v>
      </c>
      <c r="N101" s="25">
        <f t="shared" si="66"/>
        <v>-0.2524271845</v>
      </c>
      <c r="O101" s="19">
        <f t="shared" si="64"/>
        <v>-27300</v>
      </c>
      <c r="P101" s="47">
        <v>0.004</v>
      </c>
      <c r="Q101" s="20">
        <v>90.0</v>
      </c>
      <c r="R101" s="31"/>
      <c r="S101" s="16"/>
      <c r="T101" s="16"/>
      <c r="U101" s="16"/>
      <c r="V101" s="30"/>
      <c r="W101" s="31"/>
      <c r="X101" s="29"/>
      <c r="Y101" s="15"/>
      <c r="Z101" s="36"/>
      <c r="AA101" s="37"/>
      <c r="AB101" s="27"/>
    </row>
    <row r="102">
      <c r="A102" s="38"/>
      <c r="B102" s="32"/>
      <c r="C102" s="14">
        <f>I102/E138</f>
        <v>0.01307026487</v>
      </c>
      <c r="D102" s="16" t="s">
        <v>357</v>
      </c>
      <c r="E102" s="16" t="s">
        <v>174</v>
      </c>
      <c r="F102" s="17">
        <v>7.7</v>
      </c>
      <c r="G102" s="18">
        <v>10000.0</v>
      </c>
      <c r="H102" s="19">
        <f t="shared" si="60"/>
        <v>146000</v>
      </c>
      <c r="I102" s="19">
        <f t="shared" si="65"/>
        <v>199400</v>
      </c>
      <c r="J102" s="21">
        <v>14.6</v>
      </c>
      <c r="K102" s="93">
        <f>IFERROR(__xludf.DUMMYFUNCTION("GOOGLEFINANCE(E102,""changepct"")"),-3.11)</f>
        <v>-3.11</v>
      </c>
      <c r="L102" s="23">
        <f>IFERROR(__xludf.DUMMYFUNCTION("googlefinance(E102,""price"")"),19.94)</f>
        <v>19.94</v>
      </c>
      <c r="M102" s="24">
        <f t="shared" si="62"/>
        <v>5.34</v>
      </c>
      <c r="N102" s="25">
        <f t="shared" si="66"/>
        <v>0.3657534247</v>
      </c>
      <c r="O102" s="19">
        <f t="shared" si="64"/>
        <v>53400</v>
      </c>
      <c r="P102" s="47">
        <v>0.02</v>
      </c>
      <c r="Q102" s="20" t="s">
        <v>128</v>
      </c>
      <c r="R102" s="31"/>
      <c r="S102" s="16"/>
      <c r="T102" s="16"/>
      <c r="U102" s="16"/>
      <c r="V102" s="30"/>
      <c r="W102" s="31"/>
      <c r="X102" s="29"/>
      <c r="Y102" s="15" t="s">
        <v>174</v>
      </c>
      <c r="Z102" s="41">
        <v>45097.0</v>
      </c>
      <c r="AA102" s="21">
        <v>14.6</v>
      </c>
      <c r="AB102" s="20">
        <v>146000.0</v>
      </c>
    </row>
    <row r="103">
      <c r="A103" s="38"/>
      <c r="B103" s="32"/>
      <c r="C103" s="14">
        <f>I103/E138</f>
        <v>0.0196053973</v>
      </c>
      <c r="D103" s="16" t="s">
        <v>357</v>
      </c>
      <c r="E103" s="16" t="s">
        <v>174</v>
      </c>
      <c r="F103" s="17">
        <v>7.7</v>
      </c>
      <c r="G103" s="18">
        <v>15000.0</v>
      </c>
      <c r="H103" s="19">
        <f t="shared" si="60"/>
        <v>273000</v>
      </c>
      <c r="I103" s="19">
        <f t="shared" si="65"/>
        <v>299100</v>
      </c>
      <c r="J103" s="21">
        <v>18.2</v>
      </c>
      <c r="K103" s="93">
        <f>IFERROR(__xludf.DUMMYFUNCTION("GOOGLEFINANCE(E103,""changepct"")"),-3.11)</f>
        <v>-3.11</v>
      </c>
      <c r="L103" s="23">
        <f>IFERROR(__xludf.DUMMYFUNCTION("googlefinance(E103,""price"")"),19.94)</f>
        <v>19.94</v>
      </c>
      <c r="M103" s="24">
        <f t="shared" si="62"/>
        <v>1.74</v>
      </c>
      <c r="N103" s="25">
        <f t="shared" si="66"/>
        <v>0.0956043956</v>
      </c>
      <c r="O103" s="19">
        <f t="shared" si="64"/>
        <v>26100</v>
      </c>
      <c r="P103" s="47">
        <v>0.02</v>
      </c>
      <c r="Q103" s="20">
        <v>1300.0</v>
      </c>
      <c r="R103" s="31"/>
      <c r="S103" s="16"/>
      <c r="T103" s="16"/>
      <c r="U103" s="16"/>
      <c r="V103" s="30"/>
      <c r="W103" s="31"/>
      <c r="X103" s="29"/>
      <c r="Y103" s="16"/>
      <c r="Z103" s="94"/>
      <c r="AA103" s="24"/>
      <c r="AB103" s="19"/>
    </row>
    <row r="104">
      <c r="A104" s="38"/>
      <c r="B104" s="32"/>
      <c r="C104" s="14">
        <f>I104/E138</f>
        <v>0.009645383525</v>
      </c>
      <c r="D104" s="16" t="s">
        <v>507</v>
      </c>
      <c r="E104" s="16" t="s">
        <v>508</v>
      </c>
      <c r="F104" s="17">
        <v>7.8</v>
      </c>
      <c r="G104" s="85">
        <v>15000.0</v>
      </c>
      <c r="H104" s="19">
        <f t="shared" si="60"/>
        <v>166800</v>
      </c>
      <c r="I104" s="19">
        <f t="shared" si="65"/>
        <v>147150</v>
      </c>
      <c r="J104" s="21">
        <v>11.12</v>
      </c>
      <c r="K104" s="93">
        <f>IFERROR(__xludf.DUMMYFUNCTION("GOOGLEFINANCE(E104,""changepct"")"),-2.77)</f>
        <v>-2.77</v>
      </c>
      <c r="L104" s="23">
        <f>IFERROR(__xludf.DUMMYFUNCTION("googlefinance(E104,""price"")"),9.81)</f>
        <v>9.81</v>
      </c>
      <c r="M104" s="24">
        <f t="shared" si="62"/>
        <v>-1.31</v>
      </c>
      <c r="N104" s="25">
        <f t="shared" si="66"/>
        <v>-0.1178057554</v>
      </c>
      <c r="O104" s="19">
        <f t="shared" si="64"/>
        <v>-19650</v>
      </c>
      <c r="P104" s="14"/>
      <c r="Q104" s="19"/>
      <c r="R104" s="31"/>
      <c r="S104" s="16"/>
      <c r="T104" s="16"/>
      <c r="U104" s="16"/>
      <c r="V104" s="30"/>
      <c r="W104" s="31"/>
      <c r="X104" s="29"/>
      <c r="Y104" s="16"/>
      <c r="Z104" s="30"/>
      <c r="AA104" s="31"/>
      <c r="AB104" s="29"/>
    </row>
    <row r="105">
      <c r="A105" s="38"/>
      <c r="B105" s="32"/>
      <c r="C105" s="14">
        <f>I105/E138</f>
        <v>0.01874671891</v>
      </c>
      <c r="D105" s="95" t="s">
        <v>179</v>
      </c>
      <c r="E105" s="16" t="s">
        <v>180</v>
      </c>
      <c r="F105" s="334">
        <v>8.0</v>
      </c>
      <c r="G105" s="18">
        <v>25000.0</v>
      </c>
      <c r="H105" s="19">
        <f t="shared" si="60"/>
        <v>286500</v>
      </c>
      <c r="I105" s="19">
        <f t="shared" si="65"/>
        <v>286000</v>
      </c>
      <c r="J105" s="21">
        <v>11.46</v>
      </c>
      <c r="K105" s="93">
        <f>IFERROR(__xludf.DUMMYFUNCTION("GOOGLEFINANCE(E105,""changepct"")"),-2.8)</f>
        <v>-2.8</v>
      </c>
      <c r="L105" s="23">
        <f>IFERROR(__xludf.DUMMYFUNCTION("googlefinance(E105,""price"")"),11.44)</f>
        <v>11.44</v>
      </c>
      <c r="M105" s="24">
        <f t="shared" si="62"/>
        <v>-0.02</v>
      </c>
      <c r="N105" s="25">
        <f t="shared" si="66"/>
        <v>-0.001745200698</v>
      </c>
      <c r="O105" s="19">
        <f t="shared" si="64"/>
        <v>-500</v>
      </c>
      <c r="P105" s="47">
        <v>0.005</v>
      </c>
      <c r="Q105" s="20">
        <v>313.0</v>
      </c>
      <c r="R105" s="31"/>
      <c r="S105" s="16"/>
      <c r="T105" s="16"/>
      <c r="U105" s="16"/>
      <c r="V105" s="30"/>
      <c r="W105" s="31"/>
      <c r="X105" s="29"/>
      <c r="Y105" s="16"/>
      <c r="Z105" s="94"/>
      <c r="AA105" s="24"/>
      <c r="AB105" s="19"/>
    </row>
    <row r="106">
      <c r="A106" s="55"/>
      <c r="B106" s="53"/>
      <c r="C106" s="6" t="s">
        <v>89</v>
      </c>
      <c r="D106" s="6"/>
      <c r="E106" s="6"/>
      <c r="F106" s="6"/>
      <c r="G106" s="11"/>
      <c r="H106" s="49">
        <f t="shared" ref="H106:I106" si="67">SUM(H89:H105)</f>
        <v>4208910</v>
      </c>
      <c r="I106" s="50">
        <f t="shared" si="67"/>
        <v>4234250</v>
      </c>
      <c r="J106" s="8"/>
      <c r="K106" s="8"/>
      <c r="L106" s="10"/>
      <c r="M106" s="10"/>
      <c r="N106" s="51">
        <f>(O106+Q106)/D134</f>
        <v>-0.06642433092</v>
      </c>
      <c r="O106" s="263">
        <v>-247720.0</v>
      </c>
      <c r="P106" s="6"/>
      <c r="Q106" s="49">
        <f>SUM(Q89:Q105)</f>
        <v>12085</v>
      </c>
      <c r="R106" s="10"/>
      <c r="S106" s="6"/>
      <c r="T106" s="5"/>
      <c r="U106" s="6" t="s">
        <v>89</v>
      </c>
      <c r="V106" s="53"/>
      <c r="W106" s="54"/>
      <c r="X106" s="49">
        <f>SUM(X89:X105)</f>
        <v>529140</v>
      </c>
      <c r="Y106" s="6" t="s">
        <v>89</v>
      </c>
      <c r="Z106" s="53"/>
      <c r="AA106" s="53"/>
      <c r="AB106" s="49">
        <f>SUM(AB89:AB105)</f>
        <v>661490</v>
      </c>
    </row>
    <row r="107">
      <c r="A107" s="55"/>
      <c r="B107" s="6" t="s">
        <v>181</v>
      </c>
      <c r="C107" s="6" t="s">
        <v>2</v>
      </c>
      <c r="D107" s="6" t="s">
        <v>182</v>
      </c>
      <c r="E107" s="6" t="s">
        <v>4</v>
      </c>
      <c r="F107" s="6" t="s">
        <v>5</v>
      </c>
      <c r="G107" s="5" t="s">
        <v>458</v>
      </c>
      <c r="H107" s="6" t="s">
        <v>7</v>
      </c>
      <c r="I107" s="7" t="s">
        <v>8</v>
      </c>
      <c r="J107" s="7" t="s">
        <v>9</v>
      </c>
      <c r="K107" s="8" t="s">
        <v>10</v>
      </c>
      <c r="L107" s="8" t="s">
        <v>11</v>
      </c>
      <c r="M107" s="10" t="s">
        <v>13</v>
      </c>
      <c r="N107" s="6" t="s">
        <v>14</v>
      </c>
      <c r="O107" s="10" t="s">
        <v>15</v>
      </c>
      <c r="P107" s="6" t="s">
        <v>16</v>
      </c>
      <c r="Q107" s="6" t="s">
        <v>17</v>
      </c>
      <c r="R107" s="9" t="s">
        <v>459</v>
      </c>
      <c r="S107" s="5" t="s">
        <v>128</v>
      </c>
      <c r="T107" s="5" t="s">
        <v>128</v>
      </c>
      <c r="U107" s="6" t="s">
        <v>21</v>
      </c>
      <c r="V107" s="6" t="s">
        <v>22</v>
      </c>
      <c r="W107" s="12" t="s">
        <v>23</v>
      </c>
      <c r="X107" s="12" t="s">
        <v>24</v>
      </c>
      <c r="Y107" s="6" t="s">
        <v>25</v>
      </c>
      <c r="Z107" s="6" t="s">
        <v>26</v>
      </c>
      <c r="AA107" s="6" t="s">
        <v>27</v>
      </c>
      <c r="AB107" s="6" t="s">
        <v>28</v>
      </c>
    </row>
    <row r="108">
      <c r="A108" s="56" t="s">
        <v>29</v>
      </c>
      <c r="B108" s="57">
        <f>I131/E138</f>
        <v>0.08782116784</v>
      </c>
      <c r="C108" s="14">
        <f>I108/E138</f>
        <v>0</v>
      </c>
      <c r="D108" s="293" t="s">
        <v>413</v>
      </c>
      <c r="E108" s="16" t="s">
        <v>185</v>
      </c>
      <c r="F108" s="17">
        <v>7.4</v>
      </c>
      <c r="G108" s="97">
        <v>5.0</v>
      </c>
      <c r="H108" s="19">
        <f t="shared" ref="H108:H130" si="68">G108*J108</f>
        <v>141750</v>
      </c>
      <c r="I108" s="20">
        <v>0.0</v>
      </c>
      <c r="J108" s="20">
        <v>28350.0</v>
      </c>
      <c r="K108" s="98"/>
      <c r="L108" s="99">
        <v>30400.0</v>
      </c>
      <c r="M108" s="100">
        <f t="shared" ref="M108:M130" si="69">L108-J108</f>
        <v>2050</v>
      </c>
      <c r="N108" s="101">
        <f t="shared" ref="N108:N114" si="70">R108/J108-1</f>
        <v>-0.0150617284</v>
      </c>
      <c r="O108" s="102">
        <f t="shared" ref="O108:O130" si="71">H108*N108</f>
        <v>-2135</v>
      </c>
      <c r="P108" s="32"/>
      <c r="Q108" s="32"/>
      <c r="R108" s="103">
        <v>27923.0</v>
      </c>
      <c r="S108" s="15"/>
      <c r="T108" s="15"/>
      <c r="U108" s="15" t="s">
        <v>186</v>
      </c>
      <c r="V108" s="41">
        <v>45021.0</v>
      </c>
      <c r="W108" s="20">
        <v>27923.0</v>
      </c>
      <c r="X108" s="20">
        <v>139615.0</v>
      </c>
      <c r="Y108" s="104"/>
      <c r="Z108" s="105"/>
      <c r="AA108" s="106"/>
      <c r="AB108" s="106"/>
    </row>
    <row r="109">
      <c r="A109" s="38"/>
      <c r="B109" s="32"/>
      <c r="C109" s="14">
        <f>I109/E138</f>
        <v>0</v>
      </c>
      <c r="D109" s="16" t="s">
        <v>414</v>
      </c>
      <c r="E109" s="45" t="s">
        <v>188</v>
      </c>
      <c r="F109" s="17">
        <v>7.5</v>
      </c>
      <c r="G109" s="97">
        <v>75.0</v>
      </c>
      <c r="H109" s="19">
        <f t="shared" si="68"/>
        <v>135975</v>
      </c>
      <c r="I109" s="20">
        <v>0.0</v>
      </c>
      <c r="J109" s="27">
        <v>1813.0</v>
      </c>
      <c r="K109" s="98"/>
      <c r="L109" s="99">
        <v>1915.0</v>
      </c>
      <c r="M109" s="100">
        <f t="shared" si="69"/>
        <v>102</v>
      </c>
      <c r="N109" s="101">
        <f t="shared" si="70"/>
        <v>0.04191947049</v>
      </c>
      <c r="O109" s="102">
        <f t="shared" si="71"/>
        <v>5700</v>
      </c>
      <c r="P109" s="32"/>
      <c r="Q109" s="32"/>
      <c r="R109" s="27">
        <v>1889.0</v>
      </c>
      <c r="S109" s="15"/>
      <c r="T109" s="15"/>
      <c r="U109" s="15" t="s">
        <v>189</v>
      </c>
      <c r="V109" s="36">
        <v>45022.0</v>
      </c>
      <c r="W109" s="27">
        <v>1889.0</v>
      </c>
      <c r="X109" s="27">
        <v>141675.0</v>
      </c>
      <c r="Y109" s="104"/>
      <c r="Z109" s="108"/>
      <c r="AA109" s="217"/>
      <c r="AB109" s="27"/>
    </row>
    <row r="110">
      <c r="A110" s="38"/>
      <c r="B110" s="32"/>
      <c r="C110" s="14">
        <f>I110/E138</f>
        <v>0</v>
      </c>
      <c r="D110" s="293" t="s">
        <v>413</v>
      </c>
      <c r="E110" s="16" t="s">
        <v>185</v>
      </c>
      <c r="F110" s="17">
        <v>7.4</v>
      </c>
      <c r="G110" s="97">
        <v>5.0</v>
      </c>
      <c r="H110" s="19">
        <f t="shared" si="68"/>
        <v>149350</v>
      </c>
      <c r="I110" s="20">
        <v>0.0</v>
      </c>
      <c r="J110" s="20">
        <v>29870.0</v>
      </c>
      <c r="K110" s="98"/>
      <c r="L110" s="99">
        <v>30400.0</v>
      </c>
      <c r="M110" s="100">
        <f t="shared" si="69"/>
        <v>530</v>
      </c>
      <c r="N110" s="101">
        <f t="shared" si="70"/>
        <v>0.002979578172</v>
      </c>
      <c r="O110" s="102">
        <f t="shared" si="71"/>
        <v>445</v>
      </c>
      <c r="P110" s="32"/>
      <c r="Q110" s="32"/>
      <c r="R110" s="103">
        <v>29959.0</v>
      </c>
      <c r="S110" s="15"/>
      <c r="T110" s="15"/>
      <c r="U110" s="15" t="s">
        <v>186</v>
      </c>
      <c r="V110" s="41">
        <v>45028.0</v>
      </c>
      <c r="W110" s="20">
        <v>29959.0</v>
      </c>
      <c r="X110" s="20">
        <v>149795.0</v>
      </c>
      <c r="Y110" s="104" t="s">
        <v>186</v>
      </c>
      <c r="Z110" s="105">
        <v>45027.0</v>
      </c>
      <c r="AA110" s="106">
        <v>29870.0</v>
      </c>
      <c r="AB110" s="20">
        <v>149350.0</v>
      </c>
    </row>
    <row r="111">
      <c r="A111" s="38"/>
      <c r="B111" s="32"/>
      <c r="C111" s="14">
        <f>I111/E138</f>
        <v>0</v>
      </c>
      <c r="D111" s="16" t="s">
        <v>414</v>
      </c>
      <c r="E111" s="45" t="s">
        <v>188</v>
      </c>
      <c r="F111" s="17">
        <v>7.5</v>
      </c>
      <c r="G111" s="97">
        <v>75.0</v>
      </c>
      <c r="H111" s="19">
        <f t="shared" si="68"/>
        <v>143625</v>
      </c>
      <c r="I111" s="20">
        <v>0.0</v>
      </c>
      <c r="J111" s="20">
        <v>1915.0</v>
      </c>
      <c r="K111" s="98"/>
      <c r="L111" s="99">
        <v>1915.0</v>
      </c>
      <c r="M111" s="100">
        <f t="shared" si="69"/>
        <v>0</v>
      </c>
      <c r="N111" s="101">
        <f t="shared" si="70"/>
        <v>-0.01409921671</v>
      </c>
      <c r="O111" s="102">
        <f t="shared" si="71"/>
        <v>-2025</v>
      </c>
      <c r="P111" s="32"/>
      <c r="Q111" s="32"/>
      <c r="R111" s="103">
        <v>1888.0</v>
      </c>
      <c r="S111" s="15"/>
      <c r="T111" s="15"/>
      <c r="U111" s="15" t="s">
        <v>189</v>
      </c>
      <c r="V111" s="41">
        <v>45028.0</v>
      </c>
      <c r="W111" s="20">
        <v>1888.0</v>
      </c>
      <c r="X111" s="20">
        <v>141600.0</v>
      </c>
      <c r="Y111" s="104" t="s">
        <v>189</v>
      </c>
      <c r="Z111" s="105">
        <v>45027.0</v>
      </c>
      <c r="AA111" s="106">
        <v>1915.0</v>
      </c>
      <c r="AB111" s="20">
        <v>143625.0</v>
      </c>
    </row>
    <row r="112">
      <c r="A112" s="38"/>
      <c r="B112" s="32"/>
      <c r="C112" s="14">
        <f>I112/E138</f>
        <v>0</v>
      </c>
      <c r="D112" s="16" t="s">
        <v>414</v>
      </c>
      <c r="E112" s="45" t="s">
        <v>188</v>
      </c>
      <c r="F112" s="17">
        <v>7.5</v>
      </c>
      <c r="G112" s="97">
        <v>100.0</v>
      </c>
      <c r="H112" s="19">
        <f t="shared" si="68"/>
        <v>187200</v>
      </c>
      <c r="I112" s="20">
        <v>0.0</v>
      </c>
      <c r="J112" s="21">
        <v>1872.0</v>
      </c>
      <c r="K112" s="98"/>
      <c r="L112" s="99">
        <v>1915.0</v>
      </c>
      <c r="M112" s="100">
        <f t="shared" si="69"/>
        <v>43</v>
      </c>
      <c r="N112" s="101">
        <f t="shared" si="70"/>
        <v>0.1105769231</v>
      </c>
      <c r="O112" s="102">
        <f t="shared" si="71"/>
        <v>20700</v>
      </c>
      <c r="P112" s="32"/>
      <c r="Q112" s="32"/>
      <c r="R112" s="103">
        <v>2079.0</v>
      </c>
      <c r="S112" s="15"/>
      <c r="T112" s="15"/>
      <c r="U112" s="15" t="s">
        <v>189</v>
      </c>
      <c r="V112" s="41">
        <v>45033.0</v>
      </c>
      <c r="W112" s="20">
        <v>2079.0</v>
      </c>
      <c r="X112" s="20">
        <v>207900.0</v>
      </c>
      <c r="Y112" s="104" t="s">
        <v>189</v>
      </c>
      <c r="Z112" s="105">
        <v>45028.0</v>
      </c>
      <c r="AA112" s="106">
        <v>1882.0</v>
      </c>
      <c r="AB112" s="20">
        <v>187200.0</v>
      </c>
    </row>
    <row r="113">
      <c r="A113" s="38"/>
      <c r="B113" s="32"/>
      <c r="C113" s="14">
        <f>I113/E138</f>
        <v>0</v>
      </c>
      <c r="D113" s="16" t="s">
        <v>414</v>
      </c>
      <c r="E113" s="45" t="s">
        <v>188</v>
      </c>
      <c r="F113" s="17">
        <v>7.5</v>
      </c>
      <c r="G113" s="97">
        <v>75.0</v>
      </c>
      <c r="H113" s="19">
        <f t="shared" si="68"/>
        <v>143325</v>
      </c>
      <c r="I113" s="20">
        <v>0.0</v>
      </c>
      <c r="J113" s="21">
        <v>1911.0</v>
      </c>
      <c r="K113" s="98"/>
      <c r="L113" s="99">
        <v>1915.0</v>
      </c>
      <c r="M113" s="100">
        <f t="shared" si="69"/>
        <v>4</v>
      </c>
      <c r="N113" s="101">
        <f t="shared" si="70"/>
        <v>-0.001046572475</v>
      </c>
      <c r="O113" s="102">
        <f t="shared" si="71"/>
        <v>-150</v>
      </c>
      <c r="P113" s="32"/>
      <c r="Q113" s="32"/>
      <c r="R113" s="103">
        <v>1909.0</v>
      </c>
      <c r="S113" s="15"/>
      <c r="T113" s="15"/>
      <c r="U113" s="15" t="s">
        <v>189</v>
      </c>
      <c r="V113" s="41">
        <v>45044.0</v>
      </c>
      <c r="W113" s="20">
        <v>1909.0</v>
      </c>
      <c r="X113" s="20">
        <v>143175.0</v>
      </c>
      <c r="Y113" s="104" t="s">
        <v>189</v>
      </c>
      <c r="Z113" s="105">
        <v>45043.0</v>
      </c>
      <c r="AA113" s="106">
        <v>1911.0</v>
      </c>
      <c r="AB113" s="20">
        <v>143325.0</v>
      </c>
    </row>
    <row r="114">
      <c r="A114" s="38"/>
      <c r="B114" s="32"/>
      <c r="C114" s="14">
        <f>I114/E138</f>
        <v>0</v>
      </c>
      <c r="D114" s="16" t="s">
        <v>414</v>
      </c>
      <c r="E114" s="45" t="s">
        <v>188</v>
      </c>
      <c r="F114" s="17">
        <v>7.5</v>
      </c>
      <c r="G114" s="97">
        <v>100.0</v>
      </c>
      <c r="H114" s="19">
        <f t="shared" si="68"/>
        <v>191340</v>
      </c>
      <c r="I114" s="20">
        <v>0.0</v>
      </c>
      <c r="J114" s="21">
        <v>1913.4</v>
      </c>
      <c r="K114" s="98"/>
      <c r="L114" s="99">
        <v>1915.0</v>
      </c>
      <c r="M114" s="100">
        <f t="shared" si="69"/>
        <v>1.6</v>
      </c>
      <c r="N114" s="101">
        <f t="shared" si="70"/>
        <v>-0.03522525348</v>
      </c>
      <c r="O114" s="102">
        <f t="shared" si="71"/>
        <v>-6740</v>
      </c>
      <c r="P114" s="32"/>
      <c r="Q114" s="32"/>
      <c r="R114" s="103">
        <v>1846.0</v>
      </c>
      <c r="S114" s="15"/>
      <c r="T114" s="15"/>
      <c r="U114" s="15" t="s">
        <v>189</v>
      </c>
      <c r="V114" s="41">
        <v>45056.0</v>
      </c>
      <c r="W114" s="20">
        <v>1846.0</v>
      </c>
      <c r="X114" s="20">
        <v>184600.0</v>
      </c>
      <c r="Y114" s="104" t="s">
        <v>189</v>
      </c>
      <c r="Z114" s="105">
        <v>45044.0</v>
      </c>
      <c r="AA114" s="106">
        <v>1913.4</v>
      </c>
      <c r="AB114" s="20">
        <v>191340.0</v>
      </c>
    </row>
    <row r="115">
      <c r="A115" s="38"/>
      <c r="B115" s="32"/>
      <c r="C115" s="14">
        <f>I115/E138</f>
        <v>0.01255243592</v>
      </c>
      <c r="D115" s="16" t="s">
        <v>414</v>
      </c>
      <c r="E115" s="45" t="s">
        <v>188</v>
      </c>
      <c r="F115" s="17">
        <v>7.5</v>
      </c>
      <c r="G115" s="97">
        <v>100.0</v>
      </c>
      <c r="H115" s="19">
        <f t="shared" si="68"/>
        <v>182200</v>
      </c>
      <c r="I115" s="20">
        <f t="shared" ref="I115:I118" si="72">H115+O115</f>
        <v>191500</v>
      </c>
      <c r="J115" s="21">
        <v>1822.0</v>
      </c>
      <c r="K115" s="98"/>
      <c r="L115" s="99">
        <v>1915.0</v>
      </c>
      <c r="M115" s="100">
        <f t="shared" si="69"/>
        <v>93</v>
      </c>
      <c r="N115" s="101">
        <f t="shared" ref="N115:N118" si="73">L115/J115-1</f>
        <v>0.0510428101</v>
      </c>
      <c r="O115" s="102">
        <f t="shared" si="71"/>
        <v>9300</v>
      </c>
      <c r="P115" s="32"/>
      <c r="Q115" s="32"/>
      <c r="R115" s="292"/>
      <c r="S115" s="15"/>
      <c r="T115" s="15"/>
      <c r="U115" s="15"/>
      <c r="V115" s="41"/>
      <c r="W115" s="21"/>
      <c r="X115" s="20"/>
      <c r="Y115" s="104" t="s">
        <v>189</v>
      </c>
      <c r="Z115" s="105">
        <v>45061.0</v>
      </c>
      <c r="AA115" s="106">
        <v>1822.0</v>
      </c>
      <c r="AB115" s="20">
        <v>182200.0</v>
      </c>
    </row>
    <row r="116">
      <c r="A116" s="38"/>
      <c r="B116" s="32"/>
      <c r="C116" s="14">
        <f>I116/E138</f>
        <v>0.002481646077</v>
      </c>
      <c r="D116" s="16" t="s">
        <v>209</v>
      </c>
      <c r="E116" s="16" t="s">
        <v>210</v>
      </c>
      <c r="F116" s="17">
        <v>7.4</v>
      </c>
      <c r="G116" s="97">
        <v>6000.0</v>
      </c>
      <c r="H116" s="19">
        <f t="shared" si="68"/>
        <v>31260</v>
      </c>
      <c r="I116" s="20">
        <f t="shared" si="72"/>
        <v>37860</v>
      </c>
      <c r="J116" s="21">
        <v>5.21</v>
      </c>
      <c r="K116" s="98"/>
      <c r="L116" s="122">
        <v>6.31</v>
      </c>
      <c r="M116" s="100">
        <f t="shared" si="69"/>
        <v>1.1</v>
      </c>
      <c r="N116" s="101">
        <f t="shared" si="73"/>
        <v>0.2111324376</v>
      </c>
      <c r="O116" s="102">
        <f t="shared" si="71"/>
        <v>6600</v>
      </c>
      <c r="P116" s="32"/>
      <c r="Q116" s="32"/>
      <c r="R116" s="292"/>
      <c r="S116" s="15"/>
      <c r="T116" s="15"/>
      <c r="U116" s="15"/>
      <c r="V116" s="41"/>
      <c r="W116" s="21"/>
      <c r="X116" s="20"/>
      <c r="Y116" s="104" t="s">
        <v>211</v>
      </c>
      <c r="Z116" s="105">
        <v>45090.0</v>
      </c>
      <c r="AA116" s="109"/>
      <c r="AB116" s="20"/>
    </row>
    <row r="117">
      <c r="A117" s="38"/>
      <c r="B117" s="32"/>
      <c r="C117" s="14">
        <f>I117/E138</f>
        <v>0.001654430718</v>
      </c>
      <c r="D117" s="16" t="s">
        <v>209</v>
      </c>
      <c r="E117" s="16" t="s">
        <v>210</v>
      </c>
      <c r="F117" s="17">
        <v>7.4</v>
      </c>
      <c r="G117" s="97">
        <v>4000.0</v>
      </c>
      <c r="H117" s="19">
        <f t="shared" si="68"/>
        <v>20200</v>
      </c>
      <c r="I117" s="20">
        <f t="shared" si="72"/>
        <v>25240</v>
      </c>
      <c r="J117" s="21">
        <v>5.05</v>
      </c>
      <c r="K117" s="98"/>
      <c r="L117" s="122">
        <v>6.31</v>
      </c>
      <c r="M117" s="100">
        <f t="shared" si="69"/>
        <v>1.26</v>
      </c>
      <c r="N117" s="101">
        <f t="shared" si="73"/>
        <v>0.2495049505</v>
      </c>
      <c r="O117" s="102">
        <f t="shared" si="71"/>
        <v>5040</v>
      </c>
      <c r="P117" s="32"/>
      <c r="Q117" s="32"/>
      <c r="R117" s="292"/>
      <c r="S117" s="15"/>
      <c r="T117" s="15"/>
      <c r="U117" s="15"/>
      <c r="V117" s="41"/>
      <c r="W117" s="21"/>
      <c r="X117" s="20"/>
      <c r="Y117" s="104" t="s">
        <v>211</v>
      </c>
      <c r="Z117" s="105">
        <v>45089.0</v>
      </c>
      <c r="AA117" s="109">
        <v>5.05</v>
      </c>
      <c r="AB117" s="20">
        <v>20200.0</v>
      </c>
    </row>
    <row r="118">
      <c r="A118" s="38"/>
      <c r="B118" s="32"/>
      <c r="C118" s="14">
        <f>I118/E138</f>
        <v>0.008272153591</v>
      </c>
      <c r="D118" s="16" t="s">
        <v>209</v>
      </c>
      <c r="E118" s="16" t="s">
        <v>210</v>
      </c>
      <c r="F118" s="17">
        <v>7.4</v>
      </c>
      <c r="G118" s="97">
        <v>20000.0</v>
      </c>
      <c r="H118" s="19">
        <f t="shared" si="68"/>
        <v>151600</v>
      </c>
      <c r="I118" s="20">
        <f t="shared" si="72"/>
        <v>126200</v>
      </c>
      <c r="J118" s="21">
        <v>7.58</v>
      </c>
      <c r="K118" s="98"/>
      <c r="L118" s="122">
        <v>6.31</v>
      </c>
      <c r="M118" s="100">
        <f t="shared" si="69"/>
        <v>-1.27</v>
      </c>
      <c r="N118" s="101">
        <f t="shared" si="73"/>
        <v>-0.1675461741</v>
      </c>
      <c r="O118" s="102">
        <f t="shared" si="71"/>
        <v>-25400</v>
      </c>
      <c r="P118" s="32"/>
      <c r="Q118" s="32"/>
      <c r="R118" s="292"/>
      <c r="S118" s="15"/>
      <c r="T118" s="15"/>
      <c r="U118" s="15"/>
      <c r="V118" s="41"/>
      <c r="W118" s="21"/>
      <c r="X118" s="20"/>
      <c r="Y118" s="104"/>
      <c r="Z118" s="105"/>
      <c r="AA118" s="109"/>
      <c r="AB118" s="106"/>
    </row>
    <row r="119">
      <c r="A119" s="38"/>
      <c r="B119" s="32"/>
      <c r="C119" s="14">
        <f>I119/E138</f>
        <v>0</v>
      </c>
      <c r="D119" s="15" t="s">
        <v>206</v>
      </c>
      <c r="E119" s="15" t="s">
        <v>207</v>
      </c>
      <c r="F119" s="17">
        <v>7.5</v>
      </c>
      <c r="G119" s="97">
        <v>500.0</v>
      </c>
      <c r="H119" s="19">
        <f t="shared" si="68"/>
        <v>52005</v>
      </c>
      <c r="I119" s="20">
        <v>0.0</v>
      </c>
      <c r="J119" s="21">
        <v>104.01</v>
      </c>
      <c r="K119" s="98"/>
      <c r="L119" s="99">
        <v>305.0</v>
      </c>
      <c r="M119" s="100">
        <f t="shared" si="69"/>
        <v>200.99</v>
      </c>
      <c r="N119" s="101">
        <f t="shared" ref="N119:N121" si="74">R119/J119-1</f>
        <v>0.2872800692</v>
      </c>
      <c r="O119" s="102">
        <f t="shared" si="71"/>
        <v>14940</v>
      </c>
      <c r="P119" s="32"/>
      <c r="Q119" s="32"/>
      <c r="R119" s="292">
        <v>133.89</v>
      </c>
      <c r="S119" s="15"/>
      <c r="T119" s="15"/>
      <c r="U119" s="15" t="s">
        <v>208</v>
      </c>
      <c r="V119" s="41">
        <v>45099.0</v>
      </c>
      <c r="W119" s="21">
        <v>133.89</v>
      </c>
      <c r="X119" s="20">
        <v>66945.0</v>
      </c>
      <c r="Y119" s="104" t="s">
        <v>208</v>
      </c>
      <c r="Z119" s="105">
        <v>45090.0</v>
      </c>
      <c r="AA119" s="109">
        <v>104.01</v>
      </c>
      <c r="AB119" s="106">
        <v>52005.0</v>
      </c>
    </row>
    <row r="120">
      <c r="A120" s="38"/>
      <c r="B120" s="32"/>
      <c r="C120" s="14">
        <f>I120/E138</f>
        <v>0</v>
      </c>
      <c r="D120" s="15" t="s">
        <v>206</v>
      </c>
      <c r="E120" s="15" t="s">
        <v>207</v>
      </c>
      <c r="F120" s="17">
        <v>7.5</v>
      </c>
      <c r="G120" s="97">
        <v>1000.0</v>
      </c>
      <c r="H120" s="19">
        <f t="shared" si="68"/>
        <v>101900</v>
      </c>
      <c r="I120" s="20">
        <v>0.0</v>
      </c>
      <c r="J120" s="21">
        <v>101.9</v>
      </c>
      <c r="K120" s="98"/>
      <c r="L120" s="99">
        <v>305.0</v>
      </c>
      <c r="M120" s="100">
        <f t="shared" si="69"/>
        <v>203.1</v>
      </c>
      <c r="N120" s="101">
        <f t="shared" si="74"/>
        <v>0.894013739</v>
      </c>
      <c r="O120" s="102">
        <f t="shared" si="71"/>
        <v>91100</v>
      </c>
      <c r="P120" s="32"/>
      <c r="Q120" s="32"/>
      <c r="R120" s="292">
        <v>193.0</v>
      </c>
      <c r="S120" s="15"/>
      <c r="T120" s="15"/>
      <c r="U120" s="15" t="s">
        <v>208</v>
      </c>
      <c r="V120" s="41">
        <v>45103.0</v>
      </c>
      <c r="W120" s="21">
        <v>193.0</v>
      </c>
      <c r="X120" s="20">
        <v>193000.0</v>
      </c>
      <c r="Y120" s="104" t="s">
        <v>208</v>
      </c>
      <c r="Z120" s="105">
        <v>45089.0</v>
      </c>
      <c r="AA120" s="109">
        <v>101.9</v>
      </c>
      <c r="AB120" s="106">
        <v>101900.0</v>
      </c>
    </row>
    <row r="121">
      <c r="A121" s="38"/>
      <c r="B121" s="32"/>
      <c r="C121" s="14">
        <f>I121/E138</f>
        <v>0</v>
      </c>
      <c r="D121" s="15" t="s">
        <v>206</v>
      </c>
      <c r="E121" s="15" t="s">
        <v>207</v>
      </c>
      <c r="F121" s="17">
        <v>7.5</v>
      </c>
      <c r="G121" s="97">
        <v>1000.0</v>
      </c>
      <c r="H121" s="19">
        <f t="shared" si="68"/>
        <v>123000</v>
      </c>
      <c r="I121" s="20">
        <v>0.0</v>
      </c>
      <c r="J121" s="21">
        <v>123.0</v>
      </c>
      <c r="K121" s="98"/>
      <c r="L121" s="99">
        <v>305.0</v>
      </c>
      <c r="M121" s="100">
        <f t="shared" si="69"/>
        <v>182</v>
      </c>
      <c r="N121" s="101">
        <f t="shared" si="74"/>
        <v>1.474796748</v>
      </c>
      <c r="O121" s="102">
        <f t="shared" si="71"/>
        <v>181400</v>
      </c>
      <c r="P121" s="32"/>
      <c r="Q121" s="32"/>
      <c r="R121" s="292">
        <v>304.4</v>
      </c>
      <c r="S121" s="15"/>
      <c r="T121" s="15"/>
      <c r="U121" s="15" t="s">
        <v>208</v>
      </c>
      <c r="V121" s="41">
        <v>45107.0</v>
      </c>
      <c r="W121" s="21">
        <v>304.4</v>
      </c>
      <c r="X121" s="20">
        <v>304400.0</v>
      </c>
      <c r="Y121" s="104"/>
      <c r="Z121" s="105"/>
      <c r="AA121" s="109"/>
      <c r="AB121" s="106"/>
    </row>
    <row r="122">
      <c r="A122" s="38"/>
      <c r="B122" s="32"/>
      <c r="C122" s="14">
        <f>I122/E138</f>
        <v>0.006227056982</v>
      </c>
      <c r="D122" s="15" t="s">
        <v>416</v>
      </c>
      <c r="E122" s="15" t="s">
        <v>360</v>
      </c>
      <c r="F122" s="17">
        <v>7.5</v>
      </c>
      <c r="G122" s="97">
        <v>2500.0</v>
      </c>
      <c r="H122" s="19">
        <f t="shared" si="68"/>
        <v>72900</v>
      </c>
      <c r="I122" s="20">
        <f>H122+O122</f>
        <v>95000</v>
      </c>
      <c r="J122" s="21">
        <v>29.16</v>
      </c>
      <c r="K122" s="98"/>
      <c r="L122" s="122">
        <v>38.0</v>
      </c>
      <c r="M122" s="100">
        <f t="shared" si="69"/>
        <v>8.84</v>
      </c>
      <c r="N122" s="101">
        <f>L122/J122-1</f>
        <v>0.3031550069</v>
      </c>
      <c r="O122" s="102">
        <f t="shared" si="71"/>
        <v>22100</v>
      </c>
      <c r="P122" s="32"/>
      <c r="Q122" s="32"/>
      <c r="R122" s="21"/>
      <c r="S122" s="15"/>
      <c r="T122" s="15"/>
      <c r="U122" s="15"/>
      <c r="V122" s="41"/>
      <c r="W122" s="21"/>
      <c r="X122" s="20"/>
      <c r="Y122" s="104" t="s">
        <v>361</v>
      </c>
      <c r="Z122" s="105">
        <v>45090.0</v>
      </c>
      <c r="AA122" s="109">
        <v>29.16</v>
      </c>
      <c r="AB122" s="106">
        <v>72900.0</v>
      </c>
    </row>
    <row r="123">
      <c r="A123" s="38"/>
      <c r="B123" s="32"/>
      <c r="C123" s="14">
        <f>I123/E138</f>
        <v>0</v>
      </c>
      <c r="D123" s="15" t="s">
        <v>416</v>
      </c>
      <c r="E123" s="15" t="s">
        <v>360</v>
      </c>
      <c r="F123" s="17">
        <v>7.5</v>
      </c>
      <c r="G123" s="97">
        <v>2500.0</v>
      </c>
      <c r="H123" s="19">
        <f t="shared" si="68"/>
        <v>144875</v>
      </c>
      <c r="I123" s="20">
        <v>0.0</v>
      </c>
      <c r="J123" s="21">
        <v>57.95</v>
      </c>
      <c r="K123" s="98"/>
      <c r="L123" s="122">
        <v>38.0</v>
      </c>
      <c r="M123" s="100">
        <f t="shared" si="69"/>
        <v>-19.95</v>
      </c>
      <c r="N123" s="101">
        <f>R123/J123-1</f>
        <v>-0.01415012942</v>
      </c>
      <c r="O123" s="102">
        <f t="shared" si="71"/>
        <v>-2050</v>
      </c>
      <c r="P123" s="32"/>
      <c r="Q123" s="32"/>
      <c r="R123" s="21">
        <v>57.13</v>
      </c>
      <c r="S123" s="15"/>
      <c r="T123" s="15"/>
      <c r="U123" s="15" t="s">
        <v>361</v>
      </c>
      <c r="V123" s="41">
        <v>45021.0</v>
      </c>
      <c r="W123" s="21">
        <v>57.13</v>
      </c>
      <c r="X123" s="20">
        <v>142825.0</v>
      </c>
      <c r="Y123" s="104"/>
      <c r="Z123" s="105"/>
      <c r="AA123" s="109"/>
      <c r="AB123" s="106"/>
    </row>
    <row r="124">
      <c r="A124" s="38"/>
      <c r="B124" s="32"/>
      <c r="C124" s="14">
        <f>I124/E138</f>
        <v>0.006259830966</v>
      </c>
      <c r="D124" s="16" t="s">
        <v>509</v>
      </c>
      <c r="E124" s="16" t="s">
        <v>510</v>
      </c>
      <c r="F124" s="17">
        <v>7.3</v>
      </c>
      <c r="G124" s="97">
        <v>5000.0</v>
      </c>
      <c r="H124" s="19">
        <f t="shared" si="68"/>
        <v>75600</v>
      </c>
      <c r="I124" s="20">
        <f t="shared" ref="I124:I126" si="75">H124+O124</f>
        <v>95500</v>
      </c>
      <c r="J124" s="21">
        <v>15.12</v>
      </c>
      <c r="K124" s="98"/>
      <c r="L124" s="122">
        <v>19.1</v>
      </c>
      <c r="M124" s="100">
        <f t="shared" si="69"/>
        <v>3.98</v>
      </c>
      <c r="N124" s="101">
        <f t="shared" ref="N124:N126" si="76">L124/J124-1</f>
        <v>0.2632275132</v>
      </c>
      <c r="O124" s="102">
        <f t="shared" si="71"/>
        <v>19900</v>
      </c>
      <c r="P124" s="32"/>
      <c r="Q124" s="32"/>
      <c r="R124" s="21"/>
      <c r="S124" s="15"/>
      <c r="T124" s="15"/>
      <c r="U124" s="15"/>
      <c r="V124" s="41"/>
      <c r="W124" s="21"/>
      <c r="X124" s="20"/>
      <c r="Y124" s="104" t="s">
        <v>511</v>
      </c>
      <c r="Z124" s="105">
        <v>45090.0</v>
      </c>
      <c r="AA124" s="109">
        <v>15.12</v>
      </c>
      <c r="AB124" s="106">
        <v>75600.0</v>
      </c>
    </row>
    <row r="125">
      <c r="A125" s="38"/>
      <c r="B125" s="32"/>
      <c r="C125" s="14">
        <f>I125/E138</f>
        <v>0.006816988696</v>
      </c>
      <c r="D125" s="15" t="s">
        <v>512</v>
      </c>
      <c r="E125" s="15" t="s">
        <v>195</v>
      </c>
      <c r="F125" s="17">
        <v>7.7</v>
      </c>
      <c r="G125" s="97">
        <v>20000.0</v>
      </c>
      <c r="H125" s="19">
        <f t="shared" si="68"/>
        <v>89980</v>
      </c>
      <c r="I125" s="20">
        <f t="shared" si="75"/>
        <v>104000</v>
      </c>
      <c r="J125" s="21">
        <v>4.499</v>
      </c>
      <c r="K125" s="98"/>
      <c r="L125" s="122">
        <v>5.2</v>
      </c>
      <c r="M125" s="100">
        <f t="shared" si="69"/>
        <v>0.701</v>
      </c>
      <c r="N125" s="101">
        <f t="shared" si="76"/>
        <v>0.1558124028</v>
      </c>
      <c r="O125" s="102">
        <f t="shared" si="71"/>
        <v>14020</v>
      </c>
      <c r="P125" s="32"/>
      <c r="Q125" s="32"/>
      <c r="R125" s="21"/>
      <c r="S125" s="15"/>
      <c r="T125" s="15"/>
      <c r="U125" s="15"/>
      <c r="V125" s="41"/>
      <c r="W125" s="21"/>
      <c r="X125" s="20"/>
      <c r="Y125" s="104" t="s">
        <v>196</v>
      </c>
      <c r="Z125" s="105">
        <v>45089.0</v>
      </c>
      <c r="AA125" s="109">
        <v>4.499</v>
      </c>
      <c r="AB125" s="106">
        <v>89980.0</v>
      </c>
    </row>
    <row r="126">
      <c r="A126" s="38"/>
      <c r="B126" s="32"/>
      <c r="C126" s="14">
        <f>I126/E138</f>
        <v>0.01022548304</v>
      </c>
      <c r="D126" s="15" t="s">
        <v>512</v>
      </c>
      <c r="E126" s="15" t="s">
        <v>195</v>
      </c>
      <c r="F126" s="17">
        <v>7.7</v>
      </c>
      <c r="G126" s="97">
        <v>30000.0</v>
      </c>
      <c r="H126" s="19">
        <f t="shared" si="68"/>
        <v>183300</v>
      </c>
      <c r="I126" s="20">
        <f t="shared" si="75"/>
        <v>156000</v>
      </c>
      <c r="J126" s="21">
        <v>6.11</v>
      </c>
      <c r="K126" s="98"/>
      <c r="L126" s="122">
        <v>5.2</v>
      </c>
      <c r="M126" s="100">
        <f t="shared" si="69"/>
        <v>-0.91</v>
      </c>
      <c r="N126" s="101">
        <f t="shared" si="76"/>
        <v>-0.1489361702</v>
      </c>
      <c r="O126" s="102">
        <f t="shared" si="71"/>
        <v>-27300</v>
      </c>
      <c r="P126" s="32"/>
      <c r="Q126" s="32"/>
      <c r="R126" s="21"/>
      <c r="S126" s="15"/>
      <c r="T126" s="15"/>
      <c r="U126" s="15"/>
      <c r="V126" s="41"/>
      <c r="W126" s="21"/>
      <c r="X126" s="20"/>
      <c r="Y126" s="104" t="s">
        <v>196</v>
      </c>
      <c r="Z126" s="105">
        <v>45026.0</v>
      </c>
      <c r="AA126" s="109">
        <v>6.11</v>
      </c>
      <c r="AB126" s="106">
        <v>183300.0</v>
      </c>
    </row>
    <row r="127">
      <c r="A127" s="38"/>
      <c r="B127" s="32"/>
      <c r="C127" s="14">
        <f>I127/E138</f>
        <v>0</v>
      </c>
      <c r="D127" s="15" t="s">
        <v>512</v>
      </c>
      <c r="E127" s="15" t="s">
        <v>195</v>
      </c>
      <c r="F127" s="17">
        <v>7.7</v>
      </c>
      <c r="G127" s="97">
        <v>20000.0</v>
      </c>
      <c r="H127" s="19">
        <f t="shared" si="68"/>
        <v>126000</v>
      </c>
      <c r="I127" s="20">
        <v>0.0</v>
      </c>
      <c r="J127" s="21">
        <v>6.3</v>
      </c>
      <c r="K127" s="98"/>
      <c r="L127" s="122">
        <v>5.2</v>
      </c>
      <c r="M127" s="100">
        <f t="shared" si="69"/>
        <v>-1.1</v>
      </c>
      <c r="N127" s="101">
        <f>R127/J127-1</f>
        <v>-0.007936507937</v>
      </c>
      <c r="O127" s="102">
        <f t="shared" si="71"/>
        <v>-1000</v>
      </c>
      <c r="P127" s="32"/>
      <c r="Q127" s="32"/>
      <c r="R127" s="21">
        <v>6.25</v>
      </c>
      <c r="S127" s="15"/>
      <c r="T127" s="15"/>
      <c r="U127" s="15" t="s">
        <v>196</v>
      </c>
      <c r="V127" s="41">
        <v>45036.0</v>
      </c>
      <c r="W127" s="21">
        <v>6.25</v>
      </c>
      <c r="X127" s="20">
        <v>125000.0</v>
      </c>
      <c r="Y127" s="104"/>
      <c r="Z127" s="105"/>
      <c r="AA127" s="109"/>
      <c r="AB127" s="106"/>
    </row>
    <row r="128">
      <c r="A128" s="38"/>
      <c r="B128" s="32"/>
      <c r="C128" s="14">
        <f>I128/E138</f>
        <v>0.01104483265</v>
      </c>
      <c r="D128" s="15" t="s">
        <v>513</v>
      </c>
      <c r="E128" s="15" t="s">
        <v>514</v>
      </c>
      <c r="F128" s="17">
        <v>7.5</v>
      </c>
      <c r="G128" s="97">
        <v>1000.0</v>
      </c>
      <c r="H128" s="19">
        <f t="shared" si="68"/>
        <v>157100</v>
      </c>
      <c r="I128" s="20">
        <f t="shared" ref="I128:I130" si="77">H128+O128</f>
        <v>168500</v>
      </c>
      <c r="J128" s="21">
        <v>157.1</v>
      </c>
      <c r="K128" s="98"/>
      <c r="L128" s="122">
        <v>168.5</v>
      </c>
      <c r="M128" s="100">
        <f t="shared" si="69"/>
        <v>11.4</v>
      </c>
      <c r="N128" s="101">
        <f t="shared" ref="N128:N130" si="78">L128/J128-1</f>
        <v>0.07256524507</v>
      </c>
      <c r="O128" s="102">
        <f t="shared" si="71"/>
        <v>11400</v>
      </c>
      <c r="P128" s="32"/>
      <c r="Q128" s="32"/>
      <c r="R128" s="21"/>
      <c r="S128" s="15"/>
      <c r="T128" s="15"/>
      <c r="U128" s="15"/>
      <c r="V128" s="41"/>
      <c r="W128" s="21"/>
      <c r="X128" s="20"/>
      <c r="Y128" s="104"/>
      <c r="Z128" s="105"/>
      <c r="AA128" s="109"/>
      <c r="AB128" s="106"/>
    </row>
    <row r="129">
      <c r="A129" s="38"/>
      <c r="B129" s="32"/>
      <c r="C129" s="14">
        <f>I129/E138</f>
        <v>0.0111431546</v>
      </c>
      <c r="D129" s="16" t="s">
        <v>417</v>
      </c>
      <c r="E129" s="16" t="s">
        <v>418</v>
      </c>
      <c r="F129" s="17">
        <v>7.3</v>
      </c>
      <c r="G129" s="97">
        <v>5000.0</v>
      </c>
      <c r="H129" s="19">
        <f t="shared" si="68"/>
        <v>116400</v>
      </c>
      <c r="I129" s="20">
        <f t="shared" si="77"/>
        <v>170000</v>
      </c>
      <c r="J129" s="21">
        <v>23.28</v>
      </c>
      <c r="K129" s="98"/>
      <c r="L129" s="122">
        <v>34.0</v>
      </c>
      <c r="M129" s="100">
        <f t="shared" si="69"/>
        <v>10.72</v>
      </c>
      <c r="N129" s="101">
        <f t="shared" si="78"/>
        <v>0.4604810997</v>
      </c>
      <c r="O129" s="102">
        <f t="shared" si="71"/>
        <v>53600</v>
      </c>
      <c r="P129" s="32"/>
      <c r="Q129" s="32"/>
      <c r="R129" s="21"/>
      <c r="S129" s="15"/>
      <c r="T129" s="15"/>
      <c r="U129" s="15"/>
      <c r="V129" s="41"/>
      <c r="W129" s="21"/>
      <c r="X129" s="20"/>
      <c r="Y129" s="104" t="s">
        <v>419</v>
      </c>
      <c r="Z129" s="105">
        <v>45087.0</v>
      </c>
      <c r="AA129" s="109">
        <v>23.28</v>
      </c>
      <c r="AB129" s="106">
        <v>116400.0</v>
      </c>
    </row>
    <row r="130">
      <c r="A130" s="38"/>
      <c r="B130" s="32"/>
      <c r="C130" s="14">
        <f>I130/E138</f>
        <v>0.0111431546</v>
      </c>
      <c r="D130" s="16" t="s">
        <v>417</v>
      </c>
      <c r="E130" s="16" t="s">
        <v>418</v>
      </c>
      <c r="F130" s="17">
        <v>7.3</v>
      </c>
      <c r="G130" s="97">
        <v>5000.0</v>
      </c>
      <c r="H130" s="19">
        <f t="shared" si="68"/>
        <v>193500</v>
      </c>
      <c r="I130" s="20">
        <f t="shared" si="77"/>
        <v>170000</v>
      </c>
      <c r="J130" s="21">
        <v>38.7</v>
      </c>
      <c r="K130" s="98"/>
      <c r="L130" s="122">
        <v>34.0</v>
      </c>
      <c r="M130" s="100">
        <f t="shared" si="69"/>
        <v>-4.7</v>
      </c>
      <c r="N130" s="101">
        <f t="shared" si="78"/>
        <v>-0.1214470284</v>
      </c>
      <c r="O130" s="102">
        <f t="shared" si="71"/>
        <v>-23500</v>
      </c>
      <c r="P130" s="32"/>
      <c r="Q130" s="32"/>
      <c r="R130" s="21"/>
      <c r="S130" s="15"/>
      <c r="T130" s="15"/>
      <c r="U130" s="15"/>
      <c r="V130" s="41"/>
      <c r="W130" s="21"/>
      <c r="X130" s="20"/>
      <c r="Y130" s="104"/>
      <c r="Z130" s="105"/>
      <c r="AA130" s="109"/>
      <c r="AB130" s="106"/>
    </row>
    <row r="131">
      <c r="A131" s="48"/>
      <c r="B131" s="6"/>
      <c r="C131" s="6" t="s">
        <v>89</v>
      </c>
      <c r="D131" s="53"/>
      <c r="E131" s="53"/>
      <c r="F131" s="53"/>
      <c r="G131" s="11"/>
      <c r="H131" s="49">
        <f t="shared" ref="H131:I131" si="79">SUM(H108:H130)</f>
        <v>2914385</v>
      </c>
      <c r="I131" s="49">
        <f t="shared" si="79"/>
        <v>1339800</v>
      </c>
      <c r="J131" s="54"/>
      <c r="K131" s="53"/>
      <c r="L131" s="6"/>
      <c r="M131" s="53"/>
      <c r="N131" s="71">
        <f>O131/H131</f>
        <v>0.1255650849</v>
      </c>
      <c r="O131" s="49">
        <f>SUM(O108:O130)</f>
        <v>365945</v>
      </c>
      <c r="P131" s="53"/>
      <c r="Q131" s="53"/>
      <c r="R131" s="173"/>
      <c r="S131" s="6"/>
      <c r="T131" s="6"/>
      <c r="U131" s="6" t="s">
        <v>89</v>
      </c>
      <c r="V131" s="53"/>
      <c r="W131" s="54"/>
      <c r="X131" s="49">
        <f>SUM(X108:X130)</f>
        <v>1940530</v>
      </c>
      <c r="Y131" s="6" t="s">
        <v>89</v>
      </c>
      <c r="Z131" s="53"/>
      <c r="AA131" s="174"/>
      <c r="AB131" s="49">
        <f>SUM(AB108:AB130)</f>
        <v>1709325</v>
      </c>
    </row>
    <row r="132">
      <c r="A132" s="48" t="s">
        <v>227</v>
      </c>
      <c r="B132" s="6" t="s">
        <v>228</v>
      </c>
      <c r="C132" s="6" t="s">
        <v>229</v>
      </c>
      <c r="D132" s="5" t="s">
        <v>230</v>
      </c>
      <c r="E132" s="5" t="s">
        <v>551</v>
      </c>
      <c r="F132" s="6" t="s">
        <v>14</v>
      </c>
      <c r="G132" s="5" t="s">
        <v>232</v>
      </c>
      <c r="H132" s="6" t="s">
        <v>233</v>
      </c>
      <c r="I132" s="5" t="s">
        <v>422</v>
      </c>
      <c r="J132" s="5" t="s">
        <v>235</v>
      </c>
      <c r="K132" s="6" t="s">
        <v>423</v>
      </c>
      <c r="L132" s="53"/>
      <c r="M132" s="53"/>
      <c r="N132" s="53"/>
      <c r="O132" s="53"/>
      <c r="P132" s="53"/>
      <c r="Q132" s="175"/>
      <c r="R132" s="176"/>
      <c r="S132" s="177"/>
      <c r="T132" s="175"/>
      <c r="U132" s="175"/>
      <c r="V132" s="175"/>
      <c r="W132" s="175"/>
      <c r="X132" s="175"/>
      <c r="Y132" s="175"/>
      <c r="Z132" s="175"/>
      <c r="AA132" s="175"/>
      <c r="AB132" s="175"/>
    </row>
    <row r="133">
      <c r="A133" s="178" t="s">
        <v>424</v>
      </c>
      <c r="B133" s="14">
        <f>E133/E138</f>
        <v>0.6556723278</v>
      </c>
      <c r="C133" s="20">
        <v>1.2469449E7</v>
      </c>
      <c r="D133" s="277">
        <v>8874405.0</v>
      </c>
      <c r="E133" s="20">
        <v>1.0002939E7</v>
      </c>
      <c r="F133" s="25">
        <f t="shared" ref="F133:F134" si="80">G133/D133</f>
        <v>0.07458302838</v>
      </c>
      <c r="G133" s="180">
        <v>661880.0</v>
      </c>
      <c r="H133" s="180">
        <f>S87+S106+S83+S75+S67+S34+S69+S46+S55</f>
        <v>282150</v>
      </c>
      <c r="I133" s="179">
        <f>Q106+Q87+Q83+Q75+Q67+Q34</f>
        <v>44460</v>
      </c>
      <c r="J133" s="180">
        <f>T59+T26</f>
        <v>17450</v>
      </c>
      <c r="K133" s="179">
        <f>G133+H133+I133+J133</f>
        <v>1005940</v>
      </c>
      <c r="L133" s="32"/>
      <c r="M133" s="32"/>
      <c r="N133" s="32"/>
      <c r="O133" s="32"/>
      <c r="P133" s="32"/>
      <c r="Q133" s="175"/>
      <c r="R133" s="176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</row>
    <row r="134">
      <c r="A134" s="178" t="s">
        <v>425</v>
      </c>
      <c r="B134" s="14">
        <f>E134/E138</f>
        <v>0.2249639044</v>
      </c>
      <c r="C134" s="20">
        <v>4208910.0</v>
      </c>
      <c r="D134" s="20">
        <v>3547420.0</v>
      </c>
      <c r="E134" s="20">
        <v>3432050.0</v>
      </c>
      <c r="F134" s="25">
        <f t="shared" si="80"/>
        <v>-0.06983103213</v>
      </c>
      <c r="G134" s="180">
        <v>-247720.0</v>
      </c>
      <c r="H134" s="182"/>
      <c r="I134" s="182"/>
      <c r="J134" s="182"/>
      <c r="K134" s="25">
        <f>K133/D133</f>
        <v>0.1133529515</v>
      </c>
      <c r="L134" s="32"/>
      <c r="M134" s="32"/>
      <c r="N134" s="32"/>
      <c r="O134" s="32"/>
      <c r="P134" s="32"/>
      <c r="Q134" s="175"/>
      <c r="R134" s="176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</row>
    <row r="135">
      <c r="A135" s="89" t="s">
        <v>542</v>
      </c>
      <c r="B135" s="14">
        <f>E135/E138</f>
        <v>0</v>
      </c>
      <c r="C135" s="20">
        <v>433240.0</v>
      </c>
      <c r="D135" s="20">
        <v>433240.0</v>
      </c>
      <c r="E135" s="19">
        <f>I87</f>
        <v>0</v>
      </c>
      <c r="F135" s="25">
        <f>G135/C135</f>
        <v>-0.03259163512</v>
      </c>
      <c r="G135" s="180">
        <v>-14120.0</v>
      </c>
      <c r="H135" s="186"/>
      <c r="I135" s="186"/>
      <c r="J135" s="186"/>
      <c r="K135" s="186"/>
      <c r="L135" s="32"/>
      <c r="M135" s="32"/>
      <c r="N135" s="32"/>
      <c r="O135" s="32"/>
      <c r="P135" s="32"/>
      <c r="Q135" s="175"/>
      <c r="R135" s="176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</row>
    <row r="136">
      <c r="A136" s="89" t="s">
        <v>240</v>
      </c>
      <c r="B136" s="14">
        <f>E136/E138</f>
        <v>0.08782116784</v>
      </c>
      <c r="C136" s="20">
        <v>2914285.0</v>
      </c>
      <c r="D136" s="20">
        <v>1173800.0</v>
      </c>
      <c r="E136" s="20">
        <v>1339800.0</v>
      </c>
      <c r="F136" s="335">
        <v>0.1256</v>
      </c>
      <c r="G136" s="180">
        <v>365945.0</v>
      </c>
      <c r="H136" s="186"/>
      <c r="I136" s="187"/>
      <c r="J136" s="186"/>
      <c r="K136" s="186"/>
      <c r="L136" s="32"/>
      <c r="M136" s="32"/>
      <c r="N136" s="32"/>
      <c r="O136" s="32"/>
      <c r="P136" s="32"/>
      <c r="Q136" s="175"/>
      <c r="R136" s="176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</row>
    <row r="137">
      <c r="A137" s="89" t="s">
        <v>461</v>
      </c>
      <c r="B137" s="14">
        <f>E137/E138</f>
        <v>0.03154259999</v>
      </c>
      <c r="C137" s="29" t="s">
        <v>128</v>
      </c>
      <c r="D137" s="20">
        <v>86183.0</v>
      </c>
      <c r="E137" s="20">
        <v>481214.0</v>
      </c>
      <c r="F137" s="270" t="s">
        <v>128</v>
      </c>
      <c r="G137" s="180">
        <v>344060.0</v>
      </c>
      <c r="H137" s="189" t="s">
        <v>462</v>
      </c>
      <c r="I137" s="189" t="s">
        <v>243</v>
      </c>
      <c r="J137" s="189" t="s">
        <v>244</v>
      </c>
      <c r="K137" s="189" t="s">
        <v>465</v>
      </c>
      <c r="L137" s="32"/>
      <c r="M137" s="32"/>
      <c r="N137" s="32"/>
      <c r="O137" s="32"/>
      <c r="P137" s="32"/>
      <c r="Q137" s="175"/>
      <c r="R137" s="176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</row>
    <row r="138">
      <c r="A138" s="48" t="s">
        <v>246</v>
      </c>
      <c r="B138" s="190">
        <v>1.0</v>
      </c>
      <c r="C138" s="49" t="s">
        <v>128</v>
      </c>
      <c r="D138" s="191">
        <f>SUM(D133:D137)</f>
        <v>14115048</v>
      </c>
      <c r="E138" s="191">
        <v>1.5256003E7</v>
      </c>
      <c r="F138" s="25">
        <f>G138/D138</f>
        <v>0.07864266561</v>
      </c>
      <c r="G138" s="191">
        <v>1110045.0</v>
      </c>
      <c r="H138" s="192">
        <v>1.1602008E7</v>
      </c>
      <c r="I138" s="193">
        <f>E138</f>
        <v>15256003</v>
      </c>
      <c r="J138" s="11">
        <f>I138-H138</f>
        <v>3653995</v>
      </c>
      <c r="K138" s="182">
        <f>J138/H138</f>
        <v>0.3149450509</v>
      </c>
      <c r="L138" s="53"/>
      <c r="M138" s="53"/>
      <c r="N138" s="53"/>
      <c r="O138" s="53"/>
      <c r="P138" s="53"/>
      <c r="Q138" s="175"/>
      <c r="R138" s="176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</row>
    <row r="139">
      <c r="A139" s="194" t="s">
        <v>247</v>
      </c>
      <c r="B139" s="196"/>
      <c r="C139" s="196"/>
      <c r="D139" s="196"/>
      <c r="E139" s="196"/>
      <c r="F139" s="196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</row>
    <row r="140">
      <c r="A140" s="198" t="s">
        <v>248</v>
      </c>
      <c r="B140" s="199"/>
      <c r="C140" s="200" t="s">
        <v>552</v>
      </c>
      <c r="D140" s="200" t="s">
        <v>553</v>
      </c>
      <c r="E140" s="200" t="s">
        <v>554</v>
      </c>
      <c r="F140" s="201" t="s">
        <v>252</v>
      </c>
      <c r="G140" s="202"/>
      <c r="H140" s="337"/>
      <c r="I140" s="338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</row>
    <row r="141">
      <c r="A141" s="89" t="s">
        <v>265</v>
      </c>
      <c r="B141" s="16" t="s">
        <v>266</v>
      </c>
      <c r="C141" s="204">
        <v>33274.0</v>
      </c>
      <c r="D141" s="204">
        <v>34408.0</v>
      </c>
      <c r="E141" s="206">
        <f t="shared" ref="E141:E145" si="81">D141-C141</f>
        <v>1134</v>
      </c>
      <c r="F141" s="207">
        <f t="shared" ref="F141:F145" si="82">D141/C141-1</f>
        <v>0.03408066358</v>
      </c>
      <c r="G141" s="208"/>
      <c r="H141" s="337"/>
      <c r="I141" s="338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</row>
    <row r="142">
      <c r="A142" s="89" t="s">
        <v>267</v>
      </c>
      <c r="B142" s="16" t="s">
        <v>268</v>
      </c>
      <c r="C142" s="204">
        <v>4109.0</v>
      </c>
      <c r="D142" s="204">
        <v>4450.0</v>
      </c>
      <c r="E142" s="206">
        <f t="shared" si="81"/>
        <v>341</v>
      </c>
      <c r="F142" s="207">
        <f t="shared" si="82"/>
        <v>0.08298856169</v>
      </c>
      <c r="G142" s="208"/>
      <c r="H142" s="337"/>
      <c r="I142" s="339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</row>
    <row r="143">
      <c r="A143" s="89" t="s">
        <v>269</v>
      </c>
      <c r="B143" s="16" t="s">
        <v>270</v>
      </c>
      <c r="C143" s="204">
        <v>12222.0</v>
      </c>
      <c r="D143" s="204">
        <v>13788.0</v>
      </c>
      <c r="E143" s="206">
        <f t="shared" si="81"/>
        <v>1566</v>
      </c>
      <c r="F143" s="207">
        <f t="shared" si="82"/>
        <v>0.1281296024</v>
      </c>
      <c r="G143" s="208"/>
      <c r="H143" s="340"/>
      <c r="I143" s="175"/>
      <c r="J143" s="338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</row>
    <row r="144">
      <c r="A144" s="89" t="s">
        <v>271</v>
      </c>
      <c r="B144" s="16" t="s">
        <v>272</v>
      </c>
      <c r="C144" s="204">
        <v>1802.0</v>
      </c>
      <c r="D144" s="204">
        <v>1889.0</v>
      </c>
      <c r="E144" s="206">
        <f t="shared" si="81"/>
        <v>87</v>
      </c>
      <c r="F144" s="207">
        <f t="shared" si="82"/>
        <v>0.04827968923</v>
      </c>
      <c r="G144" s="208"/>
      <c r="H144" s="175"/>
      <c r="I144" s="175"/>
      <c r="J144" s="338"/>
      <c r="K144" s="175"/>
      <c r="L144" s="338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</row>
    <row r="145">
      <c r="A145" s="89" t="s">
        <v>273</v>
      </c>
      <c r="B145" s="16" t="s">
        <v>274</v>
      </c>
      <c r="C145" s="204">
        <v>15375.0</v>
      </c>
      <c r="D145" s="204">
        <v>15876.0</v>
      </c>
      <c r="E145" s="206">
        <f t="shared" si="81"/>
        <v>501</v>
      </c>
      <c r="F145" s="207">
        <f t="shared" si="82"/>
        <v>0.03258536585</v>
      </c>
      <c r="G145" s="208"/>
      <c r="H145" s="175"/>
      <c r="I145" s="175"/>
      <c r="J145" s="338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</row>
    <row r="147">
      <c r="A147" s="226" t="s">
        <v>248</v>
      </c>
      <c r="B147" s="227"/>
      <c r="C147" s="228" t="s">
        <v>523</v>
      </c>
      <c r="D147" s="228" t="s">
        <v>553</v>
      </c>
      <c r="E147" s="228" t="s">
        <v>371</v>
      </c>
      <c r="F147" s="228" t="s">
        <v>277</v>
      </c>
    </row>
    <row r="148">
      <c r="A148" s="231" t="s">
        <v>265</v>
      </c>
      <c r="B148" s="231" t="s">
        <v>266</v>
      </c>
      <c r="C148" s="232">
        <v>33147.0</v>
      </c>
      <c r="D148" s="232">
        <v>34408.0</v>
      </c>
      <c r="E148" s="234">
        <f t="shared" ref="E148:E152" si="83">D148-C148</f>
        <v>1261</v>
      </c>
      <c r="F148" s="235">
        <f t="shared" ref="F148:F152" si="84">D148/C148-1</f>
        <v>0.03804265846</v>
      </c>
    </row>
    <row r="149">
      <c r="A149" s="231" t="s">
        <v>267</v>
      </c>
      <c r="B149" s="231" t="s">
        <v>268</v>
      </c>
      <c r="C149" s="232">
        <v>3840.0</v>
      </c>
      <c r="D149" s="232">
        <v>4450.0</v>
      </c>
      <c r="E149" s="234">
        <f t="shared" si="83"/>
        <v>610</v>
      </c>
      <c r="F149" s="235">
        <f t="shared" si="84"/>
        <v>0.1588541667</v>
      </c>
    </row>
    <row r="150">
      <c r="A150" s="231" t="s">
        <v>269</v>
      </c>
      <c r="B150" s="231" t="s">
        <v>270</v>
      </c>
      <c r="C150" s="232">
        <v>10466.0</v>
      </c>
      <c r="D150" s="232">
        <v>13788.0</v>
      </c>
      <c r="E150" s="234">
        <f t="shared" si="83"/>
        <v>3322</v>
      </c>
      <c r="F150" s="235">
        <f t="shared" si="84"/>
        <v>0.3174087521</v>
      </c>
    </row>
    <row r="151">
      <c r="A151" s="231" t="s">
        <v>271</v>
      </c>
      <c r="B151" s="231" t="s">
        <v>272</v>
      </c>
      <c r="C151" s="232">
        <v>1761.0</v>
      </c>
      <c r="D151" s="232">
        <v>1889.0</v>
      </c>
      <c r="E151" s="234">
        <f t="shared" si="83"/>
        <v>128</v>
      </c>
      <c r="F151" s="235">
        <f t="shared" si="84"/>
        <v>0.07268597388</v>
      </c>
    </row>
    <row r="152">
      <c r="A152" s="231" t="s">
        <v>273</v>
      </c>
      <c r="B152" s="231" t="s">
        <v>274</v>
      </c>
      <c r="C152" s="232">
        <v>15184.0</v>
      </c>
      <c r="D152" s="232">
        <v>15876.0</v>
      </c>
      <c r="E152" s="234">
        <f t="shared" si="83"/>
        <v>692</v>
      </c>
      <c r="F152" s="235">
        <f t="shared" si="84"/>
        <v>0.04557428872</v>
      </c>
    </row>
    <row r="154">
      <c r="A154" s="242" t="s">
        <v>278</v>
      </c>
      <c r="B154" s="243" t="s">
        <v>555</v>
      </c>
      <c r="C154" s="244"/>
      <c r="D154" s="244"/>
    </row>
    <row r="155">
      <c r="A155" s="242" t="s">
        <v>280</v>
      </c>
      <c r="B155" s="243" t="s">
        <v>281</v>
      </c>
      <c r="C155" s="244"/>
      <c r="D155" s="244"/>
    </row>
    <row r="156">
      <c r="A156" s="242" t="s">
        <v>556</v>
      </c>
      <c r="B156" s="246" t="s">
        <v>283</v>
      </c>
      <c r="C156" s="244"/>
      <c r="D156" s="244"/>
    </row>
  </sheetData>
  <hyperlinks>
    <hyperlink r:id="rId1" ref="B154"/>
    <hyperlink r:id="rId2" ref="B155"/>
    <hyperlink r:id="rId3" ref="B156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13"/>
    <col customWidth="1" min="3" max="3" width="19.88"/>
    <col customWidth="1" min="4" max="4" width="20.63"/>
    <col customWidth="1" min="5" max="5" width="24.13"/>
    <col customWidth="1" min="6" max="6" width="10.63"/>
    <col customWidth="1" min="7" max="7" width="12.25"/>
    <col customWidth="1" min="8" max="8" width="22.63"/>
    <col customWidth="1" min="9" max="9" width="23.75"/>
    <col customWidth="1" min="10" max="10" width="16.5"/>
    <col customWidth="1" min="11" max="11" width="18.13"/>
    <col customWidth="1" min="12" max="12" width="12.25"/>
    <col customWidth="1" min="13" max="13" width="10.5"/>
    <col customWidth="1" min="14" max="14" width="11.13"/>
    <col customWidth="1" min="15" max="15" width="10.63"/>
    <col customWidth="1" min="16" max="16" width="8.88"/>
    <col customWidth="1" min="17" max="17" width="7.75"/>
    <col customWidth="1" min="18" max="18" width="9.63"/>
    <col customWidth="1" min="19" max="19" width="13.25"/>
    <col customWidth="1" min="20" max="20" width="7.63"/>
    <col customWidth="1" min="21" max="21" width="10.5"/>
    <col customWidth="1" min="22" max="22" width="11.38"/>
    <col customWidth="1" min="23" max="23" width="13.0"/>
    <col customWidth="1" min="24" max="24" width="9.75"/>
    <col customWidth="1" min="25" max="25" width="10.25"/>
    <col customWidth="1" min="26" max="26" width="10.88"/>
  </cols>
  <sheetData>
    <row r="1">
      <c r="A1" s="82" t="s">
        <v>557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>
      <c r="A2" s="351" t="s">
        <v>374</v>
      </c>
      <c r="B2" s="352" t="s">
        <v>435</v>
      </c>
      <c r="C2" s="352" t="s">
        <v>2</v>
      </c>
      <c r="D2" s="352" t="s">
        <v>3</v>
      </c>
      <c r="E2" s="352" t="s">
        <v>4</v>
      </c>
      <c r="F2" s="352" t="s">
        <v>5</v>
      </c>
      <c r="G2" s="352" t="s">
        <v>6</v>
      </c>
      <c r="H2" s="352" t="s">
        <v>7</v>
      </c>
      <c r="I2" s="353" t="s">
        <v>8</v>
      </c>
      <c r="J2" s="353" t="s">
        <v>9</v>
      </c>
      <c r="K2" s="354" t="s">
        <v>10</v>
      </c>
      <c r="L2" s="354" t="s">
        <v>11</v>
      </c>
      <c r="M2" s="355" t="s">
        <v>476</v>
      </c>
      <c r="N2" s="355" t="s">
        <v>13</v>
      </c>
      <c r="O2" s="352" t="s">
        <v>14</v>
      </c>
      <c r="P2" s="355" t="s">
        <v>15</v>
      </c>
      <c r="Q2" s="352" t="s">
        <v>16</v>
      </c>
      <c r="R2" s="356" t="s">
        <v>17</v>
      </c>
      <c r="S2" s="352" t="s">
        <v>21</v>
      </c>
      <c r="T2" s="352" t="s">
        <v>22</v>
      </c>
      <c r="U2" s="357" t="s">
        <v>23</v>
      </c>
      <c r="V2" s="357" t="s">
        <v>24</v>
      </c>
      <c r="W2" s="352" t="s">
        <v>25</v>
      </c>
      <c r="X2" s="352" t="s">
        <v>26</v>
      </c>
      <c r="Y2" s="352" t="s">
        <v>27</v>
      </c>
      <c r="Z2" s="358" t="s">
        <v>28</v>
      </c>
    </row>
    <row r="3">
      <c r="A3" s="351" t="s">
        <v>29</v>
      </c>
      <c r="B3" s="352" t="s">
        <v>29</v>
      </c>
      <c r="C3" s="116">
        <f>I3/E182</f>
        <v>0.05460555288</v>
      </c>
      <c r="D3" s="304" t="s">
        <v>30</v>
      </c>
      <c r="E3" s="304" t="s">
        <v>31</v>
      </c>
      <c r="F3" s="359">
        <v>8.0</v>
      </c>
      <c r="G3" s="119">
        <v>4000.0</v>
      </c>
      <c r="H3" s="300">
        <f t="shared" ref="H3:H36" si="1">G3*J3</f>
        <v>354920</v>
      </c>
      <c r="I3" s="300">
        <f>H3+P3</f>
        <v>770760</v>
      </c>
      <c r="J3" s="141">
        <v>88.73</v>
      </c>
      <c r="K3" s="121">
        <f>IFERROR(__xludf.DUMMYFUNCTION("GOOGLEFINANCE(E3,""changepct"")"),-0.7)</f>
        <v>-0.7</v>
      </c>
      <c r="L3" s="302">
        <f>IFERROR(__xludf.DUMMYFUNCTION("googlefinance(E3,""price"")"),192.69)</f>
        <v>192.69</v>
      </c>
      <c r="M3" s="126"/>
      <c r="N3" s="301">
        <f t="shared" ref="N3:N36" si="2">L3-J3</f>
        <v>103.96</v>
      </c>
      <c r="O3" s="139">
        <f>L3/J3-1</f>
        <v>1.171644314</v>
      </c>
      <c r="P3" s="300">
        <f t="shared" ref="P3:P36" si="3">H3*O3</f>
        <v>415840</v>
      </c>
      <c r="Q3" s="124"/>
      <c r="R3" s="125"/>
      <c r="S3" s="360"/>
      <c r="T3" s="298"/>
      <c r="U3" s="126"/>
      <c r="V3" s="125"/>
      <c r="W3" s="360"/>
      <c r="X3" s="115"/>
      <c r="Y3" s="126"/>
      <c r="Z3" s="129"/>
    </row>
    <row r="4">
      <c r="A4" s="361">
        <f>B177</f>
        <v>0.5798372064</v>
      </c>
      <c r="B4" s="362">
        <f>I37/E182</f>
        <v>0.8033203288</v>
      </c>
      <c r="C4" s="116">
        <f>I4/E182</f>
        <v>0</v>
      </c>
      <c r="D4" s="286" t="s">
        <v>58</v>
      </c>
      <c r="E4" s="304" t="s">
        <v>59</v>
      </c>
      <c r="F4" s="359">
        <v>7.4</v>
      </c>
      <c r="G4" s="119">
        <v>2000.0</v>
      </c>
      <c r="H4" s="300">
        <f t="shared" si="1"/>
        <v>240680</v>
      </c>
      <c r="I4" s="133">
        <v>0.0</v>
      </c>
      <c r="J4" s="141">
        <v>120.34</v>
      </c>
      <c r="K4" s="121">
        <f>IFERROR(__xludf.DUMMYFUNCTION("GOOGLEFINANCE(E4,""changepct"")"),-1.43)</f>
        <v>-1.43</v>
      </c>
      <c r="L4" s="302">
        <f>IFERROR(__xludf.DUMMYFUNCTION("googlefinance(E4,""price"")"),591.24)</f>
        <v>591.24</v>
      </c>
      <c r="M4" s="123">
        <v>189.82</v>
      </c>
      <c r="N4" s="301">
        <f t="shared" si="2"/>
        <v>470.9</v>
      </c>
      <c r="O4" s="139">
        <f>M4/J4-1</f>
        <v>0.577364135</v>
      </c>
      <c r="P4" s="300">
        <f t="shared" si="3"/>
        <v>138960</v>
      </c>
      <c r="Q4" s="124"/>
      <c r="R4" s="125"/>
      <c r="S4" s="127" t="s">
        <v>59</v>
      </c>
      <c r="T4" s="128">
        <v>44959.0</v>
      </c>
      <c r="U4" s="123">
        <v>189.82</v>
      </c>
      <c r="V4" s="129">
        <v>379640.0</v>
      </c>
      <c r="W4" s="360"/>
      <c r="X4" s="115"/>
      <c r="Y4" s="126"/>
      <c r="Z4" s="125"/>
    </row>
    <row r="5">
      <c r="A5" s="114"/>
      <c r="B5" s="115"/>
      <c r="C5" s="116">
        <f>I5/E182</f>
        <v>0.02047708233</v>
      </c>
      <c r="D5" s="304" t="s">
        <v>30</v>
      </c>
      <c r="E5" s="304" t="s">
        <v>31</v>
      </c>
      <c r="F5" s="359">
        <v>8.0</v>
      </c>
      <c r="G5" s="119">
        <v>1500.0</v>
      </c>
      <c r="H5" s="300">
        <f t="shared" si="1"/>
        <v>148890</v>
      </c>
      <c r="I5" s="133">
        <f>H5+P5</f>
        <v>289035</v>
      </c>
      <c r="J5" s="141">
        <v>99.26</v>
      </c>
      <c r="K5" s="121">
        <f>IFERROR(__xludf.DUMMYFUNCTION("GOOGLEFINANCE(E5,""changepct"")"),-0.7)</f>
        <v>-0.7</v>
      </c>
      <c r="L5" s="302">
        <f>IFERROR(__xludf.DUMMYFUNCTION("googlefinance(E5,""price"")"),192.69)</f>
        <v>192.69</v>
      </c>
      <c r="M5" s="141"/>
      <c r="N5" s="301">
        <f t="shared" si="2"/>
        <v>93.43</v>
      </c>
      <c r="O5" s="139">
        <f>L5/J5-1</f>
        <v>0.9412653637</v>
      </c>
      <c r="P5" s="300">
        <f t="shared" si="3"/>
        <v>140145</v>
      </c>
      <c r="Q5" s="124"/>
      <c r="R5" s="125"/>
      <c r="S5" s="127"/>
      <c r="T5" s="287"/>
      <c r="U5" s="120"/>
      <c r="V5" s="133"/>
      <c r="W5" s="127" t="s">
        <v>31</v>
      </c>
      <c r="X5" s="287">
        <v>44965.0</v>
      </c>
      <c r="Y5" s="120">
        <v>99.26</v>
      </c>
      <c r="Z5" s="133">
        <v>148890.0</v>
      </c>
    </row>
    <row r="6">
      <c r="A6" s="114"/>
      <c r="B6" s="115"/>
      <c r="C6" s="116">
        <f>I6/E182</f>
        <v>0</v>
      </c>
      <c r="D6" s="286" t="s">
        <v>58</v>
      </c>
      <c r="E6" s="304" t="s">
        <v>59</v>
      </c>
      <c r="F6" s="359">
        <v>7.4</v>
      </c>
      <c r="G6" s="119">
        <v>1000.0</v>
      </c>
      <c r="H6" s="300">
        <f t="shared" si="1"/>
        <v>189820</v>
      </c>
      <c r="I6" s="133">
        <v>0.0</v>
      </c>
      <c r="J6" s="141">
        <v>189.82</v>
      </c>
      <c r="K6" s="121">
        <f>IFERROR(__xludf.DUMMYFUNCTION("GOOGLEFINANCE(E6,""changepct"")"),-1.43)</f>
        <v>-1.43</v>
      </c>
      <c r="L6" s="302">
        <f>IFERROR(__xludf.DUMMYFUNCTION("googlefinance(E6,""price"")"),591.24)</f>
        <v>591.24</v>
      </c>
      <c r="M6" s="141">
        <v>190.93</v>
      </c>
      <c r="N6" s="301">
        <f t="shared" si="2"/>
        <v>401.42</v>
      </c>
      <c r="O6" s="139">
        <f>M6/J6-1</f>
        <v>0.005847645137</v>
      </c>
      <c r="P6" s="300">
        <f t="shared" si="3"/>
        <v>1110</v>
      </c>
      <c r="Q6" s="124"/>
      <c r="R6" s="125"/>
      <c r="S6" s="127" t="s">
        <v>59</v>
      </c>
      <c r="T6" s="287">
        <v>44999.0</v>
      </c>
      <c r="U6" s="120">
        <v>190.93</v>
      </c>
      <c r="V6" s="133">
        <v>190930.0</v>
      </c>
      <c r="W6" s="127" t="s">
        <v>59</v>
      </c>
      <c r="X6" s="287">
        <v>44959.0</v>
      </c>
      <c r="Y6" s="120">
        <v>189.82</v>
      </c>
      <c r="Z6" s="133">
        <v>189820.0</v>
      </c>
    </row>
    <row r="7">
      <c r="A7" s="114"/>
      <c r="B7" s="115"/>
      <c r="C7" s="116">
        <f>I7/E182</f>
        <v>0.01859292296</v>
      </c>
      <c r="D7" s="284" t="s">
        <v>298</v>
      </c>
      <c r="E7" s="284" t="s">
        <v>299</v>
      </c>
      <c r="F7" s="118">
        <v>7.5</v>
      </c>
      <c r="G7" s="119">
        <v>3000.0</v>
      </c>
      <c r="H7" s="300">
        <f t="shared" si="1"/>
        <v>177510</v>
      </c>
      <c r="I7" s="133">
        <f>H7+P7</f>
        <v>262440</v>
      </c>
      <c r="J7" s="141">
        <v>59.17</v>
      </c>
      <c r="K7" s="121">
        <f>IFERROR(__xludf.DUMMYFUNCTION("GOOGLEFINANCE(E7,""changepct"")"),-1.67)</f>
        <v>-1.67</v>
      </c>
      <c r="L7" s="302">
        <f>IFERROR(__xludf.DUMMYFUNCTION("googlefinance(E7,""price"")"),87.48)</f>
        <v>87.48</v>
      </c>
      <c r="M7" s="141"/>
      <c r="N7" s="301">
        <f t="shared" si="2"/>
        <v>28.31</v>
      </c>
      <c r="O7" s="139">
        <f>L7/J7-1</f>
        <v>0.4784519182</v>
      </c>
      <c r="P7" s="300">
        <f t="shared" si="3"/>
        <v>84930</v>
      </c>
      <c r="Q7" s="124"/>
      <c r="R7" s="125"/>
      <c r="S7" s="127"/>
      <c r="T7" s="287"/>
      <c r="U7" s="120"/>
      <c r="V7" s="133"/>
      <c r="W7" s="127" t="s">
        <v>299</v>
      </c>
      <c r="X7" s="287">
        <v>45009.0</v>
      </c>
      <c r="Y7" s="120">
        <v>59.17</v>
      </c>
      <c r="Z7" s="133">
        <v>177510.0</v>
      </c>
    </row>
    <row r="8">
      <c r="A8" s="114"/>
      <c r="B8" s="115"/>
      <c r="C8" s="116">
        <f>I8/E182</f>
        <v>0</v>
      </c>
      <c r="D8" s="284" t="s">
        <v>298</v>
      </c>
      <c r="E8" s="284" t="s">
        <v>299</v>
      </c>
      <c r="F8" s="118">
        <v>7.5</v>
      </c>
      <c r="G8" s="119">
        <v>3000.0</v>
      </c>
      <c r="H8" s="300">
        <f t="shared" si="1"/>
        <v>188520</v>
      </c>
      <c r="I8" s="133">
        <v>0.0</v>
      </c>
      <c r="J8" s="141">
        <v>62.84</v>
      </c>
      <c r="K8" s="121">
        <f>IFERROR(__xludf.DUMMYFUNCTION("GOOGLEFINANCE(E8,""changepct"")"),-1.67)</f>
        <v>-1.67</v>
      </c>
      <c r="L8" s="302">
        <f>IFERROR(__xludf.DUMMYFUNCTION("googlefinance(E8,""price"")"),87.48)</f>
        <v>87.48</v>
      </c>
      <c r="M8" s="141">
        <v>71.47</v>
      </c>
      <c r="N8" s="301">
        <f t="shared" si="2"/>
        <v>24.64</v>
      </c>
      <c r="O8" s="139">
        <f t="shared" ref="O8:O11" si="4">M8/J8-1</f>
        <v>0.137332909</v>
      </c>
      <c r="P8" s="300">
        <f t="shared" si="3"/>
        <v>25890</v>
      </c>
      <c r="Q8" s="124"/>
      <c r="R8" s="125"/>
      <c r="S8" s="127" t="s">
        <v>299</v>
      </c>
      <c r="T8" s="287">
        <v>44945.0</v>
      </c>
      <c r="U8" s="120">
        <v>71.47</v>
      </c>
      <c r="V8" s="133">
        <v>214410.0</v>
      </c>
      <c r="W8" s="127"/>
      <c r="X8" s="287"/>
      <c r="Y8" s="120"/>
      <c r="Z8" s="133"/>
    </row>
    <row r="9">
      <c r="A9" s="114"/>
      <c r="B9" s="115"/>
      <c r="C9" s="116">
        <f>I9/E182</f>
        <v>0</v>
      </c>
      <c r="D9" s="286" t="s">
        <v>37</v>
      </c>
      <c r="E9" s="286" t="s">
        <v>36</v>
      </c>
      <c r="F9" s="359">
        <v>7.5</v>
      </c>
      <c r="G9" s="119">
        <v>1000.0</v>
      </c>
      <c r="H9" s="300">
        <f t="shared" si="1"/>
        <v>165880</v>
      </c>
      <c r="I9" s="133">
        <v>0.0</v>
      </c>
      <c r="J9" s="141">
        <v>165.88</v>
      </c>
      <c r="K9" s="121">
        <f>IFERROR(__xludf.DUMMYFUNCTION("GOOGLEFINANCE(E9,""changepct"")"),-3.3)</f>
        <v>-3.3</v>
      </c>
      <c r="L9" s="302">
        <f>IFERROR(__xludf.DUMMYFUNCTION("googlefinance(E9,""price"")"),417.41)</f>
        <v>417.41</v>
      </c>
      <c r="M9" s="123">
        <v>192.55</v>
      </c>
      <c r="N9" s="301">
        <f t="shared" si="2"/>
        <v>251.53</v>
      </c>
      <c r="O9" s="139">
        <f t="shared" si="4"/>
        <v>0.1607788763</v>
      </c>
      <c r="P9" s="300">
        <f t="shared" si="3"/>
        <v>26670</v>
      </c>
      <c r="Q9" s="124"/>
      <c r="R9" s="125"/>
      <c r="S9" s="127" t="s">
        <v>36</v>
      </c>
      <c r="T9" s="128">
        <v>45008.0</v>
      </c>
      <c r="U9" s="123">
        <v>192.55</v>
      </c>
      <c r="V9" s="129">
        <v>192550.0</v>
      </c>
      <c r="W9" s="127" t="s">
        <v>36</v>
      </c>
      <c r="X9" s="287">
        <v>44998.0</v>
      </c>
      <c r="Y9" s="141">
        <v>165.88</v>
      </c>
      <c r="Z9" s="133">
        <v>165880.0</v>
      </c>
    </row>
    <row r="10">
      <c r="A10" s="114"/>
      <c r="B10" s="115"/>
      <c r="C10" s="116">
        <f>I10/E182</f>
        <v>0</v>
      </c>
      <c r="D10" s="286" t="s">
        <v>37</v>
      </c>
      <c r="E10" s="286" t="s">
        <v>36</v>
      </c>
      <c r="F10" s="359">
        <v>7.5</v>
      </c>
      <c r="G10" s="119">
        <v>1000.0</v>
      </c>
      <c r="H10" s="300">
        <f t="shared" si="1"/>
        <v>176800</v>
      </c>
      <c r="I10" s="133">
        <v>0.0</v>
      </c>
      <c r="J10" s="141">
        <v>176.8</v>
      </c>
      <c r="K10" s="121">
        <f>IFERROR(__xludf.DUMMYFUNCTION("GOOGLEFINANCE(E10,""changepct"")"),-3.3)</f>
        <v>-3.3</v>
      </c>
      <c r="L10" s="302">
        <f>IFERROR(__xludf.DUMMYFUNCTION("googlefinance(E10,""price"")"),417.41)</f>
        <v>417.41</v>
      </c>
      <c r="M10" s="123">
        <v>195.17</v>
      </c>
      <c r="N10" s="301">
        <f t="shared" si="2"/>
        <v>240.61</v>
      </c>
      <c r="O10" s="139">
        <f t="shared" si="4"/>
        <v>0.1039027149</v>
      </c>
      <c r="P10" s="300">
        <f t="shared" si="3"/>
        <v>18370</v>
      </c>
      <c r="Q10" s="124"/>
      <c r="R10" s="125"/>
      <c r="S10" s="127" t="s">
        <v>36</v>
      </c>
      <c r="T10" s="128">
        <v>44959.0</v>
      </c>
      <c r="U10" s="123">
        <v>195.17</v>
      </c>
      <c r="V10" s="129">
        <v>195170.0</v>
      </c>
      <c r="W10" s="127" t="s">
        <v>36</v>
      </c>
      <c r="X10" s="287">
        <v>44953.0</v>
      </c>
      <c r="Y10" s="141">
        <v>176.8</v>
      </c>
      <c r="Z10" s="133">
        <v>176800.0</v>
      </c>
    </row>
    <row r="11">
      <c r="A11" s="114"/>
      <c r="B11" s="115"/>
      <c r="C11" s="116">
        <f>I11/E182</f>
        <v>0</v>
      </c>
      <c r="D11" s="286" t="s">
        <v>37</v>
      </c>
      <c r="E11" s="286" t="s">
        <v>36</v>
      </c>
      <c r="F11" s="359">
        <v>7.5</v>
      </c>
      <c r="G11" s="119">
        <v>2000.0</v>
      </c>
      <c r="H11" s="300">
        <f t="shared" si="1"/>
        <v>246360</v>
      </c>
      <c r="I11" s="133">
        <v>0.0</v>
      </c>
      <c r="J11" s="141">
        <v>123.18</v>
      </c>
      <c r="K11" s="121">
        <f>IFERROR(__xludf.DUMMYFUNCTION("GOOGLEFINANCE(E11,""changepct"")"),-3.3)</f>
        <v>-3.3</v>
      </c>
      <c r="L11" s="302">
        <f>IFERROR(__xludf.DUMMYFUNCTION("googlefinance(E11,""price"")"),417.41)</f>
        <v>417.41</v>
      </c>
      <c r="M11" s="123">
        <v>176.8</v>
      </c>
      <c r="N11" s="301">
        <f t="shared" si="2"/>
        <v>294.23</v>
      </c>
      <c r="O11" s="139">
        <f t="shared" si="4"/>
        <v>0.435297938</v>
      </c>
      <c r="P11" s="300">
        <f t="shared" si="3"/>
        <v>107240</v>
      </c>
      <c r="Q11" s="124"/>
      <c r="R11" s="125"/>
      <c r="S11" s="127" t="s">
        <v>36</v>
      </c>
      <c r="T11" s="128">
        <v>44953.0</v>
      </c>
      <c r="U11" s="123">
        <v>176.8</v>
      </c>
      <c r="V11" s="129">
        <v>353600.0</v>
      </c>
      <c r="W11" s="127"/>
      <c r="X11" s="287"/>
      <c r="Y11" s="141"/>
      <c r="Z11" s="133"/>
    </row>
    <row r="12">
      <c r="A12" s="114"/>
      <c r="B12" s="115"/>
      <c r="C12" s="116">
        <f>I12/E182</f>
        <v>0.002231660849</v>
      </c>
      <c r="D12" s="304" t="s">
        <v>479</v>
      </c>
      <c r="E12" s="304" t="s">
        <v>480</v>
      </c>
      <c r="F12" s="359">
        <v>6.8</v>
      </c>
      <c r="G12" s="119">
        <v>10000.0</v>
      </c>
      <c r="H12" s="300">
        <f t="shared" si="1"/>
        <v>86400</v>
      </c>
      <c r="I12" s="133">
        <f t="shared" ref="I12:I13" si="5">H12+P12</f>
        <v>31500</v>
      </c>
      <c r="J12" s="141">
        <v>8.64</v>
      </c>
      <c r="K12" s="121">
        <f>IFERROR(__xludf.DUMMYFUNCTION("GOOGLEFINANCE(E12,""changepct"")"),-1.56)</f>
        <v>-1.56</v>
      </c>
      <c r="L12" s="302">
        <f>IFERROR(__xludf.DUMMYFUNCTION("googlefinance(E12,""price"")"),3.15)</f>
        <v>3.15</v>
      </c>
      <c r="M12" s="123"/>
      <c r="N12" s="301">
        <f t="shared" si="2"/>
        <v>-5.49</v>
      </c>
      <c r="O12" s="139">
        <f t="shared" ref="O12:O13" si="6">L12/J12-1</f>
        <v>-0.6354166667</v>
      </c>
      <c r="P12" s="300">
        <f t="shared" si="3"/>
        <v>-54900</v>
      </c>
      <c r="Q12" s="124"/>
      <c r="R12" s="125"/>
      <c r="S12" s="127"/>
      <c r="T12" s="128"/>
      <c r="U12" s="123"/>
      <c r="V12" s="129"/>
      <c r="W12" s="127" t="s">
        <v>480</v>
      </c>
      <c r="X12" s="287">
        <v>44984.0</v>
      </c>
      <c r="Y12" s="141">
        <v>8.64</v>
      </c>
      <c r="Z12" s="133">
        <v>86400.0</v>
      </c>
    </row>
    <row r="13">
      <c r="A13" s="114"/>
      <c r="B13" s="115"/>
      <c r="C13" s="116">
        <f>I13/E182</f>
        <v>0.002231660849</v>
      </c>
      <c r="D13" s="304" t="s">
        <v>479</v>
      </c>
      <c r="E13" s="304" t="s">
        <v>480</v>
      </c>
      <c r="F13" s="359">
        <v>6.8</v>
      </c>
      <c r="G13" s="119">
        <v>10000.0</v>
      </c>
      <c r="H13" s="300">
        <f t="shared" si="1"/>
        <v>113000</v>
      </c>
      <c r="I13" s="133">
        <f t="shared" si="5"/>
        <v>31500</v>
      </c>
      <c r="J13" s="141">
        <v>11.3</v>
      </c>
      <c r="K13" s="121">
        <f>IFERROR(__xludf.DUMMYFUNCTION("GOOGLEFINANCE(E13,""changepct"")"),-1.56)</f>
        <v>-1.56</v>
      </c>
      <c r="L13" s="302">
        <f>IFERROR(__xludf.DUMMYFUNCTION("googlefinance(E13,""price"")"),3.15)</f>
        <v>3.15</v>
      </c>
      <c r="M13" s="123"/>
      <c r="N13" s="301">
        <f t="shared" si="2"/>
        <v>-8.15</v>
      </c>
      <c r="O13" s="139">
        <f t="shared" si="6"/>
        <v>-0.7212389381</v>
      </c>
      <c r="P13" s="300">
        <f t="shared" si="3"/>
        <v>-81500</v>
      </c>
      <c r="Q13" s="124"/>
      <c r="R13" s="125"/>
      <c r="S13" s="127"/>
      <c r="T13" s="128"/>
      <c r="U13" s="123"/>
      <c r="V13" s="129"/>
      <c r="W13" s="127" t="s">
        <v>480</v>
      </c>
      <c r="X13" s="287">
        <v>44958.0</v>
      </c>
      <c r="Y13" s="141">
        <v>11.3</v>
      </c>
      <c r="Z13" s="133">
        <v>113000.0</v>
      </c>
    </row>
    <row r="14">
      <c r="A14" s="114"/>
      <c r="B14" s="115"/>
      <c r="C14" s="116">
        <f>I14/E182</f>
        <v>0</v>
      </c>
      <c r="D14" s="304" t="s">
        <v>479</v>
      </c>
      <c r="E14" s="304" t="s">
        <v>480</v>
      </c>
      <c r="F14" s="359">
        <v>6.8</v>
      </c>
      <c r="G14" s="119">
        <v>20000.0</v>
      </c>
      <c r="H14" s="300">
        <f t="shared" si="1"/>
        <v>136600</v>
      </c>
      <c r="I14" s="133">
        <v>0.0</v>
      </c>
      <c r="J14" s="141">
        <v>6.83</v>
      </c>
      <c r="K14" s="121">
        <f>IFERROR(__xludf.DUMMYFUNCTION("GOOGLEFINANCE(E14,""changepct"")"),-1.56)</f>
        <v>-1.56</v>
      </c>
      <c r="L14" s="302">
        <f>IFERROR(__xludf.DUMMYFUNCTION("googlefinance(E14,""price"")"),3.15)</f>
        <v>3.15</v>
      </c>
      <c r="M14" s="123">
        <v>15.96</v>
      </c>
      <c r="N14" s="301">
        <f t="shared" si="2"/>
        <v>-3.68</v>
      </c>
      <c r="O14" s="139">
        <f t="shared" ref="O14:O15" si="7">M14/J14-1</f>
        <v>1.336749634</v>
      </c>
      <c r="P14" s="300">
        <f t="shared" si="3"/>
        <v>182600</v>
      </c>
      <c r="Q14" s="124"/>
      <c r="R14" s="125"/>
      <c r="S14" s="127" t="s">
        <v>480</v>
      </c>
      <c r="T14" s="128">
        <v>44953.0</v>
      </c>
      <c r="U14" s="123">
        <v>15.96</v>
      </c>
      <c r="V14" s="129">
        <v>319200.0</v>
      </c>
      <c r="W14" s="127"/>
      <c r="X14" s="287"/>
      <c r="Y14" s="141"/>
      <c r="Z14" s="133"/>
    </row>
    <row r="15">
      <c r="A15" s="114"/>
      <c r="B15" s="115"/>
      <c r="C15" s="116">
        <f>I15/E182</f>
        <v>0</v>
      </c>
      <c r="D15" s="304" t="s">
        <v>558</v>
      </c>
      <c r="E15" s="304" t="s">
        <v>40</v>
      </c>
      <c r="F15" s="359">
        <v>7.6</v>
      </c>
      <c r="G15" s="119">
        <v>3000.0</v>
      </c>
      <c r="H15" s="300">
        <f t="shared" si="1"/>
        <v>194310</v>
      </c>
      <c r="I15" s="133">
        <v>0.0</v>
      </c>
      <c r="J15" s="141">
        <v>64.77</v>
      </c>
      <c r="K15" s="121">
        <f>IFERROR(__xludf.DUMMYFUNCTION("GOOGLEFINANCE(E15,""changepct"")"),-2.2)</f>
        <v>-2.2</v>
      </c>
      <c r="L15" s="302">
        <f>IFERROR(__xludf.DUMMYFUNCTION("googlefinance(E15,""price"")"),122.44)</f>
        <v>122.44</v>
      </c>
      <c r="M15" s="123">
        <v>88.64</v>
      </c>
      <c r="N15" s="301">
        <f t="shared" si="2"/>
        <v>57.67</v>
      </c>
      <c r="O15" s="139">
        <f t="shared" si="7"/>
        <v>0.3685348155</v>
      </c>
      <c r="P15" s="300">
        <f t="shared" si="3"/>
        <v>71610</v>
      </c>
      <c r="Q15" s="124"/>
      <c r="R15" s="125"/>
      <c r="S15" s="127" t="s">
        <v>40</v>
      </c>
      <c r="T15" s="128">
        <v>44959.0</v>
      </c>
      <c r="U15" s="123">
        <v>88.64</v>
      </c>
      <c r="V15" s="129">
        <v>265920.0</v>
      </c>
      <c r="W15" s="127"/>
      <c r="X15" s="287"/>
      <c r="Y15" s="141"/>
      <c r="Z15" s="133"/>
    </row>
    <row r="16">
      <c r="A16" s="114"/>
      <c r="B16" s="115"/>
      <c r="C16" s="116">
        <f>I16/E182</f>
        <v>0.07839151521</v>
      </c>
      <c r="D16" s="284" t="s">
        <v>527</v>
      </c>
      <c r="E16" s="284" t="s">
        <v>43</v>
      </c>
      <c r="F16" s="118">
        <v>8.0</v>
      </c>
      <c r="G16" s="119">
        <v>5000.0</v>
      </c>
      <c r="H16" s="300">
        <f t="shared" si="1"/>
        <v>420000</v>
      </c>
      <c r="I16" s="300">
        <f t="shared" ref="I16:I21" si="8">H16+P16</f>
        <v>1106500</v>
      </c>
      <c r="J16" s="141">
        <v>84.0</v>
      </c>
      <c r="K16" s="121">
        <f>IFERROR(__xludf.DUMMYFUNCTION("GOOGLEFINANCE(E16,""changepct"")"),-1.09)</f>
        <v>-1.09</v>
      </c>
      <c r="L16" s="302">
        <f>IFERROR(__xludf.DUMMYFUNCTION("googlefinance(E16,""price"")"),221.3)</f>
        <v>221.3</v>
      </c>
      <c r="M16" s="141"/>
      <c r="N16" s="301">
        <f t="shared" si="2"/>
        <v>137.3</v>
      </c>
      <c r="O16" s="139">
        <f t="shared" ref="O16:O21" si="9">L16/J16-1</f>
        <v>1.63452381</v>
      </c>
      <c r="P16" s="300">
        <f t="shared" si="3"/>
        <v>686500</v>
      </c>
      <c r="Q16" s="124"/>
      <c r="R16" s="125"/>
      <c r="S16" s="127"/>
      <c r="T16" s="287"/>
      <c r="U16" s="141"/>
      <c r="V16" s="133"/>
      <c r="W16" s="117"/>
      <c r="X16" s="128"/>
      <c r="Y16" s="123"/>
      <c r="Z16" s="129"/>
    </row>
    <row r="17">
      <c r="A17" s="114"/>
      <c r="B17" s="115"/>
      <c r="C17" s="116">
        <f>I17/E182</f>
        <v>0.1913773159</v>
      </c>
      <c r="D17" s="284" t="s">
        <v>559</v>
      </c>
      <c r="E17" s="284" t="s">
        <v>46</v>
      </c>
      <c r="F17" s="118">
        <v>8.1</v>
      </c>
      <c r="G17" s="119">
        <v>35000.0</v>
      </c>
      <c r="H17" s="300">
        <f t="shared" si="1"/>
        <v>321300</v>
      </c>
      <c r="I17" s="300">
        <f t="shared" si="8"/>
        <v>2701300</v>
      </c>
      <c r="J17" s="141">
        <v>9.18</v>
      </c>
      <c r="K17" s="121">
        <f>IFERROR(__xludf.DUMMYFUNCTION("GOOGLEFINANCE(E17,""changepct"")"),-2.4)</f>
        <v>-2.4</v>
      </c>
      <c r="L17" s="302">
        <f>IFERROR(__xludf.DUMMYFUNCTION("googlefinance(E17,""price"")"),77.18)</f>
        <v>77.18</v>
      </c>
      <c r="M17" s="126"/>
      <c r="N17" s="301">
        <f t="shared" si="2"/>
        <v>68</v>
      </c>
      <c r="O17" s="139">
        <f t="shared" si="9"/>
        <v>7.407407407</v>
      </c>
      <c r="P17" s="300">
        <f t="shared" si="3"/>
        <v>2380000</v>
      </c>
      <c r="Q17" s="124"/>
      <c r="R17" s="125"/>
      <c r="S17" s="127"/>
      <c r="T17" s="298"/>
      <c r="U17" s="126"/>
      <c r="V17" s="125"/>
      <c r="W17" s="117" t="s">
        <v>46</v>
      </c>
      <c r="X17" s="287">
        <v>44959.0</v>
      </c>
      <c r="Y17" s="141">
        <v>9.18</v>
      </c>
      <c r="Z17" s="133">
        <v>321300.0</v>
      </c>
    </row>
    <row r="18">
      <c r="A18" s="114"/>
      <c r="B18" s="115"/>
      <c r="C18" s="116">
        <f>I18/E182</f>
        <v>0.08201884967</v>
      </c>
      <c r="D18" s="284" t="s">
        <v>559</v>
      </c>
      <c r="E18" s="284" t="s">
        <v>46</v>
      </c>
      <c r="F18" s="118">
        <v>8.1</v>
      </c>
      <c r="G18" s="119">
        <v>15000.0</v>
      </c>
      <c r="H18" s="300">
        <f t="shared" si="1"/>
        <v>123150</v>
      </c>
      <c r="I18" s="133">
        <f t="shared" si="8"/>
        <v>1157700</v>
      </c>
      <c r="J18" s="141">
        <v>8.21</v>
      </c>
      <c r="K18" s="121">
        <f>IFERROR(__xludf.DUMMYFUNCTION("GOOGLEFINANCE(E18,""changepct"")"),-2.4)</f>
        <v>-2.4</v>
      </c>
      <c r="L18" s="302">
        <f>IFERROR(__xludf.DUMMYFUNCTION("googlefinance(E18,""price"")"),77.18)</f>
        <v>77.18</v>
      </c>
      <c r="M18" s="123"/>
      <c r="N18" s="301">
        <f t="shared" si="2"/>
        <v>68.97</v>
      </c>
      <c r="O18" s="139">
        <f t="shared" si="9"/>
        <v>8.400730816</v>
      </c>
      <c r="P18" s="300">
        <f t="shared" si="3"/>
        <v>1034550</v>
      </c>
      <c r="Q18" s="124"/>
      <c r="R18" s="125"/>
      <c r="S18" s="127"/>
      <c r="T18" s="128"/>
      <c r="U18" s="123"/>
      <c r="V18" s="129"/>
      <c r="W18" s="117" t="s">
        <v>46</v>
      </c>
      <c r="X18" s="287">
        <v>44965.0</v>
      </c>
      <c r="Y18" s="141">
        <v>8.21</v>
      </c>
      <c r="Z18" s="133">
        <v>123150.0</v>
      </c>
    </row>
    <row r="19">
      <c r="A19" s="114"/>
      <c r="B19" s="115"/>
      <c r="C19" s="116">
        <f>I19/E182</f>
        <v>0.08201884967</v>
      </c>
      <c r="D19" s="284" t="s">
        <v>559</v>
      </c>
      <c r="E19" s="284" t="s">
        <v>46</v>
      </c>
      <c r="F19" s="118">
        <v>8.1</v>
      </c>
      <c r="G19" s="119">
        <v>15000.0</v>
      </c>
      <c r="H19" s="300">
        <f t="shared" si="1"/>
        <v>110400</v>
      </c>
      <c r="I19" s="133">
        <f t="shared" si="8"/>
        <v>1157700</v>
      </c>
      <c r="J19" s="141">
        <v>7.36</v>
      </c>
      <c r="K19" s="121">
        <f>IFERROR(__xludf.DUMMYFUNCTION("GOOGLEFINANCE(E19,""changepct"")"),-2.4)</f>
        <v>-2.4</v>
      </c>
      <c r="L19" s="302">
        <f>IFERROR(__xludf.DUMMYFUNCTION("googlefinance(E19,""price"")"),77.18)</f>
        <v>77.18</v>
      </c>
      <c r="M19" s="123"/>
      <c r="N19" s="301">
        <f t="shared" si="2"/>
        <v>69.82</v>
      </c>
      <c r="O19" s="139">
        <f t="shared" si="9"/>
        <v>9.486413043</v>
      </c>
      <c r="P19" s="300">
        <f t="shared" si="3"/>
        <v>1047300</v>
      </c>
      <c r="Q19" s="124"/>
      <c r="R19" s="125"/>
      <c r="S19" s="127"/>
      <c r="T19" s="128"/>
      <c r="U19" s="123"/>
      <c r="V19" s="129"/>
      <c r="W19" s="117" t="s">
        <v>46</v>
      </c>
      <c r="X19" s="287">
        <v>44998.0</v>
      </c>
      <c r="Y19" s="141">
        <v>7.36</v>
      </c>
      <c r="Z19" s="133">
        <v>110400.0</v>
      </c>
    </row>
    <row r="20">
      <c r="A20" s="114"/>
      <c r="B20" s="115"/>
      <c r="C20" s="116">
        <f>I20/E182</f>
        <v>0.1093584662</v>
      </c>
      <c r="D20" s="284" t="s">
        <v>559</v>
      </c>
      <c r="E20" s="284" t="s">
        <v>46</v>
      </c>
      <c r="F20" s="118">
        <v>8.1</v>
      </c>
      <c r="G20" s="119">
        <v>20000.0</v>
      </c>
      <c r="H20" s="300">
        <f t="shared" si="1"/>
        <v>164400</v>
      </c>
      <c r="I20" s="133">
        <f t="shared" si="8"/>
        <v>1543600</v>
      </c>
      <c r="J20" s="141">
        <v>8.22</v>
      </c>
      <c r="K20" s="121">
        <f>IFERROR(__xludf.DUMMYFUNCTION("GOOGLEFINANCE(E20,""changepct"")"),-2.4)</f>
        <v>-2.4</v>
      </c>
      <c r="L20" s="302">
        <f>IFERROR(__xludf.DUMMYFUNCTION("googlefinance(E20,""price"")"),77.18)</f>
        <v>77.18</v>
      </c>
      <c r="M20" s="123"/>
      <c r="N20" s="301">
        <f t="shared" si="2"/>
        <v>68.96</v>
      </c>
      <c r="O20" s="139">
        <f t="shared" si="9"/>
        <v>8.389294404</v>
      </c>
      <c r="P20" s="300">
        <f t="shared" si="3"/>
        <v>1379200</v>
      </c>
      <c r="Q20" s="124"/>
      <c r="R20" s="125"/>
      <c r="S20" s="127"/>
      <c r="T20" s="128"/>
      <c r="U20" s="123"/>
      <c r="V20" s="129"/>
      <c r="W20" s="117" t="s">
        <v>46</v>
      </c>
      <c r="X20" s="287">
        <v>45008.0</v>
      </c>
      <c r="Y20" s="141">
        <v>8.22</v>
      </c>
      <c r="Z20" s="133">
        <v>164400.0</v>
      </c>
    </row>
    <row r="21">
      <c r="A21" s="114"/>
      <c r="B21" s="115"/>
      <c r="C21" s="363">
        <f>I21/E182</f>
        <v>0.08201884967</v>
      </c>
      <c r="D21" s="284" t="s">
        <v>559</v>
      </c>
      <c r="E21" s="284" t="s">
        <v>46</v>
      </c>
      <c r="F21" s="118">
        <v>8.1</v>
      </c>
      <c r="G21" s="119">
        <v>15000.0</v>
      </c>
      <c r="H21" s="300">
        <f t="shared" si="1"/>
        <v>120450</v>
      </c>
      <c r="I21" s="133">
        <f t="shared" si="8"/>
        <v>1157700</v>
      </c>
      <c r="J21" s="141">
        <v>8.03</v>
      </c>
      <c r="K21" s="121">
        <f>IFERROR(__xludf.DUMMYFUNCTION("GOOGLEFINANCE(E21,""changepct"")"),-2.4)</f>
        <v>-2.4</v>
      </c>
      <c r="L21" s="302">
        <f>IFERROR(__xludf.DUMMYFUNCTION("googlefinance(E21,""price"")"),77.18)</f>
        <v>77.18</v>
      </c>
      <c r="M21" s="123"/>
      <c r="N21" s="301">
        <f t="shared" si="2"/>
        <v>69.15</v>
      </c>
      <c r="O21" s="139">
        <f t="shared" si="9"/>
        <v>8.611457036</v>
      </c>
      <c r="P21" s="300">
        <f t="shared" si="3"/>
        <v>1037250</v>
      </c>
      <c r="Q21" s="124"/>
      <c r="R21" s="125"/>
      <c r="S21" s="127"/>
      <c r="T21" s="128"/>
      <c r="U21" s="123"/>
      <c r="V21" s="129"/>
      <c r="W21" s="117" t="s">
        <v>46</v>
      </c>
      <c r="X21" s="287">
        <v>45014.0</v>
      </c>
      <c r="Y21" s="141">
        <v>8.03</v>
      </c>
      <c r="Z21" s="133">
        <v>120450.0</v>
      </c>
    </row>
    <row r="22">
      <c r="A22" s="114"/>
      <c r="B22" s="115"/>
      <c r="C22" s="363">
        <f>I22/E182</f>
        <v>0</v>
      </c>
      <c r="D22" s="284" t="s">
        <v>559</v>
      </c>
      <c r="E22" s="284" t="s">
        <v>46</v>
      </c>
      <c r="F22" s="118">
        <v>8.1</v>
      </c>
      <c r="G22" s="119">
        <v>50000.0</v>
      </c>
      <c r="H22" s="300">
        <f t="shared" si="1"/>
        <v>321000</v>
      </c>
      <c r="I22" s="133">
        <v>0.0</v>
      </c>
      <c r="J22" s="141">
        <v>6.42</v>
      </c>
      <c r="K22" s="121">
        <f>IFERROR(__xludf.DUMMYFUNCTION("GOOGLEFINANCE(E22,""changepct"")"),-2.4)</f>
        <v>-2.4</v>
      </c>
      <c r="L22" s="302">
        <f>IFERROR(__xludf.DUMMYFUNCTION("googlefinance(E22,""price"")"),77.18)</f>
        <v>77.18</v>
      </c>
      <c r="M22" s="123">
        <v>9.18</v>
      </c>
      <c r="N22" s="301">
        <f t="shared" si="2"/>
        <v>70.76</v>
      </c>
      <c r="O22" s="139">
        <f t="shared" ref="O22:O24" si="10">M22/J22-1</f>
        <v>0.4299065421</v>
      </c>
      <c r="P22" s="300">
        <f t="shared" si="3"/>
        <v>138000</v>
      </c>
      <c r="Q22" s="124"/>
      <c r="R22" s="125"/>
      <c r="S22" s="127" t="s">
        <v>46</v>
      </c>
      <c r="T22" s="128">
        <v>44959.0</v>
      </c>
      <c r="U22" s="123">
        <v>9.18</v>
      </c>
      <c r="V22" s="129">
        <v>459000.0</v>
      </c>
      <c r="W22" s="117"/>
      <c r="X22" s="287"/>
      <c r="Y22" s="141"/>
      <c r="Z22" s="133"/>
    </row>
    <row r="23">
      <c r="A23" s="114"/>
      <c r="B23" s="115"/>
      <c r="C23" s="116">
        <f>I23/E182</f>
        <v>0</v>
      </c>
      <c r="D23" s="284" t="s">
        <v>440</v>
      </c>
      <c r="E23" s="284" t="s">
        <v>77</v>
      </c>
      <c r="F23" s="118">
        <v>7.9</v>
      </c>
      <c r="G23" s="119">
        <v>1000.0</v>
      </c>
      <c r="H23" s="300">
        <f t="shared" si="1"/>
        <v>109940</v>
      </c>
      <c r="I23" s="133">
        <v>0.0</v>
      </c>
      <c r="J23" s="141">
        <v>109.94</v>
      </c>
      <c r="K23" s="121">
        <f>IFERROR(__xludf.DUMMYFUNCTION("GOOGLEFINANCE(E23,""changepct"")"),-1.69)</f>
        <v>-1.69</v>
      </c>
      <c r="L23" s="302">
        <f>IFERROR(__xludf.DUMMYFUNCTION("googlefinance(E23,""price"")"),154.58)</f>
        <v>154.58</v>
      </c>
      <c r="M23" s="141">
        <v>118.04</v>
      </c>
      <c r="N23" s="301">
        <f t="shared" si="2"/>
        <v>44.64</v>
      </c>
      <c r="O23" s="139">
        <f t="shared" si="10"/>
        <v>0.07367655085</v>
      </c>
      <c r="P23" s="300">
        <f t="shared" si="3"/>
        <v>8100</v>
      </c>
      <c r="Q23" s="116"/>
      <c r="R23" s="125"/>
      <c r="S23" s="127" t="s">
        <v>77</v>
      </c>
      <c r="T23" s="287">
        <v>44945.0</v>
      </c>
      <c r="U23" s="141">
        <v>118.04</v>
      </c>
      <c r="V23" s="133">
        <v>118040.0</v>
      </c>
      <c r="W23" s="127"/>
      <c r="X23" s="287"/>
      <c r="Y23" s="141"/>
      <c r="Z23" s="133"/>
    </row>
    <row r="24">
      <c r="A24" s="114"/>
      <c r="B24" s="115"/>
      <c r="C24" s="116">
        <f>I24/E182</f>
        <v>0</v>
      </c>
      <c r="D24" s="117" t="s">
        <v>441</v>
      </c>
      <c r="E24" s="117" t="s">
        <v>340</v>
      </c>
      <c r="F24" s="118">
        <v>7.7</v>
      </c>
      <c r="G24" s="119">
        <v>2000.0</v>
      </c>
      <c r="H24" s="300">
        <f t="shared" si="1"/>
        <v>132880</v>
      </c>
      <c r="I24" s="133">
        <v>0.0</v>
      </c>
      <c r="J24" s="141">
        <v>66.44</v>
      </c>
      <c r="K24" s="121">
        <f>IFERROR(__xludf.DUMMYFUNCTION("GOOGLEFINANCE(E24,""changepct"")"),-1.3)</f>
        <v>-1.3</v>
      </c>
      <c r="L24" s="302">
        <f>IFERROR(__xludf.DUMMYFUNCTION("googlefinance(E24,""price"")"),82.73)</f>
        <v>82.73</v>
      </c>
      <c r="M24" s="141">
        <v>70.22</v>
      </c>
      <c r="N24" s="301">
        <f t="shared" si="2"/>
        <v>16.29</v>
      </c>
      <c r="O24" s="139">
        <f t="shared" si="10"/>
        <v>0.05689343769</v>
      </c>
      <c r="P24" s="300">
        <f t="shared" si="3"/>
        <v>7560</v>
      </c>
      <c r="Q24" s="124"/>
      <c r="R24" s="125"/>
      <c r="S24" s="127" t="s">
        <v>340</v>
      </c>
      <c r="T24" s="287">
        <v>45007.0</v>
      </c>
      <c r="U24" s="141">
        <v>70.22</v>
      </c>
      <c r="V24" s="133">
        <v>140440.0</v>
      </c>
      <c r="W24" s="127" t="s">
        <v>340</v>
      </c>
      <c r="X24" s="128">
        <v>44998.0</v>
      </c>
      <c r="Y24" s="123">
        <v>66.44</v>
      </c>
      <c r="Z24" s="129">
        <v>132880.0</v>
      </c>
    </row>
    <row r="25">
      <c r="A25" s="114"/>
      <c r="B25" s="115"/>
      <c r="C25" s="116">
        <f>I25/E182</f>
        <v>0.0117222414</v>
      </c>
      <c r="D25" s="117" t="s">
        <v>441</v>
      </c>
      <c r="E25" s="117" t="s">
        <v>340</v>
      </c>
      <c r="F25" s="118">
        <v>7.7</v>
      </c>
      <c r="G25" s="119">
        <v>2000.0</v>
      </c>
      <c r="H25" s="300">
        <f t="shared" si="1"/>
        <v>135480</v>
      </c>
      <c r="I25" s="300">
        <f>H25+P25</f>
        <v>165460</v>
      </c>
      <c r="J25" s="141">
        <v>67.74</v>
      </c>
      <c r="K25" s="121">
        <f>IFERROR(__xludf.DUMMYFUNCTION("GOOGLEFINANCE(E25,""changepct"")"),-1.3)</f>
        <v>-1.3</v>
      </c>
      <c r="L25" s="302">
        <f>IFERROR(__xludf.DUMMYFUNCTION("googlefinance(E25,""price"")"),82.73)</f>
        <v>82.73</v>
      </c>
      <c r="M25" s="141"/>
      <c r="N25" s="301">
        <f t="shared" si="2"/>
        <v>14.99</v>
      </c>
      <c r="O25" s="139">
        <f>L25/J25-1</f>
        <v>0.2212872749</v>
      </c>
      <c r="P25" s="300">
        <f t="shared" si="3"/>
        <v>29980</v>
      </c>
      <c r="Q25" s="124"/>
      <c r="R25" s="125"/>
      <c r="S25" s="127"/>
      <c r="T25" s="287"/>
      <c r="U25" s="141"/>
      <c r="V25" s="133"/>
      <c r="W25" s="127"/>
      <c r="X25" s="128"/>
      <c r="Y25" s="123"/>
      <c r="Z25" s="129"/>
    </row>
    <row r="26">
      <c r="A26" s="114"/>
      <c r="B26" s="115"/>
      <c r="C26" s="116">
        <f>I26/E182</f>
        <v>0</v>
      </c>
      <c r="D26" s="284" t="s">
        <v>52</v>
      </c>
      <c r="E26" s="284" t="s">
        <v>53</v>
      </c>
      <c r="F26" s="118">
        <v>7.2</v>
      </c>
      <c r="G26" s="119">
        <v>800.0</v>
      </c>
      <c r="H26" s="300">
        <f t="shared" si="1"/>
        <v>116912</v>
      </c>
      <c r="I26" s="133">
        <v>0.0</v>
      </c>
      <c r="J26" s="141">
        <v>146.14</v>
      </c>
      <c r="K26" s="121">
        <f>IFERROR(__xludf.DUMMYFUNCTION("GOOGLEFINANCE(E26,""changepct"")"),0.35)</f>
        <v>0.35</v>
      </c>
      <c r="L26" s="302">
        <f>IFERROR(__xludf.DUMMYFUNCTION("googlefinance(E26,""price"")"),137.49)</f>
        <v>137.49</v>
      </c>
      <c r="M26" s="141">
        <v>191.2</v>
      </c>
      <c r="N26" s="301">
        <f t="shared" si="2"/>
        <v>-8.65</v>
      </c>
      <c r="O26" s="139">
        <f>M26/J26-1</f>
        <v>0.3083344738</v>
      </c>
      <c r="P26" s="300">
        <f t="shared" si="3"/>
        <v>36048</v>
      </c>
      <c r="Q26" s="124"/>
      <c r="R26" s="125"/>
      <c r="S26" s="127" t="s">
        <v>53</v>
      </c>
      <c r="T26" s="287">
        <v>44951.0</v>
      </c>
      <c r="U26" s="141">
        <v>191.2</v>
      </c>
      <c r="V26" s="133">
        <v>152960.0</v>
      </c>
      <c r="W26" s="360"/>
      <c r="X26" s="298"/>
      <c r="Y26" s="126"/>
      <c r="Z26" s="125"/>
    </row>
    <row r="27">
      <c r="A27" s="114"/>
      <c r="B27" s="115"/>
      <c r="C27" s="116">
        <f>I27/E182</f>
        <v>0.01669494854</v>
      </c>
      <c r="D27" s="286" t="s">
        <v>376</v>
      </c>
      <c r="E27" s="286" t="s">
        <v>377</v>
      </c>
      <c r="F27" s="359">
        <v>7.8</v>
      </c>
      <c r="G27" s="119">
        <v>3000.0</v>
      </c>
      <c r="H27" s="300">
        <f t="shared" si="1"/>
        <v>147360</v>
      </c>
      <c r="I27" s="133">
        <f>H27+P27</f>
        <v>235650</v>
      </c>
      <c r="J27" s="141">
        <v>49.12</v>
      </c>
      <c r="K27" s="121">
        <f>IFERROR(__xludf.DUMMYFUNCTION("GOOGLEFINANCE(E27,""changepct"")"),-2.29)</f>
        <v>-2.29</v>
      </c>
      <c r="L27" s="302">
        <f>IFERROR(__xludf.DUMMYFUNCTION("googlefinance(E27,""price"")"),78.55)</f>
        <v>78.55</v>
      </c>
      <c r="M27" s="123"/>
      <c r="N27" s="301">
        <f t="shared" si="2"/>
        <v>29.43</v>
      </c>
      <c r="O27" s="139">
        <f>L27/J27-1</f>
        <v>0.5991449511</v>
      </c>
      <c r="P27" s="300">
        <f t="shared" si="3"/>
        <v>88290</v>
      </c>
      <c r="Q27" s="116"/>
      <c r="R27" s="300"/>
      <c r="S27" s="127"/>
      <c r="T27" s="128"/>
      <c r="U27" s="123"/>
      <c r="V27" s="129"/>
      <c r="W27" s="127" t="s">
        <v>377</v>
      </c>
      <c r="X27" s="128">
        <v>44985.0</v>
      </c>
      <c r="Y27" s="123">
        <v>49.12</v>
      </c>
      <c r="Z27" s="129">
        <v>147360.0</v>
      </c>
    </row>
    <row r="28">
      <c r="A28" s="114"/>
      <c r="B28" s="115"/>
      <c r="C28" s="116">
        <f>I28/E182</f>
        <v>0</v>
      </c>
      <c r="D28" s="286" t="s">
        <v>376</v>
      </c>
      <c r="E28" s="286" t="s">
        <v>377</v>
      </c>
      <c r="F28" s="359">
        <v>7.8</v>
      </c>
      <c r="G28" s="119">
        <v>3000.0</v>
      </c>
      <c r="H28" s="300">
        <f t="shared" si="1"/>
        <v>123030</v>
      </c>
      <c r="I28" s="133">
        <v>0.0</v>
      </c>
      <c r="J28" s="141">
        <v>41.01</v>
      </c>
      <c r="K28" s="121">
        <f>IFERROR(__xludf.DUMMYFUNCTION("GOOGLEFINANCE(E28,""changepct"")"),-2.29)</f>
        <v>-2.29</v>
      </c>
      <c r="L28" s="302">
        <f>IFERROR(__xludf.DUMMYFUNCTION("googlefinance(E28,""price"")"),78.55)</f>
        <v>78.55</v>
      </c>
      <c r="M28" s="123">
        <v>51.37</v>
      </c>
      <c r="N28" s="301">
        <f t="shared" si="2"/>
        <v>37.54</v>
      </c>
      <c r="O28" s="139">
        <f>M28/J28-1</f>
        <v>0.2526213119</v>
      </c>
      <c r="P28" s="300">
        <f t="shared" si="3"/>
        <v>31080</v>
      </c>
      <c r="Q28" s="116"/>
      <c r="R28" s="300"/>
      <c r="S28" s="127" t="s">
        <v>377</v>
      </c>
      <c r="T28" s="128">
        <v>44960.0</v>
      </c>
      <c r="U28" s="123">
        <v>51.37</v>
      </c>
      <c r="V28" s="129">
        <v>154110.0</v>
      </c>
      <c r="W28" s="127"/>
      <c r="X28" s="128"/>
      <c r="Y28" s="123"/>
      <c r="Z28" s="129"/>
    </row>
    <row r="29">
      <c r="A29" s="114"/>
      <c r="B29" s="115"/>
      <c r="C29" s="116">
        <f>I29/E182</f>
        <v>0.01224437919</v>
      </c>
      <c r="D29" s="286" t="s">
        <v>378</v>
      </c>
      <c r="E29" s="286" t="s">
        <v>379</v>
      </c>
      <c r="F29" s="359">
        <v>7.9</v>
      </c>
      <c r="G29" s="119">
        <v>3000.0</v>
      </c>
      <c r="H29" s="300">
        <f t="shared" si="1"/>
        <v>111300</v>
      </c>
      <c r="I29" s="133">
        <f>H29+P29</f>
        <v>172830</v>
      </c>
      <c r="J29" s="141">
        <v>37.1</v>
      </c>
      <c r="K29" s="121">
        <f>IFERROR(__xludf.DUMMYFUNCTION("GOOGLEFINANCE(E29,""changepct"")"),-2.8)</f>
        <v>-2.8</v>
      </c>
      <c r="L29" s="302">
        <f>IFERROR(__xludf.DUMMYFUNCTION("googlefinance(E29,""price"")"),57.61)</f>
        <v>57.61</v>
      </c>
      <c r="M29" s="123"/>
      <c r="N29" s="301">
        <f t="shared" si="2"/>
        <v>20.51</v>
      </c>
      <c r="O29" s="139">
        <f>L29/J29-1</f>
        <v>0.5528301887</v>
      </c>
      <c r="P29" s="300">
        <f t="shared" si="3"/>
        <v>61530</v>
      </c>
      <c r="Q29" s="116"/>
      <c r="R29" s="300"/>
      <c r="S29" s="127"/>
      <c r="T29" s="128"/>
      <c r="U29" s="138"/>
      <c r="V29" s="129"/>
      <c r="W29" s="127" t="s">
        <v>379</v>
      </c>
      <c r="X29" s="128">
        <v>44951.0</v>
      </c>
      <c r="Y29" s="123">
        <v>37.1</v>
      </c>
      <c r="Z29" s="129">
        <v>111300.0</v>
      </c>
    </row>
    <row r="30">
      <c r="A30" s="114"/>
      <c r="B30" s="115"/>
      <c r="C30" s="116">
        <f>I30/E182</f>
        <v>0</v>
      </c>
      <c r="D30" s="286" t="s">
        <v>378</v>
      </c>
      <c r="E30" s="286" t="s">
        <v>379</v>
      </c>
      <c r="F30" s="359">
        <v>7.9</v>
      </c>
      <c r="G30" s="119">
        <v>3500.0</v>
      </c>
      <c r="H30" s="300">
        <f t="shared" si="1"/>
        <v>109340</v>
      </c>
      <c r="I30" s="133">
        <v>0.0</v>
      </c>
      <c r="J30" s="141">
        <v>31.24</v>
      </c>
      <c r="K30" s="121">
        <f>IFERROR(__xludf.DUMMYFUNCTION("GOOGLEFINANCE(E30,""changepct"")"),-2.8)</f>
        <v>-2.8</v>
      </c>
      <c r="L30" s="302">
        <f>IFERROR(__xludf.DUMMYFUNCTION("googlefinance(E30,""price"")"),57.61)</f>
        <v>57.61</v>
      </c>
      <c r="M30" s="123">
        <v>34.7</v>
      </c>
      <c r="N30" s="301">
        <f t="shared" si="2"/>
        <v>26.37</v>
      </c>
      <c r="O30" s="139">
        <f>M30/J30-1</f>
        <v>0.1107554417</v>
      </c>
      <c r="P30" s="300">
        <f t="shared" si="3"/>
        <v>12110</v>
      </c>
      <c r="Q30" s="116"/>
      <c r="R30" s="300"/>
      <c r="S30" s="127" t="s">
        <v>379</v>
      </c>
      <c r="T30" s="128">
        <v>44945.0</v>
      </c>
      <c r="U30" s="138">
        <v>34.7</v>
      </c>
      <c r="V30" s="129">
        <v>121450.0</v>
      </c>
      <c r="W30" s="127"/>
      <c r="X30" s="128"/>
      <c r="Y30" s="123"/>
      <c r="Z30" s="129"/>
    </row>
    <row r="31">
      <c r="A31" s="114"/>
      <c r="B31" s="115"/>
      <c r="C31" s="116">
        <f>I31/E182</f>
        <v>0.02331766778</v>
      </c>
      <c r="D31" s="364" t="s">
        <v>333</v>
      </c>
      <c r="E31" s="159" t="s">
        <v>334</v>
      </c>
      <c r="F31" s="365">
        <v>7.8</v>
      </c>
      <c r="G31" s="119">
        <v>3000.0</v>
      </c>
      <c r="H31" s="300">
        <f t="shared" si="1"/>
        <v>151470</v>
      </c>
      <c r="I31" s="133">
        <f>H31+P31</f>
        <v>329130</v>
      </c>
      <c r="J31" s="141">
        <v>50.49</v>
      </c>
      <c r="K31" s="121">
        <f>IFERROR(__xludf.DUMMYFUNCTION("GOOGLEFINANCE(E31,""changepct"")"),-1.76)</f>
        <v>-1.76</v>
      </c>
      <c r="L31" s="302">
        <f>IFERROR(__xludf.DUMMYFUNCTION("googlefinance(E31,""price"")"),109.71)</f>
        <v>109.71</v>
      </c>
      <c r="M31" s="123"/>
      <c r="N31" s="301">
        <f t="shared" si="2"/>
        <v>59.22</v>
      </c>
      <c r="O31" s="139">
        <f>L31/J31-1</f>
        <v>1.172905526</v>
      </c>
      <c r="P31" s="300">
        <f t="shared" si="3"/>
        <v>177660</v>
      </c>
      <c r="Q31" s="116"/>
      <c r="R31" s="300"/>
      <c r="S31" s="127"/>
      <c r="T31" s="128"/>
      <c r="U31" s="123"/>
      <c r="V31" s="129"/>
      <c r="W31" s="127" t="s">
        <v>334</v>
      </c>
      <c r="X31" s="128">
        <v>44985.0</v>
      </c>
      <c r="Y31" s="123">
        <v>50.49</v>
      </c>
      <c r="Z31" s="129">
        <v>151470.0</v>
      </c>
    </row>
    <row r="32">
      <c r="A32" s="114"/>
      <c r="B32" s="115"/>
      <c r="C32" s="116">
        <f>I32/E182</f>
        <v>0</v>
      </c>
      <c r="D32" s="364" t="s">
        <v>333</v>
      </c>
      <c r="E32" s="159" t="s">
        <v>334</v>
      </c>
      <c r="F32" s="365">
        <v>7.8</v>
      </c>
      <c r="G32" s="119">
        <v>3000.0</v>
      </c>
      <c r="H32" s="300">
        <f t="shared" si="1"/>
        <v>115650</v>
      </c>
      <c r="I32" s="133">
        <v>0.0</v>
      </c>
      <c r="J32" s="141">
        <v>38.55</v>
      </c>
      <c r="K32" s="121">
        <f>IFERROR(__xludf.DUMMYFUNCTION("GOOGLEFINANCE(E32,""changepct"")"),-1.76)</f>
        <v>-1.76</v>
      </c>
      <c r="L32" s="302">
        <f>IFERROR(__xludf.DUMMYFUNCTION("googlefinance(E32,""price"")"),109.71)</f>
        <v>109.71</v>
      </c>
      <c r="M32" s="123">
        <v>55.26</v>
      </c>
      <c r="N32" s="301">
        <f t="shared" si="2"/>
        <v>71.16</v>
      </c>
      <c r="O32" s="139">
        <f t="shared" ref="O32:O34" si="11">M32/J32-1</f>
        <v>0.433463035</v>
      </c>
      <c r="P32" s="300">
        <f t="shared" si="3"/>
        <v>50130</v>
      </c>
      <c r="Q32" s="116"/>
      <c r="R32" s="300"/>
      <c r="S32" s="127" t="s">
        <v>334</v>
      </c>
      <c r="T32" s="128">
        <v>44959.0</v>
      </c>
      <c r="U32" s="123">
        <v>55.26</v>
      </c>
      <c r="V32" s="129">
        <v>165780.0</v>
      </c>
      <c r="W32" s="127"/>
      <c r="X32" s="128"/>
      <c r="Y32" s="123"/>
      <c r="Z32" s="129"/>
    </row>
    <row r="33">
      <c r="A33" s="114"/>
      <c r="B33" s="115"/>
      <c r="C33" s="116">
        <f>I33/E182</f>
        <v>0</v>
      </c>
      <c r="D33" s="117" t="s">
        <v>560</v>
      </c>
      <c r="E33" s="117" t="s">
        <v>561</v>
      </c>
      <c r="F33" s="118">
        <v>5.0</v>
      </c>
      <c r="G33" s="119">
        <v>10000.0</v>
      </c>
      <c r="H33" s="300">
        <f t="shared" si="1"/>
        <v>123000</v>
      </c>
      <c r="I33" s="133">
        <v>0.0</v>
      </c>
      <c r="J33" s="141">
        <v>12.3</v>
      </c>
      <c r="K33" s="121">
        <f>IFERROR(__xludf.DUMMYFUNCTION("GOOGLEFINANCE(E33,""changepct"")"),-4.23)</f>
        <v>-4.23</v>
      </c>
      <c r="L33" s="302">
        <f>IFERROR(__xludf.DUMMYFUNCTION("googlefinance(E33,""price"")"),7.93)</f>
        <v>7.93</v>
      </c>
      <c r="M33" s="123">
        <v>6.96</v>
      </c>
      <c r="N33" s="301">
        <f t="shared" si="2"/>
        <v>-4.37</v>
      </c>
      <c r="O33" s="139">
        <f t="shared" si="11"/>
        <v>-0.4341463415</v>
      </c>
      <c r="P33" s="300">
        <f t="shared" si="3"/>
        <v>-53400</v>
      </c>
      <c r="Q33" s="116"/>
      <c r="R33" s="300"/>
      <c r="S33" s="127" t="s">
        <v>561</v>
      </c>
      <c r="T33" s="128">
        <v>44986.0</v>
      </c>
      <c r="U33" s="123">
        <v>6.96</v>
      </c>
      <c r="V33" s="129">
        <v>69600.0</v>
      </c>
      <c r="W33" s="127" t="s">
        <v>561</v>
      </c>
      <c r="X33" s="128">
        <v>44943.0</v>
      </c>
      <c r="Y33" s="123">
        <v>12.3</v>
      </c>
      <c r="Z33" s="129">
        <v>123000.0</v>
      </c>
    </row>
    <row r="34">
      <c r="A34" s="114"/>
      <c r="B34" s="115"/>
      <c r="C34" s="116">
        <f>I34/E182</f>
        <v>0</v>
      </c>
      <c r="D34" s="117" t="s">
        <v>562</v>
      </c>
      <c r="E34" s="117" t="s">
        <v>563</v>
      </c>
      <c r="F34" s="118">
        <v>6.2</v>
      </c>
      <c r="G34" s="119">
        <v>5000.0</v>
      </c>
      <c r="H34" s="300">
        <f t="shared" si="1"/>
        <v>237500</v>
      </c>
      <c r="I34" s="133">
        <v>0.0</v>
      </c>
      <c r="J34" s="141">
        <v>47.5</v>
      </c>
      <c r="K34" s="121">
        <f>IFERROR(__xludf.DUMMYFUNCTION("GOOGLEFINANCE(E34,""changepct"")"),-1.08)</f>
        <v>-1.08</v>
      </c>
      <c r="L34" s="302">
        <f>IFERROR(__xludf.DUMMYFUNCTION("googlefinance(E34,""price"")"),73.93)</f>
        <v>73.93</v>
      </c>
      <c r="M34" s="123">
        <v>57.63</v>
      </c>
      <c r="N34" s="301">
        <f t="shared" si="2"/>
        <v>26.43</v>
      </c>
      <c r="O34" s="139">
        <f t="shared" si="11"/>
        <v>0.2132631579</v>
      </c>
      <c r="P34" s="300">
        <f t="shared" si="3"/>
        <v>50650</v>
      </c>
      <c r="Q34" s="116"/>
      <c r="R34" s="300"/>
      <c r="S34" s="127" t="s">
        <v>563</v>
      </c>
      <c r="T34" s="128">
        <v>44999.0</v>
      </c>
      <c r="U34" s="123">
        <v>57.63</v>
      </c>
      <c r="V34" s="129">
        <v>288150.0</v>
      </c>
      <c r="W34" s="127" t="s">
        <v>563</v>
      </c>
      <c r="X34" s="128">
        <v>44998.0</v>
      </c>
      <c r="Y34" s="123">
        <v>47.5</v>
      </c>
      <c r="Z34" s="129">
        <v>237500.0</v>
      </c>
    </row>
    <row r="35">
      <c r="A35" s="114"/>
      <c r="B35" s="115"/>
      <c r="C35" s="116">
        <f>I35/E182</f>
        <v>0.01601836565</v>
      </c>
      <c r="D35" s="284" t="s">
        <v>483</v>
      </c>
      <c r="E35" s="284" t="s">
        <v>484</v>
      </c>
      <c r="F35" s="118">
        <v>7.5</v>
      </c>
      <c r="G35" s="299">
        <v>10000.0</v>
      </c>
      <c r="H35" s="300">
        <f t="shared" si="1"/>
        <v>184100</v>
      </c>
      <c r="I35" s="300">
        <f>H35+P35</f>
        <v>226100</v>
      </c>
      <c r="J35" s="141">
        <v>18.41</v>
      </c>
      <c r="K35" s="121">
        <f>IFERROR(__xludf.DUMMYFUNCTION("GOOGLEFINANCE(E35,""changepct"")"),-1.09)</f>
        <v>-1.09</v>
      </c>
      <c r="L35" s="302">
        <f>IFERROR(__xludf.DUMMYFUNCTION("googlefinance(E35,""price"")"),22.61)</f>
        <v>22.61</v>
      </c>
      <c r="M35" s="126"/>
      <c r="N35" s="301">
        <f t="shared" si="2"/>
        <v>4.2</v>
      </c>
      <c r="O35" s="139">
        <f>L35/J35-1</f>
        <v>0.2281368821</v>
      </c>
      <c r="P35" s="300">
        <f t="shared" si="3"/>
        <v>42000</v>
      </c>
      <c r="Q35" s="363">
        <v>0.0585</v>
      </c>
      <c r="R35" s="133">
        <v>2779.0</v>
      </c>
      <c r="S35" s="360"/>
      <c r="T35" s="298"/>
      <c r="U35" s="126"/>
      <c r="V35" s="125"/>
      <c r="W35" s="360"/>
      <c r="X35" s="298"/>
      <c r="Y35" s="126"/>
      <c r="Z35" s="125"/>
    </row>
    <row r="36">
      <c r="A36" s="114"/>
      <c r="B36" s="115"/>
      <c r="C36" s="116">
        <f>I36/E182</f>
        <v>0</v>
      </c>
      <c r="D36" s="284" t="s">
        <v>564</v>
      </c>
      <c r="E36" s="284" t="s">
        <v>443</v>
      </c>
      <c r="F36" s="118">
        <v>7.3</v>
      </c>
      <c r="G36" s="299">
        <v>15000.0</v>
      </c>
      <c r="H36" s="300">
        <f t="shared" si="1"/>
        <v>142200</v>
      </c>
      <c r="I36" s="133">
        <v>0.0</v>
      </c>
      <c r="J36" s="141">
        <v>9.48</v>
      </c>
      <c r="K36" s="121">
        <f>IFERROR(__xludf.DUMMYFUNCTION("GOOGLEFINANCE(E36,""changepct"")"),-0.94)</f>
        <v>-0.94</v>
      </c>
      <c r="L36" s="302">
        <f>IFERROR(__xludf.DUMMYFUNCTION("googlefinance(E36,""price"")"),10.51)</f>
        <v>10.51</v>
      </c>
      <c r="M36" s="123">
        <v>12.44</v>
      </c>
      <c r="N36" s="301">
        <f t="shared" si="2"/>
        <v>1.03</v>
      </c>
      <c r="O36" s="139">
        <f>M36/J36-1</f>
        <v>0.3122362869</v>
      </c>
      <c r="P36" s="300">
        <f t="shared" si="3"/>
        <v>44400</v>
      </c>
      <c r="Q36" s="124"/>
      <c r="R36" s="125"/>
      <c r="S36" s="127" t="s">
        <v>443</v>
      </c>
      <c r="T36" s="128">
        <v>44945.0</v>
      </c>
      <c r="U36" s="123">
        <v>12.44</v>
      </c>
      <c r="V36" s="129">
        <v>186600.0</v>
      </c>
      <c r="W36" s="360"/>
      <c r="X36" s="298"/>
      <c r="Y36" s="126"/>
      <c r="Z36" s="125"/>
    </row>
    <row r="37">
      <c r="A37" s="351"/>
      <c r="B37" s="352"/>
      <c r="C37" s="352" t="s">
        <v>89</v>
      </c>
      <c r="D37" s="352"/>
      <c r="E37" s="352"/>
      <c r="F37" s="352"/>
      <c r="G37" s="356"/>
      <c r="H37" s="366">
        <f t="shared" ref="H37:I37" si="12">SUM(H3:H36)</f>
        <v>5940552</v>
      </c>
      <c r="I37" s="367">
        <f t="shared" si="12"/>
        <v>11338905</v>
      </c>
      <c r="J37" s="354"/>
      <c r="K37" s="354"/>
      <c r="L37" s="354"/>
      <c r="M37" s="355"/>
      <c r="N37" s="355"/>
      <c r="O37" s="368">
        <v>0.2773</v>
      </c>
      <c r="P37" s="369">
        <v>1100098.0</v>
      </c>
      <c r="Q37" s="370"/>
      <c r="R37" s="366">
        <f>SUM(R3:R36)</f>
        <v>2779</v>
      </c>
      <c r="S37" s="352" t="s">
        <v>89</v>
      </c>
      <c r="T37" s="371"/>
      <c r="U37" s="372"/>
      <c r="V37" s="366">
        <f>SUM(V3:V36)</f>
        <v>3967550</v>
      </c>
      <c r="W37" s="352" t="s">
        <v>89</v>
      </c>
      <c r="X37" s="371"/>
      <c r="Y37" s="372"/>
      <c r="Z37" s="366">
        <f>SUM(Z3:Z36)</f>
        <v>2801510</v>
      </c>
    </row>
    <row r="38">
      <c r="A38" s="373"/>
      <c r="B38" s="352" t="s">
        <v>342</v>
      </c>
      <c r="C38" s="352" t="s">
        <v>2</v>
      </c>
      <c r="D38" s="358" t="s">
        <v>3</v>
      </c>
      <c r="E38" s="352" t="s">
        <v>4</v>
      </c>
      <c r="F38" s="352" t="s">
        <v>5</v>
      </c>
      <c r="G38" s="374" t="s">
        <v>6</v>
      </c>
      <c r="H38" s="352" t="s">
        <v>7</v>
      </c>
      <c r="I38" s="353" t="s">
        <v>8</v>
      </c>
      <c r="J38" s="353" t="s">
        <v>9</v>
      </c>
      <c r="K38" s="354" t="s">
        <v>10</v>
      </c>
      <c r="L38" s="354" t="s">
        <v>11</v>
      </c>
      <c r="M38" s="354" t="s">
        <v>476</v>
      </c>
      <c r="N38" s="355" t="s">
        <v>13</v>
      </c>
      <c r="O38" s="352" t="s">
        <v>14</v>
      </c>
      <c r="P38" s="355" t="s">
        <v>15</v>
      </c>
      <c r="Q38" s="375" t="s">
        <v>16</v>
      </c>
      <c r="R38" s="356" t="s">
        <v>17</v>
      </c>
      <c r="S38" s="352" t="s">
        <v>21</v>
      </c>
      <c r="T38" s="376" t="s">
        <v>22</v>
      </c>
      <c r="U38" s="357" t="s">
        <v>23</v>
      </c>
      <c r="V38" s="357" t="s">
        <v>24</v>
      </c>
      <c r="W38" s="352" t="s">
        <v>25</v>
      </c>
      <c r="X38" s="352" t="s">
        <v>26</v>
      </c>
      <c r="Y38" s="357" t="s">
        <v>27</v>
      </c>
      <c r="Z38" s="356" t="s">
        <v>28</v>
      </c>
    </row>
    <row r="39">
      <c r="A39" s="377" t="s">
        <v>29</v>
      </c>
      <c r="B39" s="362">
        <f>I51/E182</f>
        <v>0.08022041441</v>
      </c>
      <c r="C39" s="116">
        <f>I39/E182</f>
        <v>0</v>
      </c>
      <c r="D39" s="304" t="s">
        <v>346</v>
      </c>
      <c r="E39" s="304" t="s">
        <v>347</v>
      </c>
      <c r="F39" s="359">
        <v>8.1</v>
      </c>
      <c r="G39" s="119">
        <v>4000.0</v>
      </c>
      <c r="H39" s="300">
        <f t="shared" ref="H39:H50" si="13">G39*J39</f>
        <v>352360</v>
      </c>
      <c r="I39" s="133">
        <v>0.0</v>
      </c>
      <c r="J39" s="141">
        <v>88.09</v>
      </c>
      <c r="K39" s="121">
        <f>IFERROR(__xludf.DUMMYFUNCTION("GOOGLEFINANCE(E39,""changepct"")"),-1.09)</f>
        <v>-1.09</v>
      </c>
      <c r="L39" s="302">
        <f>IFERROR(__xludf.DUMMYFUNCTION("googlefinance(E39,""price"")"),84.13)</f>
        <v>84.13</v>
      </c>
      <c r="M39" s="123">
        <v>114.64</v>
      </c>
      <c r="N39" s="301">
        <f t="shared" ref="N39:N50" si="14">L39-J39</f>
        <v>-3.96</v>
      </c>
      <c r="O39" s="139">
        <f>M39/J39-1</f>
        <v>0.3013962992</v>
      </c>
      <c r="P39" s="300">
        <f t="shared" ref="P39:P50" si="15">H39*O39</f>
        <v>106200</v>
      </c>
      <c r="Q39" s="124"/>
      <c r="R39" s="125"/>
      <c r="S39" s="127" t="s">
        <v>347</v>
      </c>
      <c r="T39" s="128">
        <v>44944.0</v>
      </c>
      <c r="U39" s="123">
        <v>114.64</v>
      </c>
      <c r="V39" s="129">
        <v>458560.0</v>
      </c>
      <c r="W39" s="360"/>
      <c r="X39" s="115"/>
      <c r="Y39" s="126"/>
      <c r="Z39" s="125"/>
    </row>
    <row r="40">
      <c r="A40" s="114"/>
      <c r="B40" s="115"/>
      <c r="C40" s="116">
        <f>I40/E182</f>
        <v>0.01192061125</v>
      </c>
      <c r="D40" s="304" t="s">
        <v>346</v>
      </c>
      <c r="E40" s="304" t="s">
        <v>347</v>
      </c>
      <c r="F40" s="359">
        <v>8.1</v>
      </c>
      <c r="G40" s="119">
        <v>2000.0</v>
      </c>
      <c r="H40" s="300">
        <f t="shared" si="13"/>
        <v>221940</v>
      </c>
      <c r="I40" s="300">
        <f t="shared" ref="I40:I43" si="16">H40+P40</f>
        <v>168260</v>
      </c>
      <c r="J40" s="141">
        <v>110.97</v>
      </c>
      <c r="K40" s="121">
        <f>IFERROR(__xludf.DUMMYFUNCTION("GOOGLEFINANCE(E40,""changepct"")"),-1.09)</f>
        <v>-1.09</v>
      </c>
      <c r="L40" s="302">
        <f>IFERROR(__xludf.DUMMYFUNCTION("googlefinance(E40,""price"")"),84.13)</f>
        <v>84.13</v>
      </c>
      <c r="M40" s="123"/>
      <c r="N40" s="301">
        <f t="shared" si="14"/>
        <v>-26.84</v>
      </c>
      <c r="O40" s="139">
        <f t="shared" ref="O40:O43" si="17">L40/J40-1</f>
        <v>-0.2418671713</v>
      </c>
      <c r="P40" s="300">
        <f t="shared" si="15"/>
        <v>-53680</v>
      </c>
      <c r="Q40" s="124"/>
      <c r="R40" s="125"/>
      <c r="S40" s="127"/>
      <c r="T40" s="128"/>
      <c r="U40" s="123"/>
      <c r="V40" s="129"/>
      <c r="W40" s="127" t="s">
        <v>347</v>
      </c>
      <c r="X40" s="128">
        <v>44958.0</v>
      </c>
      <c r="Y40" s="123">
        <v>110.97</v>
      </c>
      <c r="Z40" s="129">
        <v>221940.0</v>
      </c>
    </row>
    <row r="41">
      <c r="A41" s="114"/>
      <c r="B41" s="115"/>
      <c r="C41" s="116">
        <f>I41/E182</f>
        <v>0.01192061125</v>
      </c>
      <c r="D41" s="304" t="s">
        <v>346</v>
      </c>
      <c r="E41" s="304" t="s">
        <v>347</v>
      </c>
      <c r="F41" s="359">
        <v>8.1</v>
      </c>
      <c r="G41" s="119">
        <v>2000.0</v>
      </c>
      <c r="H41" s="300">
        <f t="shared" si="13"/>
        <v>229280</v>
      </c>
      <c r="I41" s="300">
        <f t="shared" si="16"/>
        <v>168260</v>
      </c>
      <c r="J41" s="141">
        <v>114.64</v>
      </c>
      <c r="K41" s="121">
        <f>IFERROR(__xludf.DUMMYFUNCTION("GOOGLEFINANCE(E41,""changepct"")"),-1.09)</f>
        <v>-1.09</v>
      </c>
      <c r="L41" s="302">
        <f>IFERROR(__xludf.DUMMYFUNCTION("googlefinance(E41,""price"")"),84.13)</f>
        <v>84.13</v>
      </c>
      <c r="M41" s="123"/>
      <c r="N41" s="301">
        <f t="shared" si="14"/>
        <v>-30.51</v>
      </c>
      <c r="O41" s="139">
        <f t="shared" si="17"/>
        <v>-0.2661374738</v>
      </c>
      <c r="P41" s="300">
        <f t="shared" si="15"/>
        <v>-61020</v>
      </c>
      <c r="Q41" s="124"/>
      <c r="R41" s="125"/>
      <c r="S41" s="127"/>
      <c r="T41" s="128"/>
      <c r="U41" s="123"/>
      <c r="V41" s="129"/>
      <c r="W41" s="127" t="s">
        <v>347</v>
      </c>
      <c r="X41" s="128">
        <v>44944.0</v>
      </c>
      <c r="Y41" s="123">
        <v>114.64</v>
      </c>
      <c r="Z41" s="129">
        <v>229280.0</v>
      </c>
    </row>
    <row r="42">
      <c r="A42" s="114"/>
      <c r="B42" s="115"/>
      <c r="C42" s="116">
        <f>I42/E182</f>
        <v>0.01192061125</v>
      </c>
      <c r="D42" s="304" t="s">
        <v>346</v>
      </c>
      <c r="E42" s="304" t="s">
        <v>347</v>
      </c>
      <c r="F42" s="359">
        <v>8.1</v>
      </c>
      <c r="G42" s="119">
        <v>2000.0</v>
      </c>
      <c r="H42" s="300">
        <f t="shared" si="13"/>
        <v>199420</v>
      </c>
      <c r="I42" s="300">
        <f t="shared" si="16"/>
        <v>168260</v>
      </c>
      <c r="J42" s="141">
        <v>99.71</v>
      </c>
      <c r="K42" s="121">
        <f>IFERROR(__xludf.DUMMYFUNCTION("GOOGLEFINANCE(E42,""changepct"")"),-1.09)</f>
        <v>-1.09</v>
      </c>
      <c r="L42" s="302">
        <f>IFERROR(__xludf.DUMMYFUNCTION("googlefinance(E42,""price"")"),84.13)</f>
        <v>84.13</v>
      </c>
      <c r="M42" s="123"/>
      <c r="N42" s="301">
        <f t="shared" si="14"/>
        <v>-15.58</v>
      </c>
      <c r="O42" s="139">
        <f t="shared" si="17"/>
        <v>-0.1562531341</v>
      </c>
      <c r="P42" s="300">
        <f t="shared" si="15"/>
        <v>-31160</v>
      </c>
      <c r="Q42" s="124"/>
      <c r="R42" s="125"/>
      <c r="S42" s="127"/>
      <c r="T42" s="128"/>
      <c r="U42" s="123"/>
      <c r="V42" s="129"/>
      <c r="W42" s="127" t="s">
        <v>347</v>
      </c>
      <c r="X42" s="128">
        <v>37709.0</v>
      </c>
      <c r="Y42" s="123">
        <v>99.71</v>
      </c>
      <c r="Z42" s="129">
        <v>199420.0</v>
      </c>
    </row>
    <row r="43">
      <c r="A43" s="114"/>
      <c r="B43" s="115"/>
      <c r="C43" s="116">
        <f>I43/E182</f>
        <v>0.008931956873</v>
      </c>
      <c r="D43" s="304" t="s">
        <v>530</v>
      </c>
      <c r="E43" s="304" t="s">
        <v>34</v>
      </c>
      <c r="F43" s="359">
        <v>8.1</v>
      </c>
      <c r="G43" s="119">
        <v>1500.0</v>
      </c>
      <c r="H43" s="300">
        <f t="shared" si="13"/>
        <v>215460</v>
      </c>
      <c r="I43" s="300">
        <f t="shared" si="16"/>
        <v>126075</v>
      </c>
      <c r="J43" s="141">
        <v>143.64</v>
      </c>
      <c r="K43" s="121">
        <f>IFERROR(__xludf.DUMMYFUNCTION("GOOGLEFINANCE(E43,""changepct"")"),-2.94)</f>
        <v>-2.94</v>
      </c>
      <c r="L43" s="302">
        <f>IFERROR(__xludf.DUMMYFUNCTION("googlefinance(E43,""price"")"),84.05)</f>
        <v>84.05</v>
      </c>
      <c r="M43" s="123"/>
      <c r="N43" s="301">
        <f t="shared" si="14"/>
        <v>-59.59</v>
      </c>
      <c r="O43" s="139">
        <f t="shared" si="17"/>
        <v>-0.4148565859</v>
      </c>
      <c r="P43" s="300">
        <f t="shared" si="15"/>
        <v>-89385</v>
      </c>
      <c r="Q43" s="124"/>
      <c r="R43" s="125"/>
      <c r="S43" s="127"/>
      <c r="T43" s="128"/>
      <c r="U43" s="123"/>
      <c r="V43" s="129"/>
      <c r="W43" s="127" t="s">
        <v>34</v>
      </c>
      <c r="X43" s="128">
        <v>44992.0</v>
      </c>
      <c r="Y43" s="123">
        <v>143.64</v>
      </c>
      <c r="Z43" s="129">
        <v>215460.0</v>
      </c>
    </row>
    <row r="44">
      <c r="A44" s="114"/>
      <c r="B44" s="115"/>
      <c r="C44" s="116">
        <f>I44/E182</f>
        <v>0</v>
      </c>
      <c r="D44" s="304" t="s">
        <v>530</v>
      </c>
      <c r="E44" s="304" t="s">
        <v>34</v>
      </c>
      <c r="F44" s="359">
        <v>8.1</v>
      </c>
      <c r="G44" s="119">
        <v>1000.0</v>
      </c>
      <c r="H44" s="300">
        <f t="shared" si="13"/>
        <v>132010</v>
      </c>
      <c r="I44" s="133">
        <v>0.0</v>
      </c>
      <c r="J44" s="141">
        <v>132.01</v>
      </c>
      <c r="K44" s="121">
        <f>IFERROR(__xludf.DUMMYFUNCTION("GOOGLEFINANCE(E44,""changepct"")"),-2.94)</f>
        <v>-2.94</v>
      </c>
      <c r="L44" s="302">
        <f>IFERROR(__xludf.DUMMYFUNCTION("googlefinance(E44,""price"")"),84.05)</f>
        <v>84.05</v>
      </c>
      <c r="M44" s="123">
        <v>149.2</v>
      </c>
      <c r="N44" s="301">
        <f t="shared" si="14"/>
        <v>-47.96</v>
      </c>
      <c r="O44" s="139">
        <f t="shared" ref="O44:O45" si="18">M44/J44-1</f>
        <v>0.1302174078</v>
      </c>
      <c r="P44" s="300">
        <f t="shared" si="15"/>
        <v>17190</v>
      </c>
      <c r="Q44" s="124"/>
      <c r="R44" s="125"/>
      <c r="S44" s="127" t="s">
        <v>34</v>
      </c>
      <c r="T44" s="128">
        <v>45007.0</v>
      </c>
      <c r="U44" s="123">
        <v>149.2</v>
      </c>
      <c r="V44" s="129">
        <v>149200.0</v>
      </c>
      <c r="W44" s="127" t="s">
        <v>34</v>
      </c>
      <c r="X44" s="128">
        <v>44998.0</v>
      </c>
      <c r="Y44" s="123">
        <v>132.01</v>
      </c>
      <c r="Z44" s="129">
        <v>132010.0</v>
      </c>
    </row>
    <row r="45">
      <c r="A45" s="114"/>
      <c r="B45" s="115"/>
      <c r="C45" s="116">
        <f>I45/E182</f>
        <v>0</v>
      </c>
      <c r="D45" s="304" t="s">
        <v>530</v>
      </c>
      <c r="E45" s="304" t="s">
        <v>34</v>
      </c>
      <c r="F45" s="359">
        <v>8.1</v>
      </c>
      <c r="G45" s="119">
        <v>3000.0</v>
      </c>
      <c r="H45" s="300">
        <f t="shared" si="13"/>
        <v>343140</v>
      </c>
      <c r="I45" s="133">
        <v>0.0</v>
      </c>
      <c r="J45" s="141">
        <v>114.38</v>
      </c>
      <c r="K45" s="121">
        <f>IFERROR(__xludf.DUMMYFUNCTION("GOOGLEFINANCE(E45,""changepct"")"),-2.94)</f>
        <v>-2.94</v>
      </c>
      <c r="L45" s="302">
        <f>IFERROR(__xludf.DUMMYFUNCTION("googlefinance(E45,""price"")"),84.05)</f>
        <v>84.05</v>
      </c>
      <c r="M45" s="123">
        <v>143.64</v>
      </c>
      <c r="N45" s="301">
        <f t="shared" si="14"/>
        <v>-30.33</v>
      </c>
      <c r="O45" s="139">
        <f t="shared" si="18"/>
        <v>0.2558139535</v>
      </c>
      <c r="P45" s="300">
        <f t="shared" si="15"/>
        <v>87780</v>
      </c>
      <c r="Q45" s="124"/>
      <c r="R45" s="125"/>
      <c r="S45" s="127" t="s">
        <v>34</v>
      </c>
      <c r="T45" s="128">
        <v>44992.0</v>
      </c>
      <c r="U45" s="123">
        <v>143.64</v>
      </c>
      <c r="V45" s="129">
        <v>430920.0</v>
      </c>
      <c r="W45" s="127"/>
      <c r="X45" s="128"/>
      <c r="Y45" s="123"/>
      <c r="Z45" s="129"/>
    </row>
    <row r="46">
      <c r="A46" s="114"/>
      <c r="B46" s="115"/>
      <c r="C46" s="116">
        <f>I46/E182</f>
        <v>0.009708787388</v>
      </c>
      <c r="D46" s="117" t="s">
        <v>487</v>
      </c>
      <c r="E46" s="117" t="s">
        <v>302</v>
      </c>
      <c r="F46" s="118">
        <v>7.9</v>
      </c>
      <c r="G46" s="119">
        <v>4000.0</v>
      </c>
      <c r="H46" s="300">
        <f t="shared" si="13"/>
        <v>158120</v>
      </c>
      <c r="I46" s="133">
        <f t="shared" ref="I46:I47" si="19">H46+P46</f>
        <v>137040</v>
      </c>
      <c r="J46" s="141">
        <v>39.53</v>
      </c>
      <c r="K46" s="121">
        <f>IFERROR(__xludf.DUMMYFUNCTION("GOOGLEFINANCE(E46,""changepct"")"),-2.06)</f>
        <v>-2.06</v>
      </c>
      <c r="L46" s="302">
        <f>IFERROR(__xludf.DUMMYFUNCTION("googlefinance(E46,""price"")"),34.26)</f>
        <v>34.26</v>
      </c>
      <c r="M46" s="302"/>
      <c r="N46" s="301">
        <f t="shared" si="14"/>
        <v>-5.27</v>
      </c>
      <c r="O46" s="139">
        <f t="shared" ref="O46:O47" si="20">L46/J46-1</f>
        <v>-0.1333164685</v>
      </c>
      <c r="P46" s="300">
        <f t="shared" si="15"/>
        <v>-21080</v>
      </c>
      <c r="Q46" s="124"/>
      <c r="R46" s="125"/>
      <c r="S46" s="127"/>
      <c r="T46" s="128"/>
      <c r="U46" s="123"/>
      <c r="V46" s="129"/>
      <c r="W46" s="127" t="s">
        <v>302</v>
      </c>
      <c r="X46" s="287">
        <v>44998.0</v>
      </c>
      <c r="Y46" s="141">
        <v>39.53</v>
      </c>
      <c r="Z46" s="133">
        <v>158120.0</v>
      </c>
    </row>
    <row r="47">
      <c r="A47" s="114"/>
      <c r="B47" s="115"/>
      <c r="C47" s="116">
        <f>I47/E182</f>
        <v>0.01337437889</v>
      </c>
      <c r="D47" s="284" t="s">
        <v>343</v>
      </c>
      <c r="E47" s="284" t="s">
        <v>301</v>
      </c>
      <c r="F47" s="118">
        <v>8.0</v>
      </c>
      <c r="G47" s="119">
        <v>2000.0</v>
      </c>
      <c r="H47" s="300">
        <f t="shared" si="13"/>
        <v>151480</v>
      </c>
      <c r="I47" s="133">
        <f t="shared" si="19"/>
        <v>188780</v>
      </c>
      <c r="J47" s="141">
        <v>75.74</v>
      </c>
      <c r="K47" s="121">
        <f>IFERROR(__xludf.DUMMYFUNCTION("GOOGLEFINANCE(E47,""changepct"")"),-3.14)</f>
        <v>-3.14</v>
      </c>
      <c r="L47" s="302">
        <f>IFERROR(__xludf.DUMMYFUNCTION("googlefinance(E47,""price"")"),94.39)</f>
        <v>94.39</v>
      </c>
      <c r="M47" s="123"/>
      <c r="N47" s="301">
        <f t="shared" si="14"/>
        <v>18.65</v>
      </c>
      <c r="O47" s="139">
        <f t="shared" si="20"/>
        <v>0.246237127</v>
      </c>
      <c r="P47" s="300">
        <f t="shared" si="15"/>
        <v>37300</v>
      </c>
      <c r="Q47" s="124"/>
      <c r="R47" s="125"/>
      <c r="S47" s="127"/>
      <c r="T47" s="128"/>
      <c r="U47" s="123"/>
      <c r="V47" s="129"/>
      <c r="W47" s="127" t="s">
        <v>301</v>
      </c>
      <c r="X47" s="287">
        <v>45007.0</v>
      </c>
      <c r="Y47" s="141">
        <v>75.74</v>
      </c>
      <c r="Z47" s="133">
        <v>151480.0</v>
      </c>
    </row>
    <row r="48">
      <c r="A48" s="114"/>
      <c r="B48" s="115"/>
      <c r="C48" s="116">
        <f>I48/E182</f>
        <v>0</v>
      </c>
      <c r="D48" s="284" t="s">
        <v>343</v>
      </c>
      <c r="E48" s="284" t="s">
        <v>301</v>
      </c>
      <c r="F48" s="118">
        <v>8.0</v>
      </c>
      <c r="G48" s="119">
        <v>1000.0</v>
      </c>
      <c r="H48" s="300">
        <f t="shared" si="13"/>
        <v>81550</v>
      </c>
      <c r="I48" s="133">
        <v>0.0</v>
      </c>
      <c r="J48" s="141">
        <v>81.55</v>
      </c>
      <c r="K48" s="121">
        <f>IFERROR(__xludf.DUMMYFUNCTION("GOOGLEFINANCE(E48,""changepct"")"),-3.14)</f>
        <v>-3.14</v>
      </c>
      <c r="L48" s="302">
        <f>IFERROR(__xludf.DUMMYFUNCTION("googlefinance(E48,""price"")"),94.39)</f>
        <v>94.39</v>
      </c>
      <c r="M48" s="123">
        <v>92.55</v>
      </c>
      <c r="N48" s="301">
        <f t="shared" si="14"/>
        <v>12.84</v>
      </c>
      <c r="O48" s="139">
        <f>M48/J48-1</f>
        <v>0.1348865727</v>
      </c>
      <c r="P48" s="300">
        <f t="shared" si="15"/>
        <v>11000</v>
      </c>
      <c r="Q48" s="124"/>
      <c r="R48" s="125"/>
      <c r="S48" s="127" t="s">
        <v>301</v>
      </c>
      <c r="T48" s="128">
        <v>44945.0</v>
      </c>
      <c r="U48" s="123">
        <v>92.55</v>
      </c>
      <c r="V48" s="129">
        <v>92550.0</v>
      </c>
      <c r="W48" s="127"/>
      <c r="X48" s="287"/>
      <c r="Y48" s="141"/>
      <c r="Z48" s="133"/>
    </row>
    <row r="49">
      <c r="A49" s="114"/>
      <c r="B49" s="115"/>
      <c r="C49" s="116">
        <f>I49/E182</f>
        <v>0.008409464849</v>
      </c>
      <c r="D49" s="117" t="s">
        <v>446</v>
      </c>
      <c r="E49" s="117" t="s">
        <v>447</v>
      </c>
      <c r="F49" s="118">
        <v>7.5</v>
      </c>
      <c r="G49" s="119">
        <v>10000.0</v>
      </c>
      <c r="H49" s="300">
        <f t="shared" si="13"/>
        <v>99400</v>
      </c>
      <c r="I49" s="300">
        <f t="shared" ref="I49:I50" si="21">H49+P49</f>
        <v>118700</v>
      </c>
      <c r="J49" s="141">
        <v>9.94</v>
      </c>
      <c r="K49" s="121">
        <f>IFERROR(__xludf.DUMMYFUNCTION("GOOGLEFINANCE(E49,""changepct"")"),-6.02)</f>
        <v>-6.02</v>
      </c>
      <c r="L49" s="302">
        <f>IFERROR(__xludf.DUMMYFUNCTION("googlefinance(E49,""price"")"),11.87)</f>
        <v>11.87</v>
      </c>
      <c r="M49" s="123"/>
      <c r="N49" s="301">
        <f t="shared" si="14"/>
        <v>1.93</v>
      </c>
      <c r="O49" s="139">
        <f t="shared" ref="O49:O50" si="22">L49/J49-1</f>
        <v>0.1941649899</v>
      </c>
      <c r="P49" s="300">
        <f t="shared" si="15"/>
        <v>19300</v>
      </c>
      <c r="Q49" s="124"/>
      <c r="R49" s="125"/>
      <c r="S49" s="127"/>
      <c r="T49" s="128"/>
      <c r="U49" s="123"/>
      <c r="V49" s="129"/>
      <c r="W49" s="127"/>
      <c r="X49" s="287"/>
      <c r="Y49" s="141"/>
      <c r="Z49" s="133"/>
    </row>
    <row r="50">
      <c r="A50" s="114"/>
      <c r="B50" s="115"/>
      <c r="C50" s="116">
        <f>I50/E182</f>
        <v>0.004033992658</v>
      </c>
      <c r="D50" s="284" t="s">
        <v>490</v>
      </c>
      <c r="E50" s="284" t="s">
        <v>349</v>
      </c>
      <c r="F50" s="118">
        <v>7.7</v>
      </c>
      <c r="G50" s="119">
        <v>13000.0</v>
      </c>
      <c r="H50" s="300">
        <f t="shared" si="13"/>
        <v>126750</v>
      </c>
      <c r="I50" s="300">
        <f t="shared" si="21"/>
        <v>56940</v>
      </c>
      <c r="J50" s="141">
        <v>9.75</v>
      </c>
      <c r="K50" s="121">
        <f>IFERROR(__xludf.DUMMYFUNCTION("GOOGLEFINANCE(E50,""changepct"")"),-2.23)</f>
        <v>-2.23</v>
      </c>
      <c r="L50" s="302">
        <f>IFERROR(__xludf.DUMMYFUNCTION("googlefinance(E50,""price"")"),4.38)</f>
        <v>4.38</v>
      </c>
      <c r="M50" s="126"/>
      <c r="N50" s="301">
        <f t="shared" si="14"/>
        <v>-5.37</v>
      </c>
      <c r="O50" s="139">
        <f t="shared" si="22"/>
        <v>-0.5507692308</v>
      </c>
      <c r="P50" s="300">
        <f t="shared" si="15"/>
        <v>-69810</v>
      </c>
      <c r="Q50" s="124"/>
      <c r="R50" s="125"/>
      <c r="S50" s="360"/>
      <c r="T50" s="298"/>
      <c r="U50" s="126"/>
      <c r="V50" s="125"/>
      <c r="W50" s="360"/>
      <c r="X50" s="305"/>
      <c r="Y50" s="301"/>
      <c r="Z50" s="300"/>
    </row>
    <row r="51">
      <c r="A51" s="351"/>
      <c r="B51" s="352"/>
      <c r="C51" s="352" t="s">
        <v>89</v>
      </c>
      <c r="D51" s="352"/>
      <c r="E51" s="352"/>
      <c r="F51" s="352"/>
      <c r="G51" s="378"/>
      <c r="H51" s="366">
        <f t="shared" ref="H51:I51" si="23">SUM(H39:H50)</f>
        <v>2310910</v>
      </c>
      <c r="I51" s="367">
        <f t="shared" si="23"/>
        <v>1132315</v>
      </c>
      <c r="J51" s="354"/>
      <c r="K51" s="354"/>
      <c r="L51" s="354"/>
      <c r="M51" s="355"/>
      <c r="N51" s="355"/>
      <c r="O51" s="368">
        <v>0.166</v>
      </c>
      <c r="P51" s="369">
        <v>234870.0</v>
      </c>
      <c r="Q51" s="352"/>
      <c r="R51" s="366">
        <v>0.0</v>
      </c>
      <c r="S51" s="352" t="s">
        <v>89</v>
      </c>
      <c r="T51" s="371"/>
      <c r="U51" s="371"/>
      <c r="V51" s="366">
        <f>SUM(V39:V50)</f>
        <v>1131230</v>
      </c>
      <c r="W51" s="352" t="s">
        <v>89</v>
      </c>
      <c r="X51" s="371"/>
      <c r="Y51" s="372"/>
      <c r="Z51" s="366">
        <f>SUM(Z39:Z50)</f>
        <v>1307710</v>
      </c>
    </row>
    <row r="52">
      <c r="A52" s="373"/>
      <c r="B52" s="358" t="s">
        <v>565</v>
      </c>
      <c r="C52" s="352" t="s">
        <v>2</v>
      </c>
      <c r="D52" s="352" t="s">
        <v>3</v>
      </c>
      <c r="E52" s="352" t="s">
        <v>4</v>
      </c>
      <c r="F52" s="352" t="s">
        <v>5</v>
      </c>
      <c r="G52" s="352" t="s">
        <v>6</v>
      </c>
      <c r="H52" s="352" t="s">
        <v>7</v>
      </c>
      <c r="I52" s="353" t="s">
        <v>8</v>
      </c>
      <c r="J52" s="353" t="s">
        <v>9</v>
      </c>
      <c r="K52" s="354" t="s">
        <v>10</v>
      </c>
      <c r="L52" s="354" t="s">
        <v>11</v>
      </c>
      <c r="M52" s="355" t="s">
        <v>476</v>
      </c>
      <c r="N52" s="355" t="s">
        <v>13</v>
      </c>
      <c r="O52" s="352" t="s">
        <v>14</v>
      </c>
      <c r="P52" s="355" t="s">
        <v>15</v>
      </c>
      <c r="Q52" s="352" t="s">
        <v>16</v>
      </c>
      <c r="R52" s="352" t="s">
        <v>17</v>
      </c>
      <c r="S52" s="352" t="s">
        <v>21</v>
      </c>
      <c r="T52" s="352" t="s">
        <v>22</v>
      </c>
      <c r="U52" s="357" t="s">
        <v>23</v>
      </c>
      <c r="V52" s="357" t="s">
        <v>24</v>
      </c>
      <c r="W52" s="352" t="s">
        <v>25</v>
      </c>
      <c r="X52" s="352" t="s">
        <v>26</v>
      </c>
      <c r="Y52" s="352" t="s">
        <v>27</v>
      </c>
      <c r="Z52" s="352" t="s">
        <v>28</v>
      </c>
    </row>
    <row r="53">
      <c r="A53" s="377" t="s">
        <v>29</v>
      </c>
      <c r="B53" s="362">
        <f>I62/E182</f>
        <v>0.04220736621</v>
      </c>
      <c r="C53" s="116">
        <f>I53/E182</f>
        <v>0.004763710332</v>
      </c>
      <c r="D53" s="304" t="s">
        <v>304</v>
      </c>
      <c r="E53" s="304" t="s">
        <v>305</v>
      </c>
      <c r="F53" s="359">
        <v>7.4</v>
      </c>
      <c r="G53" s="299">
        <v>2000.0</v>
      </c>
      <c r="H53" s="300">
        <f t="shared" ref="H53:H61" si="24">J53*G53</f>
        <v>145880</v>
      </c>
      <c r="I53" s="300">
        <f t="shared" ref="I53:I54" si="25">H53+P53</f>
        <v>67240</v>
      </c>
      <c r="J53" s="141">
        <v>72.94</v>
      </c>
      <c r="K53" s="121">
        <f>IFERROR(__xludf.DUMMYFUNCTION("GOOGLEFINANCE(E53,""changepct"")"),-0.97)</f>
        <v>-0.97</v>
      </c>
      <c r="L53" s="301">
        <f>IFERROR(__xludf.DUMMYFUNCTION("googlefinance(E53,""price"")"),33.62)</f>
        <v>33.62</v>
      </c>
      <c r="M53" s="301"/>
      <c r="N53" s="301">
        <f t="shared" ref="N53:N61" si="26">L53-J53</f>
        <v>-39.32</v>
      </c>
      <c r="O53" s="139">
        <f t="shared" ref="O53:O54" si="27">L53/J53-1</f>
        <v>-0.5390732109</v>
      </c>
      <c r="P53" s="300">
        <f t="shared" ref="P53:P61" si="28">H53*O53</f>
        <v>-78640</v>
      </c>
      <c r="Q53" s="124"/>
      <c r="R53" s="125"/>
      <c r="S53" s="360"/>
      <c r="T53" s="305"/>
      <c r="U53" s="301"/>
      <c r="V53" s="300"/>
      <c r="W53" s="360"/>
      <c r="X53" s="115"/>
      <c r="Y53" s="126"/>
      <c r="Z53" s="125"/>
    </row>
    <row r="54">
      <c r="A54" s="114"/>
      <c r="B54" s="115"/>
      <c r="C54" s="116">
        <f>I54/E182</f>
        <v>0.006073305596</v>
      </c>
      <c r="D54" s="379" t="s">
        <v>306</v>
      </c>
      <c r="E54" s="379" t="s">
        <v>307</v>
      </c>
      <c r="F54" s="359">
        <v>7.5</v>
      </c>
      <c r="G54" s="299">
        <v>7500.0</v>
      </c>
      <c r="H54" s="300">
        <f t="shared" si="24"/>
        <v>148875</v>
      </c>
      <c r="I54" s="300">
        <f t="shared" si="25"/>
        <v>85725</v>
      </c>
      <c r="J54" s="141">
        <v>19.85</v>
      </c>
      <c r="K54" s="121">
        <f>IFERROR(__xludf.DUMMYFUNCTION("GOOGLEFINANCE(E54,""changepct"")"),-0.87)</f>
        <v>-0.87</v>
      </c>
      <c r="L54" s="301">
        <f>IFERROR(__xludf.DUMMYFUNCTION("googlefinance(E54,""price"")"),11.43)</f>
        <v>11.43</v>
      </c>
      <c r="M54" s="126"/>
      <c r="N54" s="301">
        <f t="shared" si="26"/>
        <v>-8.42</v>
      </c>
      <c r="O54" s="139">
        <f t="shared" si="27"/>
        <v>-0.4241813602</v>
      </c>
      <c r="P54" s="300">
        <f t="shared" si="28"/>
        <v>-63150</v>
      </c>
      <c r="Q54" s="116"/>
      <c r="R54" s="300"/>
      <c r="S54" s="360"/>
      <c r="T54" s="298"/>
      <c r="U54" s="126"/>
      <c r="V54" s="125"/>
      <c r="W54" s="360"/>
      <c r="X54" s="298"/>
      <c r="Y54" s="126"/>
      <c r="Z54" s="125"/>
    </row>
    <row r="55">
      <c r="A55" s="114"/>
      <c r="B55" s="115"/>
      <c r="C55" s="116">
        <f>I55/E182</f>
        <v>0</v>
      </c>
      <c r="D55" s="380" t="s">
        <v>389</v>
      </c>
      <c r="E55" s="381" t="s">
        <v>390</v>
      </c>
      <c r="F55" s="365">
        <v>7.3</v>
      </c>
      <c r="G55" s="119">
        <v>3000.0</v>
      </c>
      <c r="H55" s="300">
        <f t="shared" si="24"/>
        <v>92700</v>
      </c>
      <c r="I55" s="133">
        <v>0.0</v>
      </c>
      <c r="J55" s="141">
        <v>30.9</v>
      </c>
      <c r="K55" s="121">
        <f>IFERROR(__xludf.DUMMYFUNCTION("GOOGLEFINANCE(E55,""changepct"")"),-1.32)</f>
        <v>-1.32</v>
      </c>
      <c r="L55" s="301">
        <f>IFERROR(__xludf.DUMMYFUNCTION("googlefinance(E55,""price"")"),11.23)</f>
        <v>11.23</v>
      </c>
      <c r="M55" s="141">
        <v>42.87</v>
      </c>
      <c r="N55" s="301">
        <f t="shared" si="26"/>
        <v>-19.67</v>
      </c>
      <c r="O55" s="139">
        <f>M55/J55-1</f>
        <v>0.3873786408</v>
      </c>
      <c r="P55" s="300">
        <f t="shared" si="28"/>
        <v>35910</v>
      </c>
      <c r="Q55" s="116"/>
      <c r="R55" s="125"/>
      <c r="S55" s="127" t="s">
        <v>390</v>
      </c>
      <c r="T55" s="287">
        <v>44937.0</v>
      </c>
      <c r="U55" s="141">
        <v>42.87</v>
      </c>
      <c r="V55" s="133">
        <v>128610.0</v>
      </c>
      <c r="W55" s="127"/>
      <c r="X55" s="128"/>
      <c r="Y55" s="123"/>
      <c r="Z55" s="129"/>
    </row>
    <row r="56">
      <c r="A56" s="114"/>
      <c r="B56" s="115"/>
      <c r="C56" s="116">
        <f>I56/E182</f>
        <v>0.006500863476</v>
      </c>
      <c r="D56" s="231" t="s">
        <v>391</v>
      </c>
      <c r="E56" s="159" t="s">
        <v>392</v>
      </c>
      <c r="F56" s="365">
        <v>7.5</v>
      </c>
      <c r="G56" s="119">
        <v>4000.0</v>
      </c>
      <c r="H56" s="300">
        <f t="shared" si="24"/>
        <v>101360</v>
      </c>
      <c r="I56" s="300">
        <f>H56+P56</f>
        <v>91760</v>
      </c>
      <c r="J56" s="141">
        <v>25.34</v>
      </c>
      <c r="K56" s="121">
        <f>IFERROR(__xludf.DUMMYFUNCTION("GOOGLEFINANCE(E56,""changepct"")"),-0.52)</f>
        <v>-0.52</v>
      </c>
      <c r="L56" s="301">
        <f>IFERROR(__xludf.DUMMYFUNCTION("googlefinance(E56,""price"")"),22.94)</f>
        <v>22.94</v>
      </c>
      <c r="M56" s="141"/>
      <c r="N56" s="301">
        <f t="shared" si="26"/>
        <v>-2.4</v>
      </c>
      <c r="O56" s="139">
        <f>L56/J56-1</f>
        <v>-0.09471191792</v>
      </c>
      <c r="P56" s="300">
        <f t="shared" si="28"/>
        <v>-9600</v>
      </c>
      <c r="Q56" s="363">
        <v>0.044</v>
      </c>
      <c r="R56" s="129">
        <v>1342.0</v>
      </c>
      <c r="S56" s="127"/>
      <c r="T56" s="287"/>
      <c r="U56" s="141"/>
      <c r="V56" s="133"/>
      <c r="W56" s="127"/>
      <c r="X56" s="128"/>
      <c r="Y56" s="123"/>
      <c r="Z56" s="129"/>
    </row>
    <row r="57">
      <c r="A57" s="114"/>
      <c r="B57" s="115"/>
      <c r="C57" s="116">
        <f>I57/E182</f>
        <v>0</v>
      </c>
      <c r="D57" s="323" t="s">
        <v>493</v>
      </c>
      <c r="E57" s="323" t="s">
        <v>494</v>
      </c>
      <c r="F57" s="359">
        <v>7.4</v>
      </c>
      <c r="G57" s="119">
        <v>4000.0</v>
      </c>
      <c r="H57" s="300">
        <f t="shared" si="24"/>
        <v>144400</v>
      </c>
      <c r="I57" s="133">
        <v>0.0</v>
      </c>
      <c r="J57" s="141">
        <v>36.1</v>
      </c>
      <c r="K57" s="121">
        <f>IFERROR(__xludf.DUMMYFUNCTION("GOOGLEFINANCE(E57,""changepct"")"),0.45)</f>
        <v>0.45</v>
      </c>
      <c r="L57" s="301">
        <f>IFERROR(__xludf.DUMMYFUNCTION("googlefinance(E57,""price"")"),29.09)</f>
        <v>29.09</v>
      </c>
      <c r="M57" s="141">
        <v>40.07</v>
      </c>
      <c r="N57" s="301">
        <f t="shared" si="26"/>
        <v>-7.01</v>
      </c>
      <c r="O57" s="139">
        <f>M57/J57-1</f>
        <v>0.1099722992</v>
      </c>
      <c r="P57" s="300">
        <f t="shared" si="28"/>
        <v>15880</v>
      </c>
      <c r="Q57" s="116"/>
      <c r="R57" s="125"/>
      <c r="S57" s="127" t="s">
        <v>494</v>
      </c>
      <c r="T57" s="287">
        <v>44978.0</v>
      </c>
      <c r="U57" s="141">
        <v>40.07</v>
      </c>
      <c r="V57" s="133">
        <v>160280.0</v>
      </c>
      <c r="W57" s="127" t="s">
        <v>494</v>
      </c>
      <c r="X57" s="287">
        <v>44944.0</v>
      </c>
      <c r="Y57" s="123">
        <v>36.1</v>
      </c>
      <c r="Z57" s="129">
        <v>144400.0</v>
      </c>
    </row>
    <row r="58">
      <c r="A58" s="114"/>
      <c r="B58" s="115"/>
      <c r="C58" s="116">
        <f>I58/E182</f>
        <v>0.01013599104</v>
      </c>
      <c r="D58" s="323" t="s">
        <v>387</v>
      </c>
      <c r="E58" s="323" t="s">
        <v>388</v>
      </c>
      <c r="F58" s="359">
        <v>7.4</v>
      </c>
      <c r="G58" s="119">
        <v>1000.0</v>
      </c>
      <c r="H58" s="300">
        <f t="shared" si="24"/>
        <v>181170</v>
      </c>
      <c r="I58" s="300">
        <f>H58+P58</f>
        <v>143070</v>
      </c>
      <c r="J58" s="141">
        <v>181.17</v>
      </c>
      <c r="K58" s="121">
        <f>IFERROR(__xludf.DUMMYFUNCTION("GOOGLEFINANCE(E58,""changepct"")"),-0.65)</f>
        <v>-0.65</v>
      </c>
      <c r="L58" s="301">
        <f>IFERROR(__xludf.DUMMYFUNCTION("googlefinance(E58,""price"")"),143.07)</f>
        <v>143.07</v>
      </c>
      <c r="M58" s="141"/>
      <c r="N58" s="301">
        <f t="shared" si="26"/>
        <v>-38.1</v>
      </c>
      <c r="O58" s="139">
        <f>L58/J58-1</f>
        <v>-0.2102997185</v>
      </c>
      <c r="P58" s="300">
        <f t="shared" si="28"/>
        <v>-38100</v>
      </c>
      <c r="Q58" s="363">
        <v>0.0375</v>
      </c>
      <c r="R58" s="129">
        <v>1593.0</v>
      </c>
      <c r="S58" s="127"/>
      <c r="T58" s="287"/>
      <c r="U58" s="141"/>
      <c r="V58" s="133"/>
      <c r="W58" s="127" t="s">
        <v>388</v>
      </c>
      <c r="X58" s="287">
        <v>44944.0</v>
      </c>
      <c r="Y58" s="123">
        <v>181.17</v>
      </c>
      <c r="Z58" s="129">
        <v>181170.0</v>
      </c>
    </row>
    <row r="59">
      <c r="A59" s="114"/>
      <c r="B59" s="115"/>
      <c r="C59" s="116">
        <f>I59/E182</f>
        <v>0</v>
      </c>
      <c r="D59" s="379" t="s">
        <v>566</v>
      </c>
      <c r="E59" s="379" t="s">
        <v>567</v>
      </c>
      <c r="F59" s="359">
        <v>7.4</v>
      </c>
      <c r="G59" s="119">
        <v>1000.0</v>
      </c>
      <c r="H59" s="300">
        <f t="shared" si="24"/>
        <v>126860</v>
      </c>
      <c r="I59" s="133">
        <v>0.0</v>
      </c>
      <c r="J59" s="141">
        <v>126.86</v>
      </c>
      <c r="K59" s="121">
        <f>IFERROR(__xludf.DUMMYFUNCTION("GOOGLEFINANCE(E59,""changepct"")"),0.01)</f>
        <v>0.01</v>
      </c>
      <c r="L59" s="301">
        <f>IFERROR(__xludf.DUMMYFUNCTION("googlefinance(E59,""price"")"),119.59)</f>
        <v>119.59</v>
      </c>
      <c r="M59" s="141">
        <v>136.96</v>
      </c>
      <c r="N59" s="301">
        <f t="shared" si="26"/>
        <v>-7.27</v>
      </c>
      <c r="O59" s="139">
        <f>M59/J59-1</f>
        <v>0.07961532398</v>
      </c>
      <c r="P59" s="300">
        <f t="shared" si="28"/>
        <v>10100</v>
      </c>
      <c r="Q59" s="116"/>
      <c r="R59" s="125"/>
      <c r="S59" s="127" t="s">
        <v>567</v>
      </c>
      <c r="T59" s="287">
        <v>44992.0</v>
      </c>
      <c r="U59" s="141">
        <v>136.96</v>
      </c>
      <c r="V59" s="133">
        <v>136960.0</v>
      </c>
      <c r="W59" s="360"/>
      <c r="X59" s="298"/>
      <c r="Y59" s="126"/>
      <c r="Z59" s="125"/>
    </row>
    <row r="60">
      <c r="A60" s="114"/>
      <c r="B60" s="115"/>
      <c r="C60" s="116">
        <f>I60/E182</f>
        <v>0.01123906911</v>
      </c>
      <c r="D60" s="379" t="s">
        <v>491</v>
      </c>
      <c r="E60" s="379" t="s">
        <v>492</v>
      </c>
      <c r="F60" s="359">
        <v>7.5</v>
      </c>
      <c r="G60" s="119">
        <v>1500.0</v>
      </c>
      <c r="H60" s="300">
        <f t="shared" si="24"/>
        <v>165450</v>
      </c>
      <c r="I60" s="300">
        <f t="shared" ref="I60:I61" si="29">H60+P60</f>
        <v>158640</v>
      </c>
      <c r="J60" s="141">
        <v>110.3</v>
      </c>
      <c r="K60" s="121">
        <f>IFERROR(__xludf.DUMMYFUNCTION("GOOGLEFINANCE(E60,""changepct"")"),-0.68)</f>
        <v>-0.68</v>
      </c>
      <c r="L60" s="301">
        <f>IFERROR(__xludf.DUMMYFUNCTION("googlefinance(E60,""price"")"),105.76)</f>
        <v>105.76</v>
      </c>
      <c r="M60" s="123"/>
      <c r="N60" s="301">
        <f t="shared" si="26"/>
        <v>-4.54</v>
      </c>
      <c r="O60" s="139">
        <f t="shared" ref="O60:O61" si="30">L60/J60-1</f>
        <v>-0.04116047144</v>
      </c>
      <c r="P60" s="300">
        <f t="shared" si="28"/>
        <v>-6810</v>
      </c>
      <c r="Q60" s="363">
        <v>0.034</v>
      </c>
      <c r="R60" s="133">
        <v>1402.0</v>
      </c>
      <c r="S60" s="127"/>
      <c r="T60" s="128"/>
      <c r="U60" s="123"/>
      <c r="V60" s="129"/>
      <c r="W60" s="360"/>
      <c r="X60" s="298"/>
      <c r="Y60" s="126"/>
      <c r="Z60" s="125"/>
    </row>
    <row r="61">
      <c r="A61" s="114"/>
      <c r="B61" s="115"/>
      <c r="C61" s="116">
        <f>I61/E182</f>
        <v>0.003494426657</v>
      </c>
      <c r="D61" s="304" t="s">
        <v>352</v>
      </c>
      <c r="E61" s="304" t="s">
        <v>97</v>
      </c>
      <c r="F61" s="359">
        <v>7.2</v>
      </c>
      <c r="G61" s="119">
        <v>2200.0</v>
      </c>
      <c r="H61" s="300">
        <f t="shared" si="24"/>
        <v>102696</v>
      </c>
      <c r="I61" s="300">
        <f t="shared" si="29"/>
        <v>49324</v>
      </c>
      <c r="J61" s="141">
        <v>46.68</v>
      </c>
      <c r="K61" s="121">
        <f>IFERROR(__xludf.DUMMYFUNCTION("GOOGLEFINANCE(E61,""changepct"")"),1.49)</f>
        <v>1.49</v>
      </c>
      <c r="L61" s="301">
        <f>IFERROR(__xludf.DUMMYFUNCTION("googlefinance(E61,""price"")"),22.42)</f>
        <v>22.42</v>
      </c>
      <c r="M61" s="123"/>
      <c r="N61" s="301">
        <f t="shared" si="26"/>
        <v>-24.26</v>
      </c>
      <c r="O61" s="139">
        <f t="shared" si="30"/>
        <v>-0.5197086547</v>
      </c>
      <c r="P61" s="300">
        <f t="shared" si="28"/>
        <v>-53372</v>
      </c>
      <c r="Q61" s="363">
        <v>0.028</v>
      </c>
      <c r="R61" s="133">
        <v>560.0</v>
      </c>
      <c r="S61" s="127"/>
      <c r="T61" s="128"/>
      <c r="U61" s="123"/>
      <c r="V61" s="129"/>
      <c r="W61" s="360"/>
      <c r="X61" s="305"/>
      <c r="Y61" s="301"/>
      <c r="Z61" s="300"/>
    </row>
    <row r="62">
      <c r="A62" s="351"/>
      <c r="B62" s="352"/>
      <c r="C62" s="352" t="s">
        <v>89</v>
      </c>
      <c r="D62" s="352"/>
      <c r="E62" s="352"/>
      <c r="F62" s="352"/>
      <c r="G62" s="378"/>
      <c r="H62" s="366">
        <f t="shared" ref="H62:I62" si="31">SUM(H53:H61)</f>
        <v>1209391</v>
      </c>
      <c r="I62" s="367">
        <f t="shared" si="31"/>
        <v>595759</v>
      </c>
      <c r="J62" s="354"/>
      <c r="K62" s="354"/>
      <c r="L62" s="354"/>
      <c r="M62" s="355"/>
      <c r="N62" s="355"/>
      <c r="O62" s="368">
        <v>0.0635</v>
      </c>
      <c r="P62" s="369">
        <v>53091.0</v>
      </c>
      <c r="Q62" s="352"/>
      <c r="R62" s="366">
        <f>SUM(R53:R61)</f>
        <v>4897</v>
      </c>
      <c r="S62" s="352" t="s">
        <v>89</v>
      </c>
      <c r="T62" s="371"/>
      <c r="U62" s="372"/>
      <c r="V62" s="366">
        <f>SUM(V53:V61)</f>
        <v>425850</v>
      </c>
      <c r="W62" s="352" t="s">
        <v>89</v>
      </c>
      <c r="X62" s="371"/>
      <c r="Y62" s="372"/>
      <c r="Z62" s="366">
        <f>SUM(Z53:Z61)</f>
        <v>325570</v>
      </c>
    </row>
    <row r="63">
      <c r="A63" s="373"/>
      <c r="B63" s="358" t="s">
        <v>532</v>
      </c>
      <c r="C63" s="352" t="s">
        <v>2</v>
      </c>
      <c r="D63" s="352" t="s">
        <v>3</v>
      </c>
      <c r="E63" s="352" t="s">
        <v>4</v>
      </c>
      <c r="F63" s="352" t="s">
        <v>5</v>
      </c>
      <c r="G63" s="352" t="s">
        <v>6</v>
      </c>
      <c r="H63" s="352" t="s">
        <v>7</v>
      </c>
      <c r="I63" s="353" t="s">
        <v>8</v>
      </c>
      <c r="J63" s="353" t="s">
        <v>9</v>
      </c>
      <c r="K63" s="354" t="s">
        <v>10</v>
      </c>
      <c r="L63" s="354" t="s">
        <v>11</v>
      </c>
      <c r="M63" s="355" t="s">
        <v>476</v>
      </c>
      <c r="N63" s="355" t="s">
        <v>13</v>
      </c>
      <c r="O63" s="352" t="s">
        <v>14</v>
      </c>
      <c r="P63" s="355" t="s">
        <v>15</v>
      </c>
      <c r="Q63" s="352" t="s">
        <v>16</v>
      </c>
      <c r="R63" s="352" t="s">
        <v>17</v>
      </c>
      <c r="S63" s="352" t="s">
        <v>21</v>
      </c>
      <c r="T63" s="352" t="s">
        <v>22</v>
      </c>
      <c r="U63" s="357" t="s">
        <v>23</v>
      </c>
      <c r="V63" s="357" t="s">
        <v>24</v>
      </c>
      <c r="W63" s="352" t="s">
        <v>25</v>
      </c>
      <c r="X63" s="352" t="s">
        <v>26</v>
      </c>
      <c r="Y63" s="352" t="s">
        <v>27</v>
      </c>
      <c r="Z63" s="352" t="s">
        <v>28</v>
      </c>
    </row>
    <row r="64">
      <c r="A64" s="377" t="s">
        <v>29</v>
      </c>
      <c r="B64" s="362">
        <f>I75/E182</f>
        <v>0.05508582047</v>
      </c>
      <c r="C64" s="116">
        <f>I64/E182</f>
        <v>0</v>
      </c>
      <c r="D64" s="304" t="s">
        <v>498</v>
      </c>
      <c r="E64" s="304" t="s">
        <v>499</v>
      </c>
      <c r="F64" s="359">
        <v>7.9</v>
      </c>
      <c r="G64" s="119">
        <v>1500.0</v>
      </c>
      <c r="H64" s="300">
        <f t="shared" ref="H64:H74" si="32">G64*J64</f>
        <v>128760</v>
      </c>
      <c r="I64" s="133">
        <v>0.0</v>
      </c>
      <c r="J64" s="141">
        <v>85.84</v>
      </c>
      <c r="K64" s="121">
        <f>IFERROR(__xludf.DUMMYFUNCTION("GOOGLEFINANCE(E64,""changepct"")"),-0.97)</f>
        <v>-0.97</v>
      </c>
      <c r="L64" s="301">
        <f>IFERROR(__xludf.DUMMYFUNCTION("googlefinance(E64,""price"")"),64.29)</f>
        <v>64.29</v>
      </c>
      <c r="M64" s="123">
        <v>88.5</v>
      </c>
      <c r="N64" s="301">
        <f t="shared" ref="N64:N74" si="33">L64-J64</f>
        <v>-21.55</v>
      </c>
      <c r="O64" s="139">
        <f>M64/J64-1</f>
        <v>0.03098788444</v>
      </c>
      <c r="P64" s="382">
        <f t="shared" ref="P64:P74" si="34">H64*O64</f>
        <v>3990</v>
      </c>
      <c r="Q64" s="363">
        <v>0.0215</v>
      </c>
      <c r="R64" s="300"/>
      <c r="S64" s="127" t="s">
        <v>499</v>
      </c>
      <c r="T64" s="128">
        <v>44992.0</v>
      </c>
      <c r="U64" s="123">
        <v>88.5</v>
      </c>
      <c r="V64" s="129">
        <v>132750.0</v>
      </c>
      <c r="W64" s="360"/>
      <c r="X64" s="298"/>
      <c r="Y64" s="126"/>
      <c r="Z64" s="125"/>
    </row>
    <row r="65">
      <c r="A65" s="114"/>
      <c r="B65" s="115"/>
      <c r="C65" s="116">
        <f>I65/E182</f>
        <v>0.006832070284</v>
      </c>
      <c r="D65" s="304" t="s">
        <v>498</v>
      </c>
      <c r="E65" s="304" t="s">
        <v>499</v>
      </c>
      <c r="F65" s="359">
        <v>7.9</v>
      </c>
      <c r="G65" s="119">
        <v>1500.0</v>
      </c>
      <c r="H65" s="300">
        <f t="shared" si="32"/>
        <v>135510</v>
      </c>
      <c r="I65" s="300">
        <f t="shared" ref="I65:I67" si="35">H65+P65</f>
        <v>96435</v>
      </c>
      <c r="J65" s="141">
        <v>90.34</v>
      </c>
      <c r="K65" s="121">
        <f>IFERROR(__xludf.DUMMYFUNCTION("GOOGLEFINANCE(E65,""changepct"")"),-0.97)</f>
        <v>-0.97</v>
      </c>
      <c r="L65" s="301">
        <f>IFERROR(__xludf.DUMMYFUNCTION("googlefinance(E65,""price"")"),64.29)</f>
        <v>64.29</v>
      </c>
      <c r="M65" s="301"/>
      <c r="N65" s="301">
        <f t="shared" si="33"/>
        <v>-26.05</v>
      </c>
      <c r="O65" s="139">
        <f t="shared" ref="O65:O72" si="36">L65/J65-1</f>
        <v>-0.2883551029</v>
      </c>
      <c r="P65" s="382">
        <f t="shared" si="34"/>
        <v>-39075</v>
      </c>
      <c r="Q65" s="383">
        <v>0.0215</v>
      </c>
      <c r="R65" s="129">
        <v>699.0</v>
      </c>
      <c r="S65" s="360"/>
      <c r="T65" s="305"/>
      <c r="U65" s="301"/>
      <c r="V65" s="300"/>
      <c r="W65" s="127" t="s">
        <v>499</v>
      </c>
      <c r="X65" s="287">
        <v>44966.0</v>
      </c>
      <c r="Y65" s="141">
        <v>90.34</v>
      </c>
      <c r="Z65" s="133">
        <v>135510.0</v>
      </c>
    </row>
    <row r="66">
      <c r="A66" s="114"/>
      <c r="B66" s="115"/>
      <c r="C66" s="116">
        <f>I66/E182</f>
        <v>0.02571794301</v>
      </c>
      <c r="D66" s="384" t="s">
        <v>533</v>
      </c>
      <c r="E66" s="286" t="s">
        <v>534</v>
      </c>
      <c r="F66" s="359">
        <v>7.8</v>
      </c>
      <c r="G66" s="119">
        <v>1000.0</v>
      </c>
      <c r="H66" s="300">
        <f t="shared" si="32"/>
        <v>214000</v>
      </c>
      <c r="I66" s="300">
        <f t="shared" si="35"/>
        <v>363010</v>
      </c>
      <c r="J66" s="141">
        <v>214.0</v>
      </c>
      <c r="K66" s="121">
        <f>IFERROR(__xludf.DUMMYFUNCTION("GOOGLEFINANCE(E66,""changepct"")"),-0.51)</f>
        <v>-0.51</v>
      </c>
      <c r="L66" s="301">
        <f>IFERROR(__xludf.DUMMYFUNCTION("googlefinance(E66,""price"")"),363.01)</f>
        <v>363.01</v>
      </c>
      <c r="M66" s="301"/>
      <c r="N66" s="301">
        <f t="shared" si="33"/>
        <v>149.01</v>
      </c>
      <c r="O66" s="139">
        <f t="shared" si="36"/>
        <v>0.6963084112</v>
      </c>
      <c r="P66" s="382">
        <f t="shared" si="34"/>
        <v>149010</v>
      </c>
      <c r="Q66" s="383">
        <v>0.0215</v>
      </c>
      <c r="R66" s="125"/>
      <c r="S66" s="360"/>
      <c r="T66" s="305"/>
      <c r="U66" s="301"/>
      <c r="V66" s="300"/>
      <c r="W66" s="127" t="s">
        <v>534</v>
      </c>
      <c r="X66" s="287">
        <v>45002.0</v>
      </c>
      <c r="Y66" s="141">
        <v>214.0</v>
      </c>
      <c r="Z66" s="133">
        <v>214000.0</v>
      </c>
    </row>
    <row r="67">
      <c r="A67" s="114"/>
      <c r="B67" s="115"/>
      <c r="C67" s="116">
        <f>I67/E182</f>
        <v>0.002125391285</v>
      </c>
      <c r="D67" s="385" t="s">
        <v>143</v>
      </c>
      <c r="E67" s="304" t="s">
        <v>144</v>
      </c>
      <c r="F67" s="359">
        <v>7.8</v>
      </c>
      <c r="G67" s="119">
        <v>10000.0</v>
      </c>
      <c r="H67" s="300">
        <f t="shared" si="32"/>
        <v>189500</v>
      </c>
      <c r="I67" s="300">
        <f t="shared" si="35"/>
        <v>30000</v>
      </c>
      <c r="J67" s="141">
        <v>18.95</v>
      </c>
      <c r="K67" s="121">
        <f>IFERROR(__xludf.DUMMYFUNCTION("GOOGLEFINANCE(E67,""changepct"")"),-2.91)</f>
        <v>-2.91</v>
      </c>
      <c r="L67" s="301">
        <f>IFERROR(__xludf.DUMMYFUNCTION("googlefinance(E67,""price"")"),3.0)</f>
        <v>3</v>
      </c>
      <c r="M67" s="301"/>
      <c r="N67" s="301">
        <f t="shared" si="33"/>
        <v>-15.95</v>
      </c>
      <c r="O67" s="139">
        <f t="shared" si="36"/>
        <v>-0.8416886544</v>
      </c>
      <c r="P67" s="382">
        <f t="shared" si="34"/>
        <v>-159500</v>
      </c>
      <c r="Q67" s="115"/>
      <c r="R67" s="125"/>
      <c r="S67" s="360"/>
      <c r="T67" s="305"/>
      <c r="U67" s="301"/>
      <c r="V67" s="300"/>
      <c r="W67" s="360"/>
      <c r="X67" s="305"/>
      <c r="Y67" s="301"/>
      <c r="Z67" s="300"/>
    </row>
    <row r="68">
      <c r="A68" s="114"/>
      <c r="B68" s="115"/>
      <c r="C68" s="116">
        <f>I68/E182</f>
        <v>0</v>
      </c>
      <c r="D68" s="384" t="s">
        <v>536</v>
      </c>
      <c r="E68" s="286" t="s">
        <v>136</v>
      </c>
      <c r="F68" s="359">
        <v>7.6</v>
      </c>
      <c r="G68" s="119">
        <v>4500.0</v>
      </c>
      <c r="H68" s="300">
        <f t="shared" si="32"/>
        <v>102015</v>
      </c>
      <c r="I68" s="133">
        <v>0.0</v>
      </c>
      <c r="J68" s="141">
        <v>22.67</v>
      </c>
      <c r="K68" s="121">
        <f>IFERROR(__xludf.DUMMYFUNCTION("GOOGLEFINANCE(E68,""changepct"")"),-2.21)</f>
        <v>-2.21</v>
      </c>
      <c r="L68" s="301">
        <f>IFERROR(__xludf.DUMMYFUNCTION("googlefinance(E68,""price"")"),51.33)</f>
        <v>51.33</v>
      </c>
      <c r="M68" s="141">
        <v>28.03</v>
      </c>
      <c r="N68" s="301">
        <f t="shared" si="33"/>
        <v>28.66</v>
      </c>
      <c r="O68" s="139">
        <f t="shared" si="36"/>
        <v>1.264225849</v>
      </c>
      <c r="P68" s="382">
        <f t="shared" si="34"/>
        <v>128970</v>
      </c>
      <c r="Q68" s="115"/>
      <c r="R68" s="125"/>
      <c r="S68" s="127" t="s">
        <v>136</v>
      </c>
      <c r="T68" s="287">
        <v>44978.0</v>
      </c>
      <c r="U68" s="141">
        <v>28.03</v>
      </c>
      <c r="V68" s="133">
        <v>124875.0</v>
      </c>
      <c r="W68" s="360"/>
      <c r="X68" s="298"/>
      <c r="Y68" s="126"/>
      <c r="Z68" s="125"/>
    </row>
    <row r="69">
      <c r="A69" s="114"/>
      <c r="B69" s="115"/>
      <c r="C69" s="116">
        <f>I69/E182</f>
        <v>0.003100520806</v>
      </c>
      <c r="D69" s="385" t="s">
        <v>145</v>
      </c>
      <c r="E69" s="304" t="s">
        <v>146</v>
      </c>
      <c r="F69" s="359">
        <v>7.3</v>
      </c>
      <c r="G69" s="119">
        <v>1200.0</v>
      </c>
      <c r="H69" s="300">
        <f t="shared" si="32"/>
        <v>95808</v>
      </c>
      <c r="I69" s="300">
        <f t="shared" ref="I69:I72" si="37">H69+P69</f>
        <v>43764</v>
      </c>
      <c r="J69" s="141">
        <v>79.84</v>
      </c>
      <c r="K69" s="121">
        <f>IFERROR(__xludf.DUMMYFUNCTION("GOOGLEFINANCE(E69,""changepct"")"),-2.33)</f>
        <v>-2.33</v>
      </c>
      <c r="L69" s="301">
        <f>IFERROR(__xludf.DUMMYFUNCTION("googlefinance(E69,""price"")"),36.47)</f>
        <v>36.47</v>
      </c>
      <c r="M69" s="126"/>
      <c r="N69" s="301">
        <f t="shared" si="33"/>
        <v>-43.37</v>
      </c>
      <c r="O69" s="139">
        <f t="shared" si="36"/>
        <v>-0.5432114228</v>
      </c>
      <c r="P69" s="382">
        <f t="shared" si="34"/>
        <v>-52044</v>
      </c>
      <c r="Q69" s="363">
        <v>0.09</v>
      </c>
      <c r="R69" s="133">
        <v>2228.0</v>
      </c>
      <c r="S69" s="360"/>
      <c r="T69" s="298"/>
      <c r="U69" s="126"/>
      <c r="V69" s="125"/>
      <c r="W69" s="360"/>
      <c r="X69" s="305"/>
      <c r="Y69" s="301"/>
      <c r="Z69" s="300"/>
    </row>
    <row r="70">
      <c r="A70" s="114"/>
      <c r="B70" s="115"/>
      <c r="C70" s="116">
        <f>I70/E182</f>
        <v>0.006004938843</v>
      </c>
      <c r="D70" s="286" t="s">
        <v>500</v>
      </c>
      <c r="E70" s="286" t="s">
        <v>134</v>
      </c>
      <c r="F70" s="359">
        <v>7.8</v>
      </c>
      <c r="G70" s="119">
        <v>4000.0</v>
      </c>
      <c r="H70" s="300">
        <f t="shared" si="32"/>
        <v>126720</v>
      </c>
      <c r="I70" s="300">
        <f t="shared" si="37"/>
        <v>84760</v>
      </c>
      <c r="J70" s="141">
        <v>31.68</v>
      </c>
      <c r="K70" s="121">
        <f>IFERROR(__xludf.DUMMYFUNCTION("GOOGLEFINANCE(E70,""changepct"")"),-2.75)</f>
        <v>-2.75</v>
      </c>
      <c r="L70" s="301">
        <f>IFERROR(__xludf.DUMMYFUNCTION("googlefinance(E70,""price"")"),21.19)</f>
        <v>21.19</v>
      </c>
      <c r="M70" s="141"/>
      <c r="N70" s="301">
        <f t="shared" si="33"/>
        <v>-10.49</v>
      </c>
      <c r="O70" s="139">
        <f t="shared" si="36"/>
        <v>-0.3311237374</v>
      </c>
      <c r="P70" s="382">
        <f t="shared" si="34"/>
        <v>-41960</v>
      </c>
      <c r="Q70" s="116"/>
      <c r="R70" s="125"/>
      <c r="S70" s="127"/>
      <c r="T70" s="287"/>
      <c r="U70" s="141"/>
      <c r="V70" s="133"/>
      <c r="W70" s="127" t="s">
        <v>134</v>
      </c>
      <c r="X70" s="128">
        <v>44966.0</v>
      </c>
      <c r="Y70" s="123">
        <v>31.68</v>
      </c>
      <c r="Z70" s="129">
        <v>126720.0</v>
      </c>
    </row>
    <row r="71">
      <c r="A71" s="114"/>
      <c r="B71" s="115"/>
      <c r="C71" s="116">
        <f>I71/E182</f>
        <v>0.004503704132</v>
      </c>
      <c r="D71" s="286" t="s">
        <v>500</v>
      </c>
      <c r="E71" s="286" t="s">
        <v>134</v>
      </c>
      <c r="F71" s="359">
        <v>7.8</v>
      </c>
      <c r="G71" s="119">
        <v>3000.0</v>
      </c>
      <c r="H71" s="300">
        <f t="shared" si="32"/>
        <v>86610</v>
      </c>
      <c r="I71" s="300">
        <f t="shared" si="37"/>
        <v>63570</v>
      </c>
      <c r="J71" s="141">
        <v>28.87</v>
      </c>
      <c r="K71" s="121">
        <f>IFERROR(__xludf.DUMMYFUNCTION("GOOGLEFINANCE(E71,""changepct"")"),-2.75)</f>
        <v>-2.75</v>
      </c>
      <c r="L71" s="301">
        <f>IFERROR(__xludf.DUMMYFUNCTION("googlefinance(E71,""price"")"),21.19)</f>
        <v>21.19</v>
      </c>
      <c r="M71" s="141"/>
      <c r="N71" s="301">
        <f t="shared" si="33"/>
        <v>-7.68</v>
      </c>
      <c r="O71" s="139">
        <f t="shared" si="36"/>
        <v>-0.2660200901</v>
      </c>
      <c r="P71" s="382">
        <f t="shared" si="34"/>
        <v>-23040</v>
      </c>
      <c r="Q71" s="116"/>
      <c r="R71" s="125"/>
      <c r="S71" s="127"/>
      <c r="T71" s="287"/>
      <c r="U71" s="141"/>
      <c r="V71" s="133"/>
      <c r="W71" s="127"/>
      <c r="X71" s="128"/>
      <c r="Y71" s="123"/>
      <c r="Z71" s="129"/>
    </row>
    <row r="72">
      <c r="A72" s="114"/>
      <c r="B72" s="115"/>
      <c r="C72" s="116">
        <f>I72/E182</f>
        <v>0.006801252111</v>
      </c>
      <c r="D72" s="304" t="s">
        <v>454</v>
      </c>
      <c r="E72" s="304" t="s">
        <v>132</v>
      </c>
      <c r="F72" s="359">
        <v>8.1</v>
      </c>
      <c r="G72" s="119">
        <v>4000.0</v>
      </c>
      <c r="H72" s="300">
        <f t="shared" si="32"/>
        <v>187400</v>
      </c>
      <c r="I72" s="133">
        <f t="shared" si="37"/>
        <v>96000</v>
      </c>
      <c r="J72" s="141">
        <v>46.85</v>
      </c>
      <c r="K72" s="121">
        <f>IFERROR(__xludf.DUMMYFUNCTION("GOOGLEFINANCE(E72,""changepct"")"),0.54)</f>
        <v>0.54</v>
      </c>
      <c r="L72" s="301">
        <f>IFERROR(__xludf.DUMMYFUNCTION("googlefinance(E72,""price"")"),24.0)</f>
        <v>24</v>
      </c>
      <c r="M72" s="123"/>
      <c r="N72" s="301">
        <f t="shared" si="33"/>
        <v>-22.85</v>
      </c>
      <c r="O72" s="139">
        <f t="shared" si="36"/>
        <v>-0.4877267876</v>
      </c>
      <c r="P72" s="382">
        <f t="shared" si="34"/>
        <v>-91400</v>
      </c>
      <c r="Q72" s="363">
        <v>0.0177</v>
      </c>
      <c r="R72" s="133">
        <v>797.0</v>
      </c>
      <c r="S72" s="127"/>
      <c r="T72" s="128"/>
      <c r="U72" s="123"/>
      <c r="V72" s="129"/>
      <c r="W72" s="127" t="s">
        <v>132</v>
      </c>
      <c r="X72" s="287">
        <v>44998.0</v>
      </c>
      <c r="Y72" s="141">
        <v>46.85</v>
      </c>
      <c r="Z72" s="133">
        <v>187400.0</v>
      </c>
    </row>
    <row r="73">
      <c r="A73" s="114"/>
      <c r="B73" s="115"/>
      <c r="C73" s="116">
        <f>I73/E182</f>
        <v>0</v>
      </c>
      <c r="D73" s="304" t="s">
        <v>454</v>
      </c>
      <c r="E73" s="304" t="s">
        <v>132</v>
      </c>
      <c r="F73" s="359">
        <v>8.1</v>
      </c>
      <c r="G73" s="119">
        <v>3000.0</v>
      </c>
      <c r="H73" s="300">
        <f t="shared" si="32"/>
        <v>151020</v>
      </c>
      <c r="I73" s="133">
        <v>0.0</v>
      </c>
      <c r="J73" s="141">
        <v>50.34</v>
      </c>
      <c r="K73" s="121">
        <f>IFERROR(__xludf.DUMMYFUNCTION("GOOGLEFINANCE(E73,""changepct"")"),0.54)</f>
        <v>0.54</v>
      </c>
      <c r="L73" s="301">
        <f>IFERROR(__xludf.DUMMYFUNCTION("googlefinance(E73,""price"")"),24.0)</f>
        <v>24</v>
      </c>
      <c r="M73" s="123">
        <v>54.44</v>
      </c>
      <c r="N73" s="301">
        <f t="shared" si="33"/>
        <v>-26.34</v>
      </c>
      <c r="O73" s="139">
        <f t="shared" ref="O73:O74" si="38">M73/J73-1</f>
        <v>0.08144616607</v>
      </c>
      <c r="P73" s="382">
        <f t="shared" si="34"/>
        <v>12300</v>
      </c>
      <c r="Q73" s="363">
        <v>0.0177</v>
      </c>
      <c r="R73" s="300"/>
      <c r="S73" s="127" t="s">
        <v>132</v>
      </c>
      <c r="T73" s="128">
        <v>44992.0</v>
      </c>
      <c r="U73" s="123">
        <v>54.44</v>
      </c>
      <c r="V73" s="129">
        <v>163320.0</v>
      </c>
      <c r="W73" s="127" t="s">
        <v>132</v>
      </c>
      <c r="X73" s="287">
        <v>44966.0</v>
      </c>
      <c r="Y73" s="141">
        <v>50.34</v>
      </c>
      <c r="Z73" s="133">
        <v>151020.0</v>
      </c>
    </row>
    <row r="74">
      <c r="A74" s="114"/>
      <c r="B74" s="115"/>
      <c r="C74" s="116">
        <f>I74/E182</f>
        <v>0</v>
      </c>
      <c r="D74" s="304" t="s">
        <v>454</v>
      </c>
      <c r="E74" s="304" t="s">
        <v>132</v>
      </c>
      <c r="F74" s="359">
        <v>8.1</v>
      </c>
      <c r="G74" s="119">
        <v>3000.0</v>
      </c>
      <c r="H74" s="300">
        <f t="shared" si="32"/>
        <v>131610</v>
      </c>
      <c r="I74" s="133">
        <v>0.0</v>
      </c>
      <c r="J74" s="141">
        <v>43.87</v>
      </c>
      <c r="K74" s="121">
        <f>IFERROR(__xludf.DUMMYFUNCTION("GOOGLEFINANCE(E74,""changepct"")"),0.54)</f>
        <v>0.54</v>
      </c>
      <c r="L74" s="301">
        <f>IFERROR(__xludf.DUMMYFUNCTION("googlefinance(E74,""price"")"),24.0)</f>
        <v>24</v>
      </c>
      <c r="M74" s="123">
        <v>48.86</v>
      </c>
      <c r="N74" s="301">
        <f t="shared" si="33"/>
        <v>-19.87</v>
      </c>
      <c r="O74" s="139">
        <f t="shared" si="38"/>
        <v>0.1137451561</v>
      </c>
      <c r="P74" s="382">
        <f t="shared" si="34"/>
        <v>14970</v>
      </c>
      <c r="Q74" s="363">
        <v>0.0177</v>
      </c>
      <c r="R74" s="300"/>
      <c r="S74" s="127" t="s">
        <v>132</v>
      </c>
      <c r="T74" s="128">
        <v>44978.0</v>
      </c>
      <c r="U74" s="123">
        <v>48.86</v>
      </c>
      <c r="V74" s="129">
        <v>146580.0</v>
      </c>
      <c r="W74" s="360"/>
      <c r="X74" s="305"/>
      <c r="Y74" s="301"/>
      <c r="Z74" s="300"/>
    </row>
    <row r="75">
      <c r="A75" s="351"/>
      <c r="B75" s="352"/>
      <c r="C75" s="352" t="s">
        <v>89</v>
      </c>
      <c r="D75" s="352"/>
      <c r="E75" s="352"/>
      <c r="F75" s="352"/>
      <c r="G75" s="378"/>
      <c r="H75" s="366">
        <f t="shared" ref="H75:I75" si="39">SUM(H64:H74)</f>
        <v>1548953</v>
      </c>
      <c r="I75" s="367">
        <f t="shared" si="39"/>
        <v>777539</v>
      </c>
      <c r="J75" s="354"/>
      <c r="K75" s="354"/>
      <c r="L75" s="354"/>
      <c r="M75" s="355"/>
      <c r="N75" s="355"/>
      <c r="O75" s="368">
        <v>0.0592</v>
      </c>
      <c r="P75" s="369">
        <v>62184.0</v>
      </c>
      <c r="Q75" s="352"/>
      <c r="R75" s="366">
        <f>SUM(R64:R74)</f>
        <v>3724</v>
      </c>
      <c r="S75" s="352" t="s">
        <v>89</v>
      </c>
      <c r="T75" s="371"/>
      <c r="U75" s="372"/>
      <c r="V75" s="366">
        <f>SUM(V64:V74)</f>
        <v>567525</v>
      </c>
      <c r="W75" s="352" t="s">
        <v>89</v>
      </c>
      <c r="X75" s="371"/>
      <c r="Y75" s="372"/>
      <c r="Z75" s="366">
        <f>SUM(Z64:Z74)</f>
        <v>814650</v>
      </c>
    </row>
    <row r="76">
      <c r="A76" s="351"/>
      <c r="B76" s="358" t="s">
        <v>502</v>
      </c>
      <c r="C76" s="352" t="s">
        <v>2</v>
      </c>
      <c r="D76" s="352" t="s">
        <v>150</v>
      </c>
      <c r="E76" s="352" t="s">
        <v>4</v>
      </c>
      <c r="F76" s="352" t="s">
        <v>5</v>
      </c>
      <c r="G76" s="352" t="s">
        <v>6</v>
      </c>
      <c r="H76" s="352" t="s">
        <v>7</v>
      </c>
      <c r="I76" s="353" t="s">
        <v>8</v>
      </c>
      <c r="J76" s="353" t="s">
        <v>9</v>
      </c>
      <c r="K76" s="354" t="s">
        <v>10</v>
      </c>
      <c r="L76" s="354" t="s">
        <v>11</v>
      </c>
      <c r="M76" s="355" t="s">
        <v>476</v>
      </c>
      <c r="N76" s="355" t="s">
        <v>13</v>
      </c>
      <c r="O76" s="352" t="s">
        <v>14</v>
      </c>
      <c r="P76" s="355" t="s">
        <v>15</v>
      </c>
      <c r="Q76" s="352" t="s">
        <v>16</v>
      </c>
      <c r="R76" s="352" t="s">
        <v>17</v>
      </c>
      <c r="S76" s="352" t="s">
        <v>21</v>
      </c>
      <c r="T76" s="352" t="s">
        <v>22</v>
      </c>
      <c r="U76" s="357" t="s">
        <v>23</v>
      </c>
      <c r="V76" s="357" t="s">
        <v>24</v>
      </c>
      <c r="W76" s="352" t="s">
        <v>25</v>
      </c>
      <c r="X76" s="352" t="s">
        <v>26</v>
      </c>
      <c r="Y76" s="352" t="s">
        <v>27</v>
      </c>
      <c r="Z76" s="352" t="s">
        <v>28</v>
      </c>
    </row>
    <row r="77">
      <c r="A77" s="377" t="s">
        <v>29</v>
      </c>
      <c r="B77" s="362">
        <f>I88/E182</f>
        <v>0.1045201192</v>
      </c>
      <c r="C77" s="386">
        <f>I77/E182</f>
        <v>0.01198575449</v>
      </c>
      <c r="D77" s="385" t="s">
        <v>503</v>
      </c>
      <c r="E77" s="304" t="s">
        <v>118</v>
      </c>
      <c r="F77" s="359">
        <v>7.4</v>
      </c>
      <c r="G77" s="387">
        <v>350.0</v>
      </c>
      <c r="H77" s="388">
        <f t="shared" ref="H77:H87" si="40">G77*J77</f>
        <v>170271.5</v>
      </c>
      <c r="I77" s="389">
        <f>H77+P77</f>
        <v>169179.5</v>
      </c>
      <c r="J77" s="390">
        <v>486.49</v>
      </c>
      <c r="K77" s="391">
        <f>IFERROR(__xludf.DUMMYFUNCTION("GOOGLEFINANCE(E77,""changepct"")"),-1.15)</f>
        <v>-1.15</v>
      </c>
      <c r="L77" s="302">
        <f>IFERROR(__xludf.DUMMYFUNCTION("googlefinance(E77,""price"")"),483.37)</f>
        <v>483.37</v>
      </c>
      <c r="M77" s="392"/>
      <c r="N77" s="301">
        <f t="shared" ref="N77:N87" si="41">L77-J77</f>
        <v>-3.12</v>
      </c>
      <c r="O77" s="393">
        <f>L77/J77-1</f>
        <v>-0.006413287015</v>
      </c>
      <c r="P77" s="394">
        <f t="shared" ref="P77:P87" si="42">H77*O77</f>
        <v>-1092</v>
      </c>
      <c r="Q77" s="395">
        <v>0.0253</v>
      </c>
      <c r="R77" s="388"/>
      <c r="S77" s="396"/>
      <c r="T77" s="397"/>
      <c r="U77" s="392"/>
      <c r="V77" s="398"/>
      <c r="W77" s="399"/>
      <c r="X77" s="400"/>
      <c r="Y77" s="401"/>
      <c r="Z77" s="402"/>
    </row>
    <row r="78">
      <c r="A78" s="403"/>
      <c r="B78" s="284"/>
      <c r="C78" s="386">
        <f>I78/E182</f>
        <v>0</v>
      </c>
      <c r="D78" s="385" t="s">
        <v>354</v>
      </c>
      <c r="E78" s="304" t="s">
        <v>355</v>
      </c>
      <c r="F78" s="359">
        <v>7.5</v>
      </c>
      <c r="G78" s="387">
        <v>800.0</v>
      </c>
      <c r="H78" s="388">
        <f t="shared" si="40"/>
        <v>152392</v>
      </c>
      <c r="I78" s="404">
        <v>0.0</v>
      </c>
      <c r="J78" s="390">
        <v>190.49</v>
      </c>
      <c r="K78" s="391">
        <f>IFERROR(__xludf.DUMMYFUNCTION("GOOGLEFINANCE(E78,""changepct"")"),-2.31)</f>
        <v>-2.31</v>
      </c>
      <c r="L78" s="302">
        <f>IFERROR(__xludf.DUMMYFUNCTION("googlefinance(E78,""price"")"),176.55)</f>
        <v>176.55</v>
      </c>
      <c r="M78" s="390">
        <v>215.29</v>
      </c>
      <c r="N78" s="301">
        <f t="shared" si="41"/>
        <v>-13.94</v>
      </c>
      <c r="O78" s="393">
        <f>M78/J78-1</f>
        <v>0.1301905612</v>
      </c>
      <c r="P78" s="394">
        <f t="shared" si="42"/>
        <v>19840</v>
      </c>
      <c r="Q78" s="400"/>
      <c r="R78" s="402"/>
      <c r="S78" s="396" t="s">
        <v>355</v>
      </c>
      <c r="T78" s="405">
        <v>44939.0</v>
      </c>
      <c r="U78" s="406">
        <v>215.29</v>
      </c>
      <c r="V78" s="407">
        <v>172232.0</v>
      </c>
      <c r="W78" s="399"/>
      <c r="X78" s="400"/>
      <c r="Y78" s="401"/>
      <c r="Z78" s="402"/>
    </row>
    <row r="79">
      <c r="A79" s="403"/>
      <c r="B79" s="284"/>
      <c r="C79" s="386">
        <f>I79/E182</f>
        <v>0.0239956676</v>
      </c>
      <c r="D79" s="385" t="s">
        <v>537</v>
      </c>
      <c r="E79" s="304" t="s">
        <v>538</v>
      </c>
      <c r="F79" s="359">
        <v>8.1</v>
      </c>
      <c r="G79" s="387">
        <v>10000.0</v>
      </c>
      <c r="H79" s="388">
        <f t="shared" si="40"/>
        <v>296000</v>
      </c>
      <c r="I79" s="389">
        <f>H79+P79</f>
        <v>338700</v>
      </c>
      <c r="J79" s="390">
        <v>29.6</v>
      </c>
      <c r="K79" s="391">
        <f>IFERROR(__xludf.DUMMYFUNCTION("GOOGLEFINANCE(E79,""changepct"")"),-0.32)</f>
        <v>-0.32</v>
      </c>
      <c r="L79" s="302">
        <f>IFERROR(__xludf.DUMMYFUNCTION("googlefinance(E79,""price"")"),33.87)</f>
        <v>33.87</v>
      </c>
      <c r="M79" s="390"/>
      <c r="N79" s="301">
        <f t="shared" si="41"/>
        <v>4.27</v>
      </c>
      <c r="O79" s="393">
        <f>L79/J79-1</f>
        <v>0.1442567568</v>
      </c>
      <c r="P79" s="394">
        <f t="shared" si="42"/>
        <v>42700</v>
      </c>
      <c r="Q79" s="408"/>
      <c r="R79" s="402"/>
      <c r="S79" s="396"/>
      <c r="T79" s="405"/>
      <c r="U79" s="406"/>
      <c r="V79" s="407"/>
      <c r="W79" s="396"/>
      <c r="X79" s="405"/>
      <c r="Y79" s="409"/>
      <c r="Z79" s="388"/>
    </row>
    <row r="80">
      <c r="A80" s="403"/>
      <c r="B80" s="284"/>
      <c r="C80" s="386">
        <f>I80/E182</f>
        <v>0</v>
      </c>
      <c r="D80" s="284" t="s">
        <v>452</v>
      </c>
      <c r="E80" s="284" t="s">
        <v>453</v>
      </c>
      <c r="F80" s="118">
        <v>7.7</v>
      </c>
      <c r="G80" s="387">
        <v>1000.0</v>
      </c>
      <c r="H80" s="388">
        <f t="shared" si="40"/>
        <v>119920</v>
      </c>
      <c r="I80" s="404">
        <v>0.0</v>
      </c>
      <c r="J80" s="390">
        <v>119.92</v>
      </c>
      <c r="K80" s="391">
        <f>IFERROR(__xludf.DUMMYFUNCTION("GOOGLEFINANCE(E80,""changepct"")"),-0.81)</f>
        <v>-0.81</v>
      </c>
      <c r="L80" s="302">
        <f>IFERROR(__xludf.DUMMYFUNCTION("googlefinance(E80,""price"")"),129.13)</f>
        <v>129.13</v>
      </c>
      <c r="M80" s="392">
        <v>109.72</v>
      </c>
      <c r="N80" s="301">
        <f t="shared" si="41"/>
        <v>9.21</v>
      </c>
      <c r="O80" s="393">
        <f>M80/J80-1</f>
        <v>-0.08505670447</v>
      </c>
      <c r="P80" s="394">
        <f t="shared" si="42"/>
        <v>-10200</v>
      </c>
      <c r="Q80" s="395">
        <v>0.058</v>
      </c>
      <c r="R80" s="407">
        <v>1595.0</v>
      </c>
      <c r="S80" s="396" t="s">
        <v>453</v>
      </c>
      <c r="T80" s="397">
        <v>44978.0</v>
      </c>
      <c r="U80" s="392">
        <v>109.72</v>
      </c>
      <c r="V80" s="398">
        <v>109720.0</v>
      </c>
      <c r="W80" s="396"/>
      <c r="X80" s="405"/>
      <c r="Y80" s="406"/>
      <c r="Z80" s="407"/>
    </row>
    <row r="81">
      <c r="A81" s="403"/>
      <c r="B81" s="284"/>
      <c r="C81" s="386">
        <f>I81/E182</f>
        <v>0.01372258883</v>
      </c>
      <c r="D81" s="284" t="s">
        <v>452</v>
      </c>
      <c r="E81" s="284" t="s">
        <v>453</v>
      </c>
      <c r="F81" s="118">
        <v>7.7</v>
      </c>
      <c r="G81" s="387">
        <v>1500.0</v>
      </c>
      <c r="H81" s="388">
        <f t="shared" si="40"/>
        <v>154500</v>
      </c>
      <c r="I81" s="389">
        <f t="shared" ref="I81:I84" si="43">H81+P81</f>
        <v>193695</v>
      </c>
      <c r="J81" s="390">
        <v>103.0</v>
      </c>
      <c r="K81" s="391">
        <f>IFERROR(__xludf.DUMMYFUNCTION("GOOGLEFINANCE(E81,""changepct"")"),-0.81)</f>
        <v>-0.81</v>
      </c>
      <c r="L81" s="302">
        <f>IFERROR(__xludf.DUMMYFUNCTION("googlefinance(E81,""price"")"),129.13)</f>
        <v>129.13</v>
      </c>
      <c r="M81" s="401"/>
      <c r="N81" s="301">
        <f t="shared" si="41"/>
        <v>26.13</v>
      </c>
      <c r="O81" s="393">
        <f t="shared" ref="O81:O84" si="44">L81/J81-1</f>
        <v>0.2536893204</v>
      </c>
      <c r="P81" s="394">
        <f t="shared" si="42"/>
        <v>39195</v>
      </c>
      <c r="Q81" s="395">
        <v>0.058</v>
      </c>
      <c r="R81" s="388"/>
      <c r="S81" s="399"/>
      <c r="T81" s="410"/>
      <c r="U81" s="401"/>
      <c r="V81" s="402"/>
      <c r="W81" s="396" t="s">
        <v>453</v>
      </c>
      <c r="X81" s="405">
        <v>45002.0</v>
      </c>
      <c r="Y81" s="406">
        <v>103.0</v>
      </c>
      <c r="Z81" s="407">
        <v>154500.0</v>
      </c>
    </row>
    <row r="82">
      <c r="A82" s="403"/>
      <c r="B82" s="284"/>
      <c r="C82" s="386">
        <f>I82/E182</f>
        <v>0.00816291946</v>
      </c>
      <c r="D82" s="385" t="s">
        <v>401</v>
      </c>
      <c r="E82" s="304" t="s">
        <v>402</v>
      </c>
      <c r="F82" s="359">
        <v>7.4</v>
      </c>
      <c r="G82" s="387">
        <v>1000.0</v>
      </c>
      <c r="H82" s="388">
        <f t="shared" si="40"/>
        <v>99570</v>
      </c>
      <c r="I82" s="389">
        <f t="shared" si="43"/>
        <v>115220</v>
      </c>
      <c r="J82" s="390">
        <v>99.57</v>
      </c>
      <c r="K82" s="391">
        <f>IFERROR(__xludf.DUMMYFUNCTION("GOOGLEFINANCE(E82,""changepct"")"),-1.28)</f>
        <v>-1.28</v>
      </c>
      <c r="L82" s="302">
        <f>IFERROR(__xludf.DUMMYFUNCTION("googlefinance(E82,""price"")"),115.22)</f>
        <v>115.22</v>
      </c>
      <c r="M82" s="401"/>
      <c r="N82" s="301">
        <f t="shared" si="41"/>
        <v>15.65</v>
      </c>
      <c r="O82" s="393">
        <f t="shared" si="44"/>
        <v>0.1571758562</v>
      </c>
      <c r="P82" s="394">
        <f t="shared" si="42"/>
        <v>15650</v>
      </c>
      <c r="Q82" s="395">
        <v>0.0225</v>
      </c>
      <c r="R82" s="407">
        <v>563.0</v>
      </c>
      <c r="S82" s="399"/>
      <c r="T82" s="410"/>
      <c r="U82" s="401"/>
      <c r="V82" s="402"/>
      <c r="W82" s="396" t="s">
        <v>402</v>
      </c>
      <c r="X82" s="405">
        <v>44951.0</v>
      </c>
      <c r="Y82" s="406">
        <v>99.57</v>
      </c>
      <c r="Z82" s="407">
        <v>99570.0</v>
      </c>
    </row>
    <row r="83">
      <c r="A83" s="403"/>
      <c r="B83" s="284"/>
      <c r="C83" s="386">
        <f>I83/E182</f>
        <v>0.00816291946</v>
      </c>
      <c r="D83" s="385" t="s">
        <v>401</v>
      </c>
      <c r="E83" s="304" t="s">
        <v>402</v>
      </c>
      <c r="F83" s="359">
        <v>7.4</v>
      </c>
      <c r="G83" s="387">
        <v>1000.0</v>
      </c>
      <c r="H83" s="388">
        <f t="shared" si="40"/>
        <v>100920</v>
      </c>
      <c r="I83" s="389">
        <f t="shared" si="43"/>
        <v>115220</v>
      </c>
      <c r="J83" s="390">
        <v>100.92</v>
      </c>
      <c r="K83" s="391">
        <f>IFERROR(__xludf.DUMMYFUNCTION("GOOGLEFINANCE(E83,""changepct"")"),-1.28)</f>
        <v>-1.28</v>
      </c>
      <c r="L83" s="302">
        <f>IFERROR(__xludf.DUMMYFUNCTION("googlefinance(E83,""price"")"),115.22)</f>
        <v>115.22</v>
      </c>
      <c r="M83" s="401"/>
      <c r="N83" s="301">
        <f t="shared" si="41"/>
        <v>14.3</v>
      </c>
      <c r="O83" s="393">
        <f t="shared" si="44"/>
        <v>0.1416963932</v>
      </c>
      <c r="P83" s="394">
        <f t="shared" si="42"/>
        <v>14300</v>
      </c>
      <c r="Q83" s="395">
        <v>0.0225</v>
      </c>
      <c r="R83" s="407">
        <v>563.0</v>
      </c>
      <c r="S83" s="399"/>
      <c r="T83" s="410"/>
      <c r="U83" s="401"/>
      <c r="V83" s="402"/>
      <c r="W83" s="396"/>
      <c r="X83" s="405"/>
      <c r="Y83" s="406"/>
      <c r="Z83" s="407"/>
    </row>
    <row r="84">
      <c r="A84" s="403"/>
      <c r="B84" s="284"/>
      <c r="C84" s="386">
        <f>I84/E182</f>
        <v>0.01865951855</v>
      </c>
      <c r="D84" s="384" t="s">
        <v>115</v>
      </c>
      <c r="E84" s="286" t="s">
        <v>116</v>
      </c>
      <c r="F84" s="359">
        <v>7.5</v>
      </c>
      <c r="G84" s="387">
        <v>1000.0</v>
      </c>
      <c r="H84" s="388">
        <f t="shared" si="40"/>
        <v>225270</v>
      </c>
      <c r="I84" s="404">
        <f t="shared" si="43"/>
        <v>263380</v>
      </c>
      <c r="J84" s="390">
        <v>225.27</v>
      </c>
      <c r="K84" s="391">
        <f>IFERROR(__xludf.DUMMYFUNCTION("GOOGLEFINANCE(E84,""changepct"")"),-1.04)</f>
        <v>-1.04</v>
      </c>
      <c r="L84" s="302">
        <f>IFERROR(__xludf.DUMMYFUNCTION("googlefinance(E84,""price"")"),263.38)</f>
        <v>263.38</v>
      </c>
      <c r="M84" s="392"/>
      <c r="N84" s="301">
        <f t="shared" si="41"/>
        <v>38.11</v>
      </c>
      <c r="O84" s="393">
        <f t="shared" si="44"/>
        <v>0.1691747681</v>
      </c>
      <c r="P84" s="394">
        <f t="shared" si="42"/>
        <v>38110</v>
      </c>
      <c r="Q84" s="395">
        <v>0.023</v>
      </c>
      <c r="R84" s="407">
        <v>1294.0</v>
      </c>
      <c r="S84" s="396"/>
      <c r="T84" s="397"/>
      <c r="U84" s="392"/>
      <c r="V84" s="398"/>
      <c r="W84" s="396" t="s">
        <v>116</v>
      </c>
      <c r="X84" s="405">
        <v>44951.0</v>
      </c>
      <c r="Y84" s="406">
        <v>225.27</v>
      </c>
      <c r="Z84" s="407">
        <v>225270.0</v>
      </c>
    </row>
    <row r="85">
      <c r="A85" s="403"/>
      <c r="B85" s="284"/>
      <c r="C85" s="386">
        <f>I85/E182</f>
        <v>0</v>
      </c>
      <c r="D85" s="384" t="s">
        <v>115</v>
      </c>
      <c r="E85" s="286" t="s">
        <v>116</v>
      </c>
      <c r="F85" s="359">
        <v>7.5</v>
      </c>
      <c r="G85" s="387">
        <v>500.0</v>
      </c>
      <c r="H85" s="388">
        <f t="shared" si="40"/>
        <v>124055</v>
      </c>
      <c r="I85" s="404">
        <v>0.0</v>
      </c>
      <c r="J85" s="390">
        <v>248.11</v>
      </c>
      <c r="K85" s="391">
        <f>IFERROR(__xludf.DUMMYFUNCTION("GOOGLEFINANCE(E85,""changepct"")"),-1.04)</f>
        <v>-1.04</v>
      </c>
      <c r="L85" s="302">
        <f>IFERROR(__xludf.DUMMYFUNCTION("googlefinance(E85,""price"")"),263.38)</f>
        <v>263.38</v>
      </c>
      <c r="M85" s="392">
        <v>242.93</v>
      </c>
      <c r="N85" s="301">
        <f t="shared" si="41"/>
        <v>15.27</v>
      </c>
      <c r="O85" s="393">
        <f>M85/J85-1</f>
        <v>-0.02087783644</v>
      </c>
      <c r="P85" s="394">
        <f t="shared" si="42"/>
        <v>-2590</v>
      </c>
      <c r="Q85" s="395">
        <v>0.023</v>
      </c>
      <c r="R85" s="388"/>
      <c r="S85" s="396" t="s">
        <v>116</v>
      </c>
      <c r="T85" s="397">
        <v>44939.0</v>
      </c>
      <c r="U85" s="392">
        <v>242.93</v>
      </c>
      <c r="V85" s="398">
        <v>121465.0</v>
      </c>
      <c r="W85" s="396"/>
      <c r="X85" s="405"/>
      <c r="Y85" s="406"/>
      <c r="Z85" s="407"/>
    </row>
    <row r="86">
      <c r="A86" s="403"/>
      <c r="B86" s="284"/>
      <c r="C86" s="386">
        <f>I86/E182</f>
        <v>0.01156793799</v>
      </c>
      <c r="D86" s="385" t="s">
        <v>504</v>
      </c>
      <c r="E86" s="304" t="s">
        <v>120</v>
      </c>
      <c r="F86" s="359">
        <v>7.5</v>
      </c>
      <c r="G86" s="387">
        <v>350.0</v>
      </c>
      <c r="H86" s="388">
        <f t="shared" si="40"/>
        <v>161000</v>
      </c>
      <c r="I86" s="389">
        <f t="shared" ref="I86:I87" si="45">H86+P86</f>
        <v>163282</v>
      </c>
      <c r="J86" s="390">
        <v>460.0</v>
      </c>
      <c r="K86" s="391">
        <f>IFERROR(__xludf.DUMMYFUNCTION("GOOGLEFINANCE(E86,""changepct"")"),-1.02)</f>
        <v>-1.02</v>
      </c>
      <c r="L86" s="302">
        <f>IFERROR(__xludf.DUMMYFUNCTION("googlefinance(E86,""price"")"),466.52)</f>
        <v>466.52</v>
      </c>
      <c r="M86" s="401"/>
      <c r="N86" s="301">
        <f t="shared" si="41"/>
        <v>6.52</v>
      </c>
      <c r="O86" s="393">
        <f t="shared" ref="O86:O87" si="46">L86/J86-1</f>
        <v>0.01417391304</v>
      </c>
      <c r="P86" s="394">
        <f t="shared" si="42"/>
        <v>2282</v>
      </c>
      <c r="Q86" s="395">
        <v>0.015</v>
      </c>
      <c r="R86" s="407">
        <v>608.0</v>
      </c>
      <c r="S86" s="399"/>
      <c r="T86" s="410"/>
      <c r="U86" s="401"/>
      <c r="V86" s="402"/>
      <c r="W86" s="396" t="s">
        <v>120</v>
      </c>
      <c r="X86" s="405">
        <v>44952.0</v>
      </c>
      <c r="Y86" s="406">
        <v>460.0</v>
      </c>
      <c r="Z86" s="407">
        <v>161000.0</v>
      </c>
    </row>
    <row r="87">
      <c r="A87" s="403"/>
      <c r="B87" s="284"/>
      <c r="C87" s="386">
        <f>I87/E182</f>
        <v>0.008262812851</v>
      </c>
      <c r="D87" s="385" t="s">
        <v>504</v>
      </c>
      <c r="E87" s="304" t="s">
        <v>120</v>
      </c>
      <c r="F87" s="359">
        <v>7.5</v>
      </c>
      <c r="G87" s="387">
        <v>250.0</v>
      </c>
      <c r="H87" s="388">
        <f t="shared" si="40"/>
        <v>136402.5</v>
      </c>
      <c r="I87" s="389">
        <f t="shared" si="45"/>
        <v>116630</v>
      </c>
      <c r="J87" s="390">
        <v>545.61</v>
      </c>
      <c r="K87" s="391">
        <f>IFERROR(__xludf.DUMMYFUNCTION("GOOGLEFINANCE(E87,""changepct"")"),-1.02)</f>
        <v>-1.02</v>
      </c>
      <c r="L87" s="302">
        <f>IFERROR(__xludf.DUMMYFUNCTION("googlefinance(E87,""price"")"),466.52)</f>
        <v>466.52</v>
      </c>
      <c r="M87" s="401"/>
      <c r="N87" s="301">
        <f t="shared" si="41"/>
        <v>-79.09</v>
      </c>
      <c r="O87" s="393">
        <f t="shared" si="46"/>
        <v>-0.1449570206</v>
      </c>
      <c r="P87" s="394">
        <f t="shared" si="42"/>
        <v>-19772.5</v>
      </c>
      <c r="Q87" s="395">
        <v>0.015</v>
      </c>
      <c r="R87" s="407">
        <v>450.0</v>
      </c>
      <c r="S87" s="399"/>
      <c r="T87" s="410"/>
      <c r="U87" s="401"/>
      <c r="V87" s="402"/>
      <c r="W87" s="399"/>
      <c r="X87" s="411"/>
      <c r="Y87" s="409"/>
      <c r="Z87" s="388"/>
    </row>
    <row r="88">
      <c r="A88" s="351"/>
      <c r="B88" s="352"/>
      <c r="C88" s="352" t="s">
        <v>89</v>
      </c>
      <c r="D88" s="352"/>
      <c r="E88" s="352"/>
      <c r="F88" s="352"/>
      <c r="G88" s="378"/>
      <c r="H88" s="366">
        <f t="shared" ref="H88:I88" si="47">SUM(H77:H87)</f>
        <v>1740301</v>
      </c>
      <c r="I88" s="367">
        <f t="shared" si="47"/>
        <v>1475306.5</v>
      </c>
      <c r="J88" s="354"/>
      <c r="K88" s="354"/>
      <c r="L88" s="354"/>
      <c r="M88" s="355"/>
      <c r="N88" s="355"/>
      <c r="O88" s="368">
        <v>0.0238</v>
      </c>
      <c r="P88" s="369">
        <v>32639.0</v>
      </c>
      <c r="Q88" s="352"/>
      <c r="R88" s="366">
        <f>SUM(R77:R87)</f>
        <v>5073</v>
      </c>
      <c r="S88" s="352" t="s">
        <v>89</v>
      </c>
      <c r="T88" s="371"/>
      <c r="U88" s="372"/>
      <c r="V88" s="366">
        <f>SUM(V77:V87)</f>
        <v>403417</v>
      </c>
      <c r="W88" s="352" t="s">
        <v>89</v>
      </c>
      <c r="X88" s="371"/>
      <c r="Y88" s="372"/>
      <c r="Z88" s="366">
        <f>SUM(Z77:Z87)</f>
        <v>640340</v>
      </c>
    </row>
    <row r="89">
      <c r="A89" s="351"/>
      <c r="B89" s="358" t="s">
        <v>406</v>
      </c>
      <c r="C89" s="352" t="s">
        <v>2</v>
      </c>
      <c r="D89" s="352" t="s">
        <v>150</v>
      </c>
      <c r="E89" s="352" t="s">
        <v>4</v>
      </c>
      <c r="F89" s="352" t="s">
        <v>5</v>
      </c>
      <c r="G89" s="352" t="s">
        <v>6</v>
      </c>
      <c r="H89" s="352" t="s">
        <v>7</v>
      </c>
      <c r="I89" s="353" t="s">
        <v>8</v>
      </c>
      <c r="J89" s="353" t="s">
        <v>9</v>
      </c>
      <c r="K89" s="354" t="s">
        <v>10</v>
      </c>
      <c r="L89" s="354" t="s">
        <v>11</v>
      </c>
      <c r="M89" s="355" t="s">
        <v>476</v>
      </c>
      <c r="N89" s="355" t="s">
        <v>13</v>
      </c>
      <c r="O89" s="352" t="s">
        <v>14</v>
      </c>
      <c r="P89" s="355" t="s">
        <v>15</v>
      </c>
      <c r="Q89" s="352" t="s">
        <v>16</v>
      </c>
      <c r="R89" s="352" t="s">
        <v>17</v>
      </c>
      <c r="S89" s="352" t="s">
        <v>21</v>
      </c>
      <c r="T89" s="352" t="s">
        <v>22</v>
      </c>
      <c r="U89" s="357" t="s">
        <v>23</v>
      </c>
      <c r="V89" s="357" t="s">
        <v>24</v>
      </c>
      <c r="W89" s="352" t="s">
        <v>25</v>
      </c>
      <c r="X89" s="352" t="s">
        <v>26</v>
      </c>
      <c r="Y89" s="352" t="s">
        <v>27</v>
      </c>
      <c r="Z89" s="352" t="s">
        <v>28</v>
      </c>
    </row>
    <row r="90">
      <c r="A90" s="377" t="s">
        <v>29</v>
      </c>
      <c r="B90" s="412">
        <f>I95/E182</f>
        <v>0.04454359631</v>
      </c>
      <c r="C90" s="413">
        <f>I90/E182</f>
        <v>0.02031696952</v>
      </c>
      <c r="D90" s="117" t="s">
        <v>539</v>
      </c>
      <c r="E90" s="117" t="s">
        <v>540</v>
      </c>
      <c r="F90" s="117">
        <v>7.6</v>
      </c>
      <c r="G90" s="414">
        <v>500.0</v>
      </c>
      <c r="H90" s="415">
        <f t="shared" ref="H90:H94" si="48">G90*J90</f>
        <v>152725</v>
      </c>
      <c r="I90" s="416">
        <f>H90+P90</f>
        <v>286775</v>
      </c>
      <c r="J90" s="417">
        <v>305.45</v>
      </c>
      <c r="K90" s="418">
        <f>IFERROR(__xludf.DUMMYFUNCTION("GOOGLEFINANCE(E90,""changepct"")"),-0.46)</f>
        <v>-0.46</v>
      </c>
      <c r="L90" s="419">
        <f>IFERROR(__xludf.DUMMYFUNCTION("googlefinance(E90,""price"")"),573.55)</f>
        <v>573.55</v>
      </c>
      <c r="M90" s="420"/>
      <c r="N90" s="419">
        <f t="shared" ref="N90:N94" si="49">L90-J90</f>
        <v>268.1</v>
      </c>
      <c r="O90" s="421">
        <f>L90/J90-1</f>
        <v>0.8777213947</v>
      </c>
      <c r="P90" s="416">
        <f t="shared" ref="P90:P94" si="50">H90*O90</f>
        <v>134050</v>
      </c>
      <c r="Q90" s="422"/>
      <c r="R90" s="422"/>
      <c r="S90" s="422"/>
      <c r="T90" s="422"/>
      <c r="U90" s="423"/>
      <c r="V90" s="423"/>
      <c r="W90" s="117" t="s">
        <v>540</v>
      </c>
      <c r="X90" s="424">
        <v>45002.0</v>
      </c>
      <c r="Y90" s="425">
        <v>305.45</v>
      </c>
      <c r="Z90" s="426">
        <v>152725.0</v>
      </c>
    </row>
    <row r="91">
      <c r="A91" s="403"/>
      <c r="B91" s="284"/>
      <c r="C91" s="413">
        <f>I91/E182</f>
        <v>0</v>
      </c>
      <c r="D91" s="117" t="s">
        <v>568</v>
      </c>
      <c r="E91" s="117" t="s">
        <v>569</v>
      </c>
      <c r="F91" s="117">
        <v>7.7</v>
      </c>
      <c r="G91" s="414">
        <v>3000.0</v>
      </c>
      <c r="H91" s="415">
        <f t="shared" si="48"/>
        <v>131430</v>
      </c>
      <c r="I91" s="427">
        <v>0.0</v>
      </c>
      <c r="J91" s="417">
        <v>43.81</v>
      </c>
      <c r="K91" s="418">
        <f>IFERROR(__xludf.DUMMYFUNCTION("GOOGLEFINANCE(E91,""changepct"")"),-0.25)</f>
        <v>-0.25</v>
      </c>
      <c r="L91" s="419">
        <f>IFERROR(__xludf.DUMMYFUNCTION("googlefinance(E91,""price"")"),60.42)</f>
        <v>60.42</v>
      </c>
      <c r="M91" s="428">
        <v>42.23</v>
      </c>
      <c r="N91" s="419">
        <f t="shared" si="49"/>
        <v>16.61</v>
      </c>
      <c r="O91" s="421">
        <f t="shared" ref="O91:O92" si="51">M91/J91-1</f>
        <v>-0.03606482538</v>
      </c>
      <c r="P91" s="416">
        <f t="shared" si="50"/>
        <v>-4740</v>
      </c>
      <c r="Q91" s="422"/>
      <c r="R91" s="422"/>
      <c r="S91" s="117" t="s">
        <v>569</v>
      </c>
      <c r="T91" s="424">
        <v>45008.0</v>
      </c>
      <c r="U91" s="425">
        <v>42.23</v>
      </c>
      <c r="V91" s="426">
        <v>126690.0</v>
      </c>
      <c r="W91" s="117" t="s">
        <v>569</v>
      </c>
      <c r="X91" s="424">
        <v>45002.0</v>
      </c>
      <c r="Y91" s="425">
        <v>43.81</v>
      </c>
      <c r="Z91" s="426">
        <v>131430.0</v>
      </c>
    </row>
    <row r="92">
      <c r="A92" s="403"/>
      <c r="B92" s="284"/>
      <c r="C92" s="413">
        <f>I92/E182</f>
        <v>0</v>
      </c>
      <c r="D92" s="117" t="s">
        <v>562</v>
      </c>
      <c r="E92" s="117" t="s">
        <v>563</v>
      </c>
      <c r="F92" s="118">
        <v>7.5</v>
      </c>
      <c r="G92" s="119">
        <v>4000.0</v>
      </c>
      <c r="H92" s="415">
        <f t="shared" si="48"/>
        <v>222960</v>
      </c>
      <c r="I92" s="427">
        <v>0.0</v>
      </c>
      <c r="J92" s="417">
        <v>55.74</v>
      </c>
      <c r="K92" s="418">
        <f>IFERROR(__xludf.DUMMYFUNCTION("GOOGLEFINANCE(E92,""changepct"")"),-1.08)</f>
        <v>-1.08</v>
      </c>
      <c r="L92" s="419">
        <f>IFERROR(__xludf.DUMMYFUNCTION("googlefinance(E92,""price"")"),73.93)</f>
        <v>73.93</v>
      </c>
      <c r="M92" s="428">
        <v>58.06</v>
      </c>
      <c r="N92" s="419">
        <f t="shared" si="49"/>
        <v>18.19</v>
      </c>
      <c r="O92" s="421">
        <f t="shared" si="51"/>
        <v>0.04162181557</v>
      </c>
      <c r="P92" s="416">
        <f t="shared" si="50"/>
        <v>9280</v>
      </c>
      <c r="Q92" s="422"/>
      <c r="R92" s="422"/>
      <c r="S92" s="117" t="s">
        <v>563</v>
      </c>
      <c r="T92" s="424">
        <v>45007.0</v>
      </c>
      <c r="U92" s="425">
        <v>58.06</v>
      </c>
      <c r="V92" s="426">
        <v>232240.0</v>
      </c>
      <c r="W92" s="117" t="s">
        <v>563</v>
      </c>
      <c r="X92" s="424">
        <v>45002.0</v>
      </c>
      <c r="Y92" s="425">
        <v>55.74</v>
      </c>
      <c r="Z92" s="426">
        <v>222960.0</v>
      </c>
    </row>
    <row r="93">
      <c r="A93" s="403"/>
      <c r="B93" s="284"/>
      <c r="C93" s="413">
        <f>I93/E182</f>
        <v>0.01210481183</v>
      </c>
      <c r="D93" s="117" t="s">
        <v>541</v>
      </c>
      <c r="E93" s="117" t="s">
        <v>382</v>
      </c>
      <c r="F93" s="117">
        <v>7.5</v>
      </c>
      <c r="G93" s="414">
        <v>2000.0</v>
      </c>
      <c r="H93" s="415">
        <f t="shared" si="48"/>
        <v>146860</v>
      </c>
      <c r="I93" s="416">
        <f t="shared" ref="I93:I94" si="52">H93+P93</f>
        <v>170860</v>
      </c>
      <c r="J93" s="417">
        <v>73.43</v>
      </c>
      <c r="K93" s="418">
        <f>IFERROR(__xludf.DUMMYFUNCTION("GOOGLEFINANCE(E93,""changepct"")"),-1.65)</f>
        <v>-1.65</v>
      </c>
      <c r="L93" s="419">
        <f>IFERROR(__xludf.DUMMYFUNCTION("googlefinance(E93,""price"")"),85.43)</f>
        <v>85.43</v>
      </c>
      <c r="M93" s="420"/>
      <c r="N93" s="419">
        <f t="shared" si="49"/>
        <v>12</v>
      </c>
      <c r="O93" s="421">
        <f t="shared" ref="O93:O94" si="53">L93/J93-1</f>
        <v>0.1634209451</v>
      </c>
      <c r="P93" s="416">
        <f t="shared" si="50"/>
        <v>24000</v>
      </c>
      <c r="Q93" s="422"/>
      <c r="R93" s="422"/>
      <c r="S93" s="422"/>
      <c r="T93" s="422"/>
      <c r="U93" s="423"/>
      <c r="V93" s="423"/>
      <c r="W93" s="117" t="s">
        <v>382</v>
      </c>
      <c r="X93" s="424">
        <v>45002.0</v>
      </c>
      <c r="Y93" s="425">
        <v>73.43</v>
      </c>
      <c r="Z93" s="426">
        <v>146860.0</v>
      </c>
    </row>
    <row r="94">
      <c r="A94" s="403"/>
      <c r="B94" s="284"/>
      <c r="C94" s="413">
        <f>I94/E182</f>
        <v>0.01212181496</v>
      </c>
      <c r="D94" s="117" t="s">
        <v>456</v>
      </c>
      <c r="E94" s="117" t="s">
        <v>457</v>
      </c>
      <c r="F94" s="117">
        <v>7.3</v>
      </c>
      <c r="G94" s="414">
        <v>10000.0</v>
      </c>
      <c r="H94" s="415">
        <f t="shared" si="48"/>
        <v>113100</v>
      </c>
      <c r="I94" s="416">
        <f t="shared" si="52"/>
        <v>171100</v>
      </c>
      <c r="J94" s="417">
        <v>11.31</v>
      </c>
      <c r="K94" s="418">
        <f>IFERROR(__xludf.DUMMYFUNCTION("GOOGLEFINANCE(E94,""changepct"")"),-0.52)</f>
        <v>-0.52</v>
      </c>
      <c r="L94" s="419">
        <f>IFERROR(__xludf.DUMMYFUNCTION("googlefinance(E94,""price"")"),17.11)</f>
        <v>17.11</v>
      </c>
      <c r="M94" s="420"/>
      <c r="N94" s="419">
        <f t="shared" si="49"/>
        <v>5.8</v>
      </c>
      <c r="O94" s="421">
        <f t="shared" si="53"/>
        <v>0.5128205128</v>
      </c>
      <c r="P94" s="416">
        <f t="shared" si="50"/>
        <v>58000</v>
      </c>
      <c r="Q94" s="422"/>
      <c r="R94" s="422"/>
      <c r="S94" s="422"/>
      <c r="T94" s="422"/>
      <c r="U94" s="423"/>
      <c r="V94" s="423"/>
      <c r="W94" s="117" t="s">
        <v>457</v>
      </c>
      <c r="X94" s="424">
        <v>45002.0</v>
      </c>
      <c r="Y94" s="425">
        <v>11.31</v>
      </c>
      <c r="Z94" s="426">
        <v>113100.0</v>
      </c>
    </row>
    <row r="95">
      <c r="A95" s="351"/>
      <c r="B95" s="352"/>
      <c r="C95" s="358" t="s">
        <v>89</v>
      </c>
      <c r="D95" s="352"/>
      <c r="E95" s="352"/>
      <c r="F95" s="352"/>
      <c r="G95" s="352"/>
      <c r="H95" s="356">
        <f t="shared" ref="H95:I95" si="54">SUM(H90:H94)</f>
        <v>767075</v>
      </c>
      <c r="I95" s="429">
        <f t="shared" si="54"/>
        <v>628735</v>
      </c>
      <c r="J95" s="353"/>
      <c r="K95" s="354"/>
      <c r="L95" s="354"/>
      <c r="M95" s="355"/>
      <c r="N95" s="355"/>
      <c r="O95" s="430">
        <v>0.0424</v>
      </c>
      <c r="P95" s="431">
        <v>32490.0</v>
      </c>
      <c r="Q95" s="352"/>
      <c r="R95" s="352"/>
      <c r="S95" s="352"/>
      <c r="T95" s="352"/>
      <c r="U95" s="357"/>
      <c r="V95" s="432">
        <f>SUM(V90:V94)</f>
        <v>358930</v>
      </c>
      <c r="W95" s="352"/>
      <c r="X95" s="352"/>
      <c r="Y95" s="352"/>
      <c r="Z95" s="356">
        <f>SUM(Z90:Z94)</f>
        <v>767075</v>
      </c>
    </row>
    <row r="96">
      <c r="A96" s="351"/>
      <c r="B96" s="352" t="s">
        <v>542</v>
      </c>
      <c r="C96" s="352" t="s">
        <v>2</v>
      </c>
      <c r="D96" s="352" t="s">
        <v>150</v>
      </c>
      <c r="E96" s="352" t="s">
        <v>4</v>
      </c>
      <c r="F96" s="352" t="s">
        <v>5</v>
      </c>
      <c r="G96" s="352" t="s">
        <v>6</v>
      </c>
      <c r="H96" s="352" t="s">
        <v>7</v>
      </c>
      <c r="I96" s="353" t="s">
        <v>8</v>
      </c>
      <c r="J96" s="353" t="s">
        <v>9</v>
      </c>
      <c r="K96" s="354" t="s">
        <v>10</v>
      </c>
      <c r="L96" s="354" t="s">
        <v>11</v>
      </c>
      <c r="M96" s="355" t="s">
        <v>476</v>
      </c>
      <c r="N96" s="355" t="s">
        <v>13</v>
      </c>
      <c r="O96" s="352" t="s">
        <v>14</v>
      </c>
      <c r="P96" s="355" t="s">
        <v>15</v>
      </c>
      <c r="Q96" s="352" t="s">
        <v>16</v>
      </c>
      <c r="R96" s="352" t="s">
        <v>17</v>
      </c>
      <c r="S96" s="352" t="s">
        <v>21</v>
      </c>
      <c r="T96" s="352" t="s">
        <v>22</v>
      </c>
      <c r="U96" s="357" t="s">
        <v>23</v>
      </c>
      <c r="V96" s="357" t="s">
        <v>24</v>
      </c>
      <c r="W96" s="352" t="s">
        <v>25</v>
      </c>
      <c r="X96" s="352" t="s">
        <v>26</v>
      </c>
      <c r="Y96" s="352" t="s">
        <v>27</v>
      </c>
      <c r="Z96" s="352" t="s">
        <v>28</v>
      </c>
    </row>
    <row r="97">
      <c r="A97" s="377" t="s">
        <v>29</v>
      </c>
      <c r="B97" s="362">
        <f>I101/E182</f>
        <v>0.05377523335</v>
      </c>
      <c r="C97" s="386">
        <f>I97/E182</f>
        <v>0</v>
      </c>
      <c r="D97" s="117" t="s">
        <v>543</v>
      </c>
      <c r="E97" s="284" t="s">
        <v>408</v>
      </c>
      <c r="F97" s="118">
        <v>7.3</v>
      </c>
      <c r="G97" s="433">
        <v>2000.0</v>
      </c>
      <c r="H97" s="388">
        <f t="shared" ref="H97:H100" si="55">G97*J97</f>
        <v>199120</v>
      </c>
      <c r="I97" s="404">
        <v>0.0</v>
      </c>
      <c r="J97" s="390">
        <v>99.56</v>
      </c>
      <c r="K97" s="121">
        <f>IFERROR(__xludf.DUMMYFUNCTION("GOOGLEFINANCE(E97,""changepct"")"),0.8)</f>
        <v>0.8</v>
      </c>
      <c r="L97" s="434">
        <f>IFERROR(__xludf.DUMMYFUNCTION("googlefinance(E97,""price"")"),87.8)</f>
        <v>87.8</v>
      </c>
      <c r="M97" s="435">
        <v>106.74</v>
      </c>
      <c r="N97" s="434">
        <f t="shared" ref="N97:N100" si="56">L97-J97</f>
        <v>-11.76</v>
      </c>
      <c r="O97" s="436">
        <f>M97/J97-1</f>
        <v>0.07211731619</v>
      </c>
      <c r="P97" s="389">
        <f t="shared" ref="P97:P100" si="57">H97*O97</f>
        <v>14360</v>
      </c>
      <c r="Q97" s="437"/>
      <c r="R97" s="388"/>
      <c r="S97" s="396" t="s">
        <v>408</v>
      </c>
      <c r="T97" s="397">
        <v>44960.0</v>
      </c>
      <c r="U97" s="392">
        <v>106.74</v>
      </c>
      <c r="V97" s="398">
        <v>213480.0</v>
      </c>
      <c r="W97" s="399"/>
      <c r="X97" s="400"/>
      <c r="Y97" s="401"/>
      <c r="Z97" s="402"/>
    </row>
    <row r="98">
      <c r="A98" s="403"/>
      <c r="B98" s="284"/>
      <c r="C98" s="386">
        <f>I98/E182</f>
        <v>0.03110155913</v>
      </c>
      <c r="D98" s="117" t="s">
        <v>543</v>
      </c>
      <c r="E98" s="284" t="s">
        <v>408</v>
      </c>
      <c r="F98" s="118">
        <v>7.3</v>
      </c>
      <c r="G98" s="433">
        <v>5000.0</v>
      </c>
      <c r="H98" s="388">
        <f t="shared" si="55"/>
        <v>536850</v>
      </c>
      <c r="I98" s="404">
        <f t="shared" ref="I98:I99" si="58">H98+P98</f>
        <v>439000</v>
      </c>
      <c r="J98" s="390">
        <v>107.37</v>
      </c>
      <c r="K98" s="121">
        <f>IFERROR(__xludf.DUMMYFUNCTION("GOOGLEFINANCE(E98,""changepct"")"),0.8)</f>
        <v>0.8</v>
      </c>
      <c r="L98" s="434">
        <f>IFERROR(__xludf.DUMMYFUNCTION("googlefinance(E98,""price"")"),87.8)</f>
        <v>87.8</v>
      </c>
      <c r="M98" s="435"/>
      <c r="N98" s="434">
        <f t="shared" si="56"/>
        <v>-19.57</v>
      </c>
      <c r="O98" s="436">
        <f t="shared" ref="O98:O99" si="59">L98/J98-1</f>
        <v>-0.1822669274</v>
      </c>
      <c r="P98" s="389">
        <f t="shared" si="57"/>
        <v>-97850</v>
      </c>
      <c r="Q98" s="386"/>
      <c r="R98" s="388"/>
      <c r="S98" s="396"/>
      <c r="T98" s="397"/>
      <c r="U98" s="392"/>
      <c r="V98" s="398"/>
      <c r="W98" s="396" t="s">
        <v>408</v>
      </c>
      <c r="X98" s="397">
        <v>45002.0</v>
      </c>
      <c r="Y98" s="392">
        <v>107.37</v>
      </c>
      <c r="Z98" s="398">
        <v>536850.0</v>
      </c>
    </row>
    <row r="99">
      <c r="A99" s="403"/>
      <c r="B99" s="284"/>
      <c r="C99" s="386">
        <f>I99/E182</f>
        <v>0.02267367422</v>
      </c>
      <c r="D99" s="284" t="s">
        <v>544</v>
      </c>
      <c r="E99" s="284" t="s">
        <v>545</v>
      </c>
      <c r="F99" s="118">
        <v>7.5</v>
      </c>
      <c r="G99" s="433">
        <v>3000.0</v>
      </c>
      <c r="H99" s="388">
        <f t="shared" si="55"/>
        <v>328290</v>
      </c>
      <c r="I99" s="404">
        <f t="shared" si="58"/>
        <v>320040</v>
      </c>
      <c r="J99" s="390">
        <v>109.43</v>
      </c>
      <c r="K99" s="121">
        <f>IFERROR(__xludf.DUMMYFUNCTION("GOOGLEFINANCE(E99,""changepct"")"),0.29)</f>
        <v>0.29</v>
      </c>
      <c r="L99" s="434">
        <f>IFERROR(__xludf.DUMMYFUNCTION("googlefinance(E99,""price"")"),106.68)</f>
        <v>106.68</v>
      </c>
      <c r="M99" s="435"/>
      <c r="N99" s="434">
        <f t="shared" si="56"/>
        <v>-2.75</v>
      </c>
      <c r="O99" s="436">
        <f t="shared" si="59"/>
        <v>-0.02513022023</v>
      </c>
      <c r="P99" s="389">
        <f t="shared" si="57"/>
        <v>-8250</v>
      </c>
      <c r="Q99" s="386"/>
      <c r="R99" s="388"/>
      <c r="S99" s="396"/>
      <c r="T99" s="397"/>
      <c r="U99" s="392"/>
      <c r="V99" s="398"/>
      <c r="W99" s="396" t="s">
        <v>545</v>
      </c>
      <c r="X99" s="397">
        <v>45013.0</v>
      </c>
      <c r="Y99" s="392">
        <v>109.43</v>
      </c>
      <c r="Z99" s="398">
        <v>328290.0</v>
      </c>
    </row>
    <row r="100">
      <c r="A100" s="403"/>
      <c r="B100" s="284"/>
      <c r="C100" s="386">
        <f>I100/E182</f>
        <v>0</v>
      </c>
      <c r="D100" s="284" t="s">
        <v>544</v>
      </c>
      <c r="E100" s="284" t="s">
        <v>545</v>
      </c>
      <c r="F100" s="118">
        <v>7.5</v>
      </c>
      <c r="G100" s="433">
        <v>2000.0</v>
      </c>
      <c r="H100" s="388">
        <f t="shared" si="55"/>
        <v>212880</v>
      </c>
      <c r="I100" s="404">
        <v>0.0</v>
      </c>
      <c r="J100" s="390">
        <v>106.44</v>
      </c>
      <c r="K100" s="121">
        <f>IFERROR(__xludf.DUMMYFUNCTION("GOOGLEFINANCE(E100,""changepct"")"),0.29)</f>
        <v>0.29</v>
      </c>
      <c r="L100" s="434">
        <f>IFERROR(__xludf.DUMMYFUNCTION("googlefinance(E100,""price"")"),106.68)</f>
        <v>106.68</v>
      </c>
      <c r="M100" s="435">
        <v>107.16</v>
      </c>
      <c r="N100" s="434">
        <f t="shared" si="56"/>
        <v>0.24</v>
      </c>
      <c r="O100" s="393">
        <f>M100/J100-1</f>
        <v>0.006764374295</v>
      </c>
      <c r="P100" s="389">
        <f t="shared" si="57"/>
        <v>1440</v>
      </c>
      <c r="Q100" s="386"/>
      <c r="R100" s="388"/>
      <c r="S100" s="396" t="s">
        <v>545</v>
      </c>
      <c r="T100" s="397">
        <v>44978.0</v>
      </c>
      <c r="U100" s="392">
        <v>107.16</v>
      </c>
      <c r="V100" s="398">
        <v>214320.0</v>
      </c>
      <c r="W100" s="399"/>
      <c r="X100" s="400"/>
      <c r="Y100" s="401"/>
      <c r="Z100" s="402"/>
    </row>
    <row r="101">
      <c r="A101" s="351"/>
      <c r="B101" s="352"/>
      <c r="C101" s="352" t="s">
        <v>89</v>
      </c>
      <c r="D101" s="352"/>
      <c r="E101" s="352"/>
      <c r="F101" s="352"/>
      <c r="G101" s="356"/>
      <c r="H101" s="366">
        <f t="shared" ref="H101:I101" si="60">SUM(H97:H100)</f>
        <v>1277140</v>
      </c>
      <c r="I101" s="367">
        <f t="shared" si="60"/>
        <v>759040</v>
      </c>
      <c r="J101" s="354"/>
      <c r="K101" s="354"/>
      <c r="L101" s="354"/>
      <c r="M101" s="355"/>
      <c r="N101" s="355"/>
      <c r="O101" s="368">
        <v>0.0104</v>
      </c>
      <c r="P101" s="369">
        <v>13260.0</v>
      </c>
      <c r="Q101" s="352"/>
      <c r="R101" s="366">
        <f>SUM(R97:R100)</f>
        <v>0</v>
      </c>
      <c r="S101" s="352" t="s">
        <v>89</v>
      </c>
      <c r="T101" s="371"/>
      <c r="U101" s="372"/>
      <c r="V101" s="366">
        <f>SUM(V97:V100)</f>
        <v>427800</v>
      </c>
      <c r="W101" s="352" t="s">
        <v>89</v>
      </c>
      <c r="X101" s="371"/>
      <c r="Y101" s="372"/>
      <c r="Z101" s="438">
        <f>SUM(Z97:Z100)</f>
        <v>865140</v>
      </c>
    </row>
    <row r="102">
      <c r="A102" s="373"/>
      <c r="B102" s="352" t="s">
        <v>409</v>
      </c>
      <c r="C102" s="352" t="s">
        <v>2</v>
      </c>
      <c r="D102" s="352" t="s">
        <v>150</v>
      </c>
      <c r="E102" s="352" t="s">
        <v>4</v>
      </c>
      <c r="F102" s="352" t="s">
        <v>5</v>
      </c>
      <c r="G102" s="352" t="s">
        <v>6</v>
      </c>
      <c r="H102" s="352" t="s">
        <v>7</v>
      </c>
      <c r="I102" s="353" t="s">
        <v>8</v>
      </c>
      <c r="J102" s="353" t="s">
        <v>9</v>
      </c>
      <c r="K102" s="354" t="s">
        <v>10</v>
      </c>
      <c r="L102" s="354" t="s">
        <v>11</v>
      </c>
      <c r="M102" s="355" t="s">
        <v>476</v>
      </c>
      <c r="N102" s="355" t="s">
        <v>13</v>
      </c>
      <c r="O102" s="352" t="s">
        <v>14</v>
      </c>
      <c r="P102" s="355" t="s">
        <v>15</v>
      </c>
      <c r="Q102" s="352" t="s">
        <v>16</v>
      </c>
      <c r="R102" s="352" t="s">
        <v>17</v>
      </c>
      <c r="S102" s="352" t="s">
        <v>21</v>
      </c>
      <c r="T102" s="352" t="s">
        <v>22</v>
      </c>
      <c r="U102" s="357" t="s">
        <v>23</v>
      </c>
      <c r="V102" s="357" t="s">
        <v>24</v>
      </c>
      <c r="W102" s="352" t="s">
        <v>25</v>
      </c>
      <c r="X102" s="352" t="s">
        <v>26</v>
      </c>
      <c r="Y102" s="352" t="s">
        <v>27</v>
      </c>
      <c r="Z102" s="352" t="s">
        <v>28</v>
      </c>
    </row>
    <row r="103">
      <c r="A103" s="377" t="s">
        <v>29</v>
      </c>
      <c r="B103" s="362">
        <f>I121/E182</f>
        <v>0.3024038601</v>
      </c>
      <c r="C103" s="116">
        <f>I103/E182</f>
        <v>0.03489184025</v>
      </c>
      <c r="D103" s="304" t="s">
        <v>151</v>
      </c>
      <c r="E103" s="304" t="s">
        <v>152</v>
      </c>
      <c r="F103" s="359">
        <v>8.6</v>
      </c>
      <c r="G103" s="299">
        <v>250.0</v>
      </c>
      <c r="H103" s="300">
        <f t="shared" ref="H103:H120" si="61">G103*J103</f>
        <v>456550</v>
      </c>
      <c r="I103" s="300">
        <f t="shared" ref="I103:I115" si="62">H103+P103</f>
        <v>492500</v>
      </c>
      <c r="J103" s="141">
        <v>1826.2</v>
      </c>
      <c r="K103" s="439"/>
      <c r="L103" s="440">
        <v>1970.0</v>
      </c>
      <c r="M103" s="126"/>
      <c r="N103" s="441">
        <f t="shared" ref="N103:N120" si="63">L103-J103</f>
        <v>143.8</v>
      </c>
      <c r="O103" s="139">
        <f t="shared" ref="O103:O115" si="64">L103/J103-1</f>
        <v>0.0787427445</v>
      </c>
      <c r="P103" s="382">
        <f t="shared" ref="P103:P120" si="65">H103*O103</f>
        <v>35950</v>
      </c>
      <c r="Q103" s="124"/>
      <c r="R103" s="125"/>
      <c r="S103" s="360"/>
      <c r="T103" s="115"/>
      <c r="U103" s="126"/>
      <c r="V103" s="125"/>
      <c r="W103" s="360"/>
      <c r="X103" s="115"/>
      <c r="Y103" s="126"/>
      <c r="Z103" s="125"/>
    </row>
    <row r="104">
      <c r="A104" s="442" t="s">
        <v>153</v>
      </c>
      <c r="B104" s="443">
        <f>I103+I104</f>
        <v>732500</v>
      </c>
      <c r="C104" s="116">
        <f>I104/E182</f>
        <v>0.01700313028</v>
      </c>
      <c r="D104" s="304" t="s">
        <v>154</v>
      </c>
      <c r="E104" s="304" t="s">
        <v>155</v>
      </c>
      <c r="F104" s="444">
        <v>8.5</v>
      </c>
      <c r="G104" s="299">
        <v>10000.0</v>
      </c>
      <c r="H104" s="300">
        <f t="shared" si="61"/>
        <v>240400</v>
      </c>
      <c r="I104" s="300">
        <f t="shared" si="62"/>
        <v>240000</v>
      </c>
      <c r="J104" s="141">
        <v>24.04</v>
      </c>
      <c r="K104" s="439"/>
      <c r="L104" s="445">
        <v>24.0</v>
      </c>
      <c r="M104" s="126"/>
      <c r="N104" s="301">
        <f t="shared" si="63"/>
        <v>-0.04</v>
      </c>
      <c r="O104" s="139">
        <f t="shared" si="64"/>
        <v>-0.001663893511</v>
      </c>
      <c r="P104" s="300">
        <f t="shared" si="65"/>
        <v>-400</v>
      </c>
      <c r="Q104" s="124"/>
      <c r="R104" s="125"/>
      <c r="S104" s="360"/>
      <c r="T104" s="115"/>
      <c r="U104" s="126"/>
      <c r="V104" s="125"/>
      <c r="W104" s="360"/>
      <c r="X104" s="115"/>
      <c r="Y104" s="126"/>
      <c r="Z104" s="125"/>
    </row>
    <row r="105">
      <c r="A105" s="442" t="s">
        <v>156</v>
      </c>
      <c r="B105" s="446">
        <f>B104/E182</f>
        <v>0.05189497053</v>
      </c>
      <c r="C105" s="116">
        <f>I105/E182</f>
        <v>0.02392482123</v>
      </c>
      <c r="D105" s="304" t="s">
        <v>570</v>
      </c>
      <c r="E105" s="304" t="s">
        <v>158</v>
      </c>
      <c r="F105" s="359">
        <v>7.9</v>
      </c>
      <c r="G105" s="119">
        <v>10000.0</v>
      </c>
      <c r="H105" s="300">
        <f t="shared" si="61"/>
        <v>286600</v>
      </c>
      <c r="I105" s="300">
        <f t="shared" si="62"/>
        <v>337700</v>
      </c>
      <c r="J105" s="141">
        <v>28.66</v>
      </c>
      <c r="K105" s="447">
        <f>IFERROR(__xludf.DUMMYFUNCTION("GOOGLEFINANCE(E105,""changepct"")"),-1.43)</f>
        <v>-1.43</v>
      </c>
      <c r="L105" s="302">
        <f>IFERROR(__xludf.DUMMYFUNCTION("googlefinance(E105,""price"")"),33.77)</f>
        <v>33.77</v>
      </c>
      <c r="M105" s="126"/>
      <c r="N105" s="301">
        <f t="shared" si="63"/>
        <v>5.11</v>
      </c>
      <c r="O105" s="139">
        <f t="shared" si="64"/>
        <v>0.1782972784</v>
      </c>
      <c r="P105" s="300">
        <f t="shared" si="65"/>
        <v>51100</v>
      </c>
      <c r="Q105" s="363">
        <v>0.015</v>
      </c>
      <c r="R105" s="133">
        <v>1200.0</v>
      </c>
      <c r="S105" s="360"/>
      <c r="T105" s="298"/>
      <c r="U105" s="126"/>
      <c r="V105" s="125"/>
      <c r="W105" s="360"/>
      <c r="X105" s="115"/>
      <c r="Y105" s="126"/>
      <c r="Z105" s="125"/>
    </row>
    <row r="106">
      <c r="A106" s="442" t="s">
        <v>159</v>
      </c>
      <c r="B106" s="443">
        <f>I106+I119+I109+I105+I107+I111+I118+I112+I120+I117+I114+I116+I108+I113+I111+I115</f>
        <v>3581795</v>
      </c>
      <c r="C106" s="116">
        <f>I106/E182</f>
        <v>0.01499109319</v>
      </c>
      <c r="D106" s="304" t="s">
        <v>160</v>
      </c>
      <c r="E106" s="304" t="s">
        <v>161</v>
      </c>
      <c r="F106" s="444">
        <v>8.0</v>
      </c>
      <c r="G106" s="119">
        <v>5000.0</v>
      </c>
      <c r="H106" s="300">
        <f t="shared" si="61"/>
        <v>178250</v>
      </c>
      <c r="I106" s="300">
        <f t="shared" si="62"/>
        <v>211600</v>
      </c>
      <c r="J106" s="141">
        <v>35.65</v>
      </c>
      <c r="K106" s="447">
        <f>IFERROR(__xludf.DUMMYFUNCTION("GOOGLEFINANCE(E106,""changepct"")"),-1.7)</f>
        <v>-1.7</v>
      </c>
      <c r="L106" s="302">
        <f>IFERROR(__xludf.DUMMYFUNCTION("googlefinance(E106,""price"")"),42.32)</f>
        <v>42.32</v>
      </c>
      <c r="M106" s="126"/>
      <c r="N106" s="301">
        <f t="shared" si="63"/>
        <v>6.67</v>
      </c>
      <c r="O106" s="139">
        <f t="shared" si="64"/>
        <v>0.1870967742</v>
      </c>
      <c r="P106" s="300">
        <f t="shared" si="65"/>
        <v>33350</v>
      </c>
      <c r="Q106" s="363">
        <v>0.005</v>
      </c>
      <c r="R106" s="133">
        <v>245.0</v>
      </c>
      <c r="S106" s="360"/>
      <c r="T106" s="298"/>
      <c r="U106" s="126"/>
      <c r="V106" s="125"/>
      <c r="W106" s="360"/>
      <c r="X106" s="115"/>
      <c r="Y106" s="126"/>
      <c r="Z106" s="125"/>
    </row>
    <row r="107">
      <c r="A107" s="442" t="s">
        <v>162</v>
      </c>
      <c r="B107" s="446">
        <f>B106/E182</f>
        <v>0.2537571959</v>
      </c>
      <c r="C107" s="116">
        <f>I107/E182</f>
        <v>0.01310657959</v>
      </c>
      <c r="D107" s="304" t="s">
        <v>506</v>
      </c>
      <c r="E107" s="304" t="s">
        <v>169</v>
      </c>
      <c r="F107" s="444">
        <v>8.0</v>
      </c>
      <c r="G107" s="119">
        <v>5000.0</v>
      </c>
      <c r="H107" s="300">
        <f t="shared" si="61"/>
        <v>236000</v>
      </c>
      <c r="I107" s="300">
        <f t="shared" si="62"/>
        <v>185000</v>
      </c>
      <c r="J107" s="141">
        <v>47.2</v>
      </c>
      <c r="K107" s="447">
        <f>IFERROR(__xludf.DUMMYFUNCTION("GOOGLEFINANCE(E107,""changepct"")"),-2.22)</f>
        <v>-2.22</v>
      </c>
      <c r="L107" s="302">
        <f>IFERROR(__xludf.DUMMYFUNCTION("googlefinance(E107,""price"")"),37.0)</f>
        <v>37</v>
      </c>
      <c r="M107" s="126"/>
      <c r="N107" s="301">
        <f t="shared" si="63"/>
        <v>-10.2</v>
      </c>
      <c r="O107" s="139">
        <f t="shared" si="64"/>
        <v>-0.2161016949</v>
      </c>
      <c r="P107" s="300">
        <f t="shared" si="65"/>
        <v>-51000</v>
      </c>
      <c r="Q107" s="363">
        <v>0.033</v>
      </c>
      <c r="R107" s="133">
        <v>1997.0</v>
      </c>
      <c r="S107" s="360"/>
      <c r="T107" s="298"/>
      <c r="U107" s="126"/>
      <c r="V107" s="125"/>
      <c r="W107" s="360"/>
      <c r="X107" s="115"/>
      <c r="Y107" s="126"/>
      <c r="Z107" s="125"/>
    </row>
    <row r="108">
      <c r="A108" s="114"/>
      <c r="B108" s="115"/>
      <c r="C108" s="116">
        <f>I108/E182</f>
        <v>0.01930386634</v>
      </c>
      <c r="D108" s="304" t="s">
        <v>165</v>
      </c>
      <c r="E108" s="304" t="s">
        <v>164</v>
      </c>
      <c r="F108" s="444">
        <v>8.0</v>
      </c>
      <c r="G108" s="119">
        <v>3500.0</v>
      </c>
      <c r="H108" s="300">
        <f t="shared" si="61"/>
        <v>171430</v>
      </c>
      <c r="I108" s="300">
        <f t="shared" si="62"/>
        <v>272475</v>
      </c>
      <c r="J108" s="141">
        <v>48.98</v>
      </c>
      <c r="K108" s="447">
        <f>IFERROR(__xludf.DUMMYFUNCTION("GOOGLEFINANCE(E108,""changepct"")"),-1.02)</f>
        <v>-1.02</v>
      </c>
      <c r="L108" s="302">
        <f>IFERROR(__xludf.DUMMYFUNCTION("googlefinance(E108,""price"")"),77.85)</f>
        <v>77.85</v>
      </c>
      <c r="M108" s="126"/>
      <c r="N108" s="301">
        <f t="shared" si="63"/>
        <v>28.87</v>
      </c>
      <c r="O108" s="139">
        <f t="shared" si="64"/>
        <v>0.5894242548</v>
      </c>
      <c r="P108" s="300">
        <f t="shared" si="65"/>
        <v>101045</v>
      </c>
      <c r="Q108" s="363">
        <v>0.031</v>
      </c>
      <c r="R108" s="133">
        <v>1395.0</v>
      </c>
      <c r="S108" s="360"/>
      <c r="T108" s="115"/>
      <c r="U108" s="126"/>
      <c r="V108" s="125"/>
      <c r="W108" s="127" t="s">
        <v>164</v>
      </c>
      <c r="X108" s="128">
        <v>44973.0</v>
      </c>
      <c r="Y108" s="123">
        <v>48.98</v>
      </c>
      <c r="Z108" s="129">
        <v>171430.0</v>
      </c>
    </row>
    <row r="109">
      <c r="A109" s="114"/>
      <c r="B109" s="115"/>
      <c r="C109" s="116">
        <f>I109/E182</f>
        <v>0.01654617115</v>
      </c>
      <c r="D109" s="304" t="s">
        <v>165</v>
      </c>
      <c r="E109" s="304" t="s">
        <v>164</v>
      </c>
      <c r="F109" s="444">
        <v>8.0</v>
      </c>
      <c r="G109" s="299">
        <v>3000.0</v>
      </c>
      <c r="H109" s="300">
        <f t="shared" si="61"/>
        <v>155970</v>
      </c>
      <c r="I109" s="300">
        <f t="shared" si="62"/>
        <v>233550</v>
      </c>
      <c r="J109" s="141">
        <v>51.99</v>
      </c>
      <c r="K109" s="447">
        <f>IFERROR(__xludf.DUMMYFUNCTION("GOOGLEFINANCE(E109,""changepct"")"),-1.02)</f>
        <v>-1.02</v>
      </c>
      <c r="L109" s="302">
        <f>IFERROR(__xludf.DUMMYFUNCTION("googlefinance(E109,""price"")"),77.85)</f>
        <v>77.85</v>
      </c>
      <c r="M109" s="126"/>
      <c r="N109" s="301">
        <f t="shared" si="63"/>
        <v>25.86</v>
      </c>
      <c r="O109" s="139">
        <f t="shared" si="64"/>
        <v>0.4974033468</v>
      </c>
      <c r="P109" s="300">
        <f t="shared" si="65"/>
        <v>77580</v>
      </c>
      <c r="Q109" s="363">
        <v>0.031</v>
      </c>
      <c r="R109" s="133">
        <v>1201.0</v>
      </c>
      <c r="S109" s="360"/>
      <c r="T109" s="115"/>
      <c r="U109" s="126"/>
      <c r="V109" s="125"/>
      <c r="W109" s="360"/>
      <c r="X109" s="298"/>
      <c r="Y109" s="126"/>
      <c r="Z109" s="125"/>
    </row>
    <row r="110">
      <c r="A110" s="114"/>
      <c r="B110" s="115"/>
      <c r="C110" s="116">
        <f>I110/E182</f>
        <v>0.02273814443</v>
      </c>
      <c r="D110" s="304" t="s">
        <v>166</v>
      </c>
      <c r="E110" s="304" t="s">
        <v>167</v>
      </c>
      <c r="F110" s="359">
        <v>7.8</v>
      </c>
      <c r="G110" s="119">
        <v>35000.0</v>
      </c>
      <c r="H110" s="300">
        <f t="shared" si="61"/>
        <v>128450</v>
      </c>
      <c r="I110" s="300">
        <f t="shared" si="62"/>
        <v>320950</v>
      </c>
      <c r="J110" s="141">
        <v>3.67</v>
      </c>
      <c r="K110" s="447">
        <f>IFERROR(__xludf.DUMMYFUNCTION("GOOGLEFINANCE(E110,""changepct"")"),-1.5)</f>
        <v>-1.5</v>
      </c>
      <c r="L110" s="302">
        <f>IFERROR(__xludf.DUMMYFUNCTION("googlefinance(E110,""price"")"),9.17)</f>
        <v>9.17</v>
      </c>
      <c r="M110" s="126"/>
      <c r="N110" s="301">
        <f t="shared" si="63"/>
        <v>5.5</v>
      </c>
      <c r="O110" s="139">
        <f t="shared" si="64"/>
        <v>1.498637602</v>
      </c>
      <c r="P110" s="300">
        <f t="shared" si="65"/>
        <v>192500</v>
      </c>
      <c r="Q110" s="363">
        <v>0.0254</v>
      </c>
      <c r="R110" s="133">
        <v>1048.0</v>
      </c>
      <c r="S110" s="360"/>
      <c r="T110" s="115"/>
      <c r="U110" s="126"/>
      <c r="V110" s="125"/>
      <c r="W110" s="127" t="s">
        <v>167</v>
      </c>
      <c r="X110" s="128">
        <v>44980.0</v>
      </c>
      <c r="Y110" s="123">
        <v>3.67</v>
      </c>
      <c r="Z110" s="129">
        <v>128450.0</v>
      </c>
    </row>
    <row r="111">
      <c r="A111" s="114"/>
      <c r="B111" s="115"/>
      <c r="C111" s="116">
        <f>I111/E182</f>
        <v>0.02598645077</v>
      </c>
      <c r="D111" s="304" t="s">
        <v>166</v>
      </c>
      <c r="E111" s="304" t="s">
        <v>167</v>
      </c>
      <c r="F111" s="359">
        <v>7.8</v>
      </c>
      <c r="G111" s="299">
        <v>40000.0</v>
      </c>
      <c r="H111" s="300">
        <f t="shared" si="61"/>
        <v>163600</v>
      </c>
      <c r="I111" s="300">
        <f t="shared" si="62"/>
        <v>366800</v>
      </c>
      <c r="J111" s="141">
        <v>4.09</v>
      </c>
      <c r="K111" s="447">
        <f>IFERROR(__xludf.DUMMYFUNCTION("GOOGLEFINANCE(E111,""changepct"")"),-1.5)</f>
        <v>-1.5</v>
      </c>
      <c r="L111" s="302">
        <f>IFERROR(__xludf.DUMMYFUNCTION("googlefinance(E111,""price"")"),9.17)</f>
        <v>9.17</v>
      </c>
      <c r="M111" s="126"/>
      <c r="N111" s="301">
        <f t="shared" si="63"/>
        <v>5.08</v>
      </c>
      <c r="O111" s="139">
        <f t="shared" si="64"/>
        <v>1.24205379</v>
      </c>
      <c r="P111" s="300">
        <f t="shared" si="65"/>
        <v>203200</v>
      </c>
      <c r="Q111" s="363">
        <v>0.0254</v>
      </c>
      <c r="R111" s="133">
        <v>1194.0</v>
      </c>
      <c r="S111" s="360"/>
      <c r="T111" s="115"/>
      <c r="U111" s="126"/>
      <c r="V111" s="125"/>
      <c r="W111" s="360"/>
      <c r="X111" s="298"/>
      <c r="Y111" s="126"/>
      <c r="Z111" s="125"/>
    </row>
    <row r="112">
      <c r="A112" s="114"/>
      <c r="B112" s="115"/>
      <c r="C112" s="116">
        <f>I112/E182</f>
        <v>0.02304349231</v>
      </c>
      <c r="D112" s="304" t="s">
        <v>547</v>
      </c>
      <c r="E112" s="304" t="s">
        <v>548</v>
      </c>
      <c r="F112" s="359">
        <v>8.0</v>
      </c>
      <c r="G112" s="299">
        <v>18000.0</v>
      </c>
      <c r="H112" s="300">
        <f t="shared" si="61"/>
        <v>181980</v>
      </c>
      <c r="I112" s="300">
        <f t="shared" si="62"/>
        <v>325260</v>
      </c>
      <c r="J112" s="141">
        <v>10.11</v>
      </c>
      <c r="K112" s="447">
        <f>IFERROR(__xludf.DUMMYFUNCTION("GOOGLEFINANCE(E112,""changepct"")"),-1.53)</f>
        <v>-1.53</v>
      </c>
      <c r="L112" s="302">
        <f>IFERROR(__xludf.DUMMYFUNCTION("googlefinance(E112,""price"")"),18.07)</f>
        <v>18.07</v>
      </c>
      <c r="M112" s="123"/>
      <c r="N112" s="301">
        <f t="shared" si="63"/>
        <v>7.96</v>
      </c>
      <c r="O112" s="139">
        <f t="shared" si="64"/>
        <v>0.7873392681</v>
      </c>
      <c r="P112" s="300">
        <f t="shared" si="65"/>
        <v>143280</v>
      </c>
      <c r="Q112" s="363">
        <v>0.008</v>
      </c>
      <c r="R112" s="133">
        <v>430.0</v>
      </c>
      <c r="S112" s="127"/>
      <c r="T112" s="128"/>
      <c r="U112" s="123"/>
      <c r="V112" s="129"/>
      <c r="W112" s="360"/>
      <c r="X112" s="305"/>
      <c r="Y112" s="301"/>
      <c r="Z112" s="300"/>
    </row>
    <row r="113">
      <c r="A113" s="114"/>
      <c r="B113" s="115"/>
      <c r="C113" s="116">
        <f>I113/E182</f>
        <v>0.01095284975</v>
      </c>
      <c r="D113" s="304" t="s">
        <v>571</v>
      </c>
      <c r="E113" s="304" t="s">
        <v>172</v>
      </c>
      <c r="F113" s="359">
        <v>7.9</v>
      </c>
      <c r="G113" s="119">
        <v>10000.0</v>
      </c>
      <c r="H113" s="300">
        <f t="shared" si="61"/>
        <v>167500</v>
      </c>
      <c r="I113" s="300">
        <f t="shared" si="62"/>
        <v>154600</v>
      </c>
      <c r="J113" s="141">
        <v>16.75</v>
      </c>
      <c r="K113" s="447">
        <f>IFERROR(__xludf.DUMMYFUNCTION("GOOGLEFINANCE(E113,""changepct"")"),-1.4)</f>
        <v>-1.4</v>
      </c>
      <c r="L113" s="302">
        <f>IFERROR(__xludf.DUMMYFUNCTION("googlefinance(E113,""price"")"),15.46)</f>
        <v>15.46</v>
      </c>
      <c r="M113" s="126"/>
      <c r="N113" s="301">
        <f t="shared" si="63"/>
        <v>-1.29</v>
      </c>
      <c r="O113" s="139">
        <f t="shared" si="64"/>
        <v>-0.07701492537</v>
      </c>
      <c r="P113" s="300">
        <f t="shared" si="65"/>
        <v>-12900</v>
      </c>
      <c r="Q113" s="363">
        <v>0.022</v>
      </c>
      <c r="R113" s="133">
        <v>1017.0</v>
      </c>
      <c r="S113" s="360"/>
      <c r="T113" s="298"/>
      <c r="U113" s="126"/>
      <c r="V113" s="125"/>
      <c r="W113" s="127" t="s">
        <v>172</v>
      </c>
      <c r="X113" s="287">
        <v>44973.0</v>
      </c>
      <c r="Y113" s="141">
        <v>16.75</v>
      </c>
      <c r="Z113" s="133">
        <v>167500.0</v>
      </c>
    </row>
    <row r="114">
      <c r="A114" s="114"/>
      <c r="B114" s="115"/>
      <c r="C114" s="116">
        <f>I114/E182</f>
        <v>0.01369106219</v>
      </c>
      <c r="D114" s="304" t="s">
        <v>571</v>
      </c>
      <c r="E114" s="304" t="s">
        <v>172</v>
      </c>
      <c r="F114" s="359">
        <v>7.9</v>
      </c>
      <c r="G114" s="119">
        <v>12500.0</v>
      </c>
      <c r="H114" s="300">
        <f t="shared" si="61"/>
        <v>214750</v>
      </c>
      <c r="I114" s="300">
        <f t="shared" si="62"/>
        <v>193250</v>
      </c>
      <c r="J114" s="141">
        <v>17.18</v>
      </c>
      <c r="K114" s="447">
        <f>IFERROR(__xludf.DUMMYFUNCTION("GOOGLEFINANCE(E114,""changepct"")"),-1.4)</f>
        <v>-1.4</v>
      </c>
      <c r="L114" s="302">
        <f>IFERROR(__xludf.DUMMYFUNCTION("googlefinance(E114,""price"")"),15.46)</f>
        <v>15.46</v>
      </c>
      <c r="M114" s="126"/>
      <c r="N114" s="301">
        <f t="shared" si="63"/>
        <v>-1.72</v>
      </c>
      <c r="O114" s="139">
        <f t="shared" si="64"/>
        <v>-0.1001164144</v>
      </c>
      <c r="P114" s="300">
        <f t="shared" si="65"/>
        <v>-21500</v>
      </c>
      <c r="Q114" s="363">
        <v>0.022</v>
      </c>
      <c r="R114" s="133">
        <v>1265.0</v>
      </c>
      <c r="S114" s="360"/>
      <c r="T114" s="298"/>
      <c r="U114" s="126"/>
      <c r="V114" s="125"/>
      <c r="W114" s="360"/>
      <c r="X114" s="305"/>
      <c r="Y114" s="301"/>
      <c r="Z114" s="300"/>
    </row>
    <row r="115">
      <c r="A115" s="114"/>
      <c r="B115" s="115"/>
      <c r="C115" s="116">
        <f>I115/E182</f>
        <v>0.005727929512</v>
      </c>
      <c r="D115" s="304" t="s">
        <v>549</v>
      </c>
      <c r="E115" s="304" t="s">
        <v>550</v>
      </c>
      <c r="F115" s="359">
        <v>7.5</v>
      </c>
      <c r="G115" s="119">
        <v>15000.0</v>
      </c>
      <c r="H115" s="300">
        <f t="shared" si="61"/>
        <v>101250</v>
      </c>
      <c r="I115" s="300">
        <f t="shared" si="62"/>
        <v>80850</v>
      </c>
      <c r="J115" s="141">
        <v>6.75</v>
      </c>
      <c r="K115" s="447">
        <f>IFERROR(__xludf.DUMMYFUNCTION("GOOGLEFINANCE(E115,""changepct"")"),-2.71)</f>
        <v>-2.71</v>
      </c>
      <c r="L115" s="302">
        <f>IFERROR(__xludf.DUMMYFUNCTION("googlefinance(E115,""price"")"),5.39)</f>
        <v>5.39</v>
      </c>
      <c r="M115" s="126"/>
      <c r="N115" s="301">
        <f t="shared" si="63"/>
        <v>-1.36</v>
      </c>
      <c r="O115" s="139">
        <f t="shared" si="64"/>
        <v>-0.2014814815</v>
      </c>
      <c r="P115" s="300">
        <f t="shared" si="65"/>
        <v>-20400</v>
      </c>
      <c r="Q115" s="363">
        <v>0.0034</v>
      </c>
      <c r="R115" s="133">
        <v>88.0</v>
      </c>
      <c r="S115" s="360"/>
      <c r="T115" s="298"/>
      <c r="U115" s="126"/>
      <c r="V115" s="125"/>
      <c r="W115" s="127" t="s">
        <v>550</v>
      </c>
      <c r="X115" s="128">
        <v>44980.0</v>
      </c>
      <c r="Y115" s="123">
        <v>6.75</v>
      </c>
      <c r="Z115" s="129">
        <v>101250.0</v>
      </c>
    </row>
    <row r="116">
      <c r="A116" s="114"/>
      <c r="B116" s="115"/>
      <c r="C116" s="116">
        <f>I116/E182</f>
        <v>0</v>
      </c>
      <c r="D116" s="304" t="s">
        <v>549</v>
      </c>
      <c r="E116" s="304" t="s">
        <v>550</v>
      </c>
      <c r="F116" s="359">
        <v>7.5</v>
      </c>
      <c r="G116" s="119">
        <v>20000.0</v>
      </c>
      <c r="H116" s="300">
        <f t="shared" si="61"/>
        <v>166800</v>
      </c>
      <c r="I116" s="133">
        <v>0.0</v>
      </c>
      <c r="J116" s="141">
        <v>8.34</v>
      </c>
      <c r="K116" s="447">
        <f>IFERROR(__xludf.DUMMYFUNCTION("GOOGLEFINANCE(E116,""changepct"")"),-2.71)</f>
        <v>-2.71</v>
      </c>
      <c r="L116" s="302">
        <f>IFERROR(__xludf.DUMMYFUNCTION("googlefinance(E116,""price"")"),5.39)</f>
        <v>5.39</v>
      </c>
      <c r="M116" s="123">
        <v>6.02</v>
      </c>
      <c r="N116" s="301">
        <f t="shared" si="63"/>
        <v>-2.95</v>
      </c>
      <c r="O116" s="139">
        <f>M116/J116-1</f>
        <v>-0.278177458</v>
      </c>
      <c r="P116" s="300">
        <f t="shared" si="65"/>
        <v>-46400</v>
      </c>
      <c r="Q116" s="363">
        <v>0.0034</v>
      </c>
      <c r="R116" s="300"/>
      <c r="S116" s="127" t="s">
        <v>550</v>
      </c>
      <c r="T116" s="128">
        <v>45007.0</v>
      </c>
      <c r="U116" s="123">
        <v>6.02</v>
      </c>
      <c r="V116" s="129">
        <v>120400.0</v>
      </c>
      <c r="W116" s="127"/>
      <c r="X116" s="128"/>
      <c r="Y116" s="123"/>
      <c r="Z116" s="129"/>
    </row>
    <row r="117">
      <c r="A117" s="114"/>
      <c r="B117" s="115"/>
      <c r="C117" s="116">
        <f>I117/E182</f>
        <v>0.01977747437</v>
      </c>
      <c r="D117" s="304" t="s">
        <v>357</v>
      </c>
      <c r="E117" s="304" t="s">
        <v>174</v>
      </c>
      <c r="F117" s="359">
        <v>7.7</v>
      </c>
      <c r="G117" s="119">
        <v>14000.0</v>
      </c>
      <c r="H117" s="300">
        <f t="shared" si="61"/>
        <v>228760</v>
      </c>
      <c r="I117" s="300">
        <f t="shared" ref="I117:I120" si="66">H117+P117</f>
        <v>279160</v>
      </c>
      <c r="J117" s="141">
        <v>16.34</v>
      </c>
      <c r="K117" s="447">
        <f>IFERROR(__xludf.DUMMYFUNCTION("GOOGLEFINANCE(E117,""changepct"")"),-3.11)</f>
        <v>-3.11</v>
      </c>
      <c r="L117" s="302">
        <f>IFERROR(__xludf.DUMMYFUNCTION("googlefinance(E117,""price"")"),19.94)</f>
        <v>19.94</v>
      </c>
      <c r="M117" s="126"/>
      <c r="N117" s="301">
        <f t="shared" si="63"/>
        <v>3.6</v>
      </c>
      <c r="O117" s="139">
        <f t="shared" ref="O117:O120" si="67">L117/J117-1</f>
        <v>0.2203182375</v>
      </c>
      <c r="P117" s="300">
        <f t="shared" si="65"/>
        <v>50400</v>
      </c>
      <c r="Q117" s="363">
        <v>0.022</v>
      </c>
      <c r="R117" s="133">
        <v>1403.0</v>
      </c>
      <c r="S117" s="360"/>
      <c r="T117" s="298"/>
      <c r="U117" s="126"/>
      <c r="V117" s="125"/>
      <c r="W117" s="360"/>
      <c r="X117" s="305"/>
      <c r="Y117" s="301"/>
      <c r="Z117" s="300"/>
    </row>
    <row r="118">
      <c r="A118" s="114"/>
      <c r="B118" s="115"/>
      <c r="C118" s="116">
        <f>I118/E182</f>
        <v>0.01003184686</v>
      </c>
      <c r="D118" s="304" t="s">
        <v>572</v>
      </c>
      <c r="E118" s="304" t="s">
        <v>573</v>
      </c>
      <c r="F118" s="359">
        <v>7.1</v>
      </c>
      <c r="G118" s="299">
        <v>40000.0</v>
      </c>
      <c r="H118" s="300">
        <f t="shared" si="61"/>
        <v>150000</v>
      </c>
      <c r="I118" s="300">
        <f t="shared" si="66"/>
        <v>141600</v>
      </c>
      <c r="J118" s="141">
        <v>3.75</v>
      </c>
      <c r="K118" s="447">
        <f>IFERROR(__xludf.DUMMYFUNCTION("GOOGLEFINANCE(E118,""changepct"")"),-2.55)</f>
        <v>-2.55</v>
      </c>
      <c r="L118" s="445">
        <v>3.54</v>
      </c>
      <c r="M118" s="123"/>
      <c r="N118" s="301">
        <f t="shared" si="63"/>
        <v>-0.21</v>
      </c>
      <c r="O118" s="139">
        <f t="shared" si="67"/>
        <v>-0.056</v>
      </c>
      <c r="P118" s="300">
        <f t="shared" si="65"/>
        <v>-8400</v>
      </c>
      <c r="Q118" s="448"/>
      <c r="R118" s="125"/>
      <c r="S118" s="127"/>
      <c r="T118" s="128"/>
      <c r="U118" s="123"/>
      <c r="V118" s="129"/>
      <c r="W118" s="360"/>
      <c r="X118" s="305"/>
      <c r="Y118" s="301"/>
      <c r="Z118" s="300"/>
    </row>
    <row r="119">
      <c r="A119" s="114"/>
      <c r="B119" s="115"/>
      <c r="C119" s="116">
        <f>I119/E182</f>
        <v>0.01042504425</v>
      </c>
      <c r="D119" s="304" t="s">
        <v>507</v>
      </c>
      <c r="E119" s="304" t="s">
        <v>508</v>
      </c>
      <c r="F119" s="359">
        <v>7.8</v>
      </c>
      <c r="G119" s="299">
        <v>15000.0</v>
      </c>
      <c r="H119" s="300">
        <f t="shared" si="61"/>
        <v>158250</v>
      </c>
      <c r="I119" s="300">
        <f t="shared" si="66"/>
        <v>147150</v>
      </c>
      <c r="J119" s="141">
        <v>10.55</v>
      </c>
      <c r="K119" s="447">
        <f>IFERROR(__xludf.DUMMYFUNCTION("GOOGLEFINANCE(E119,""changepct"")"),-2.77)</f>
        <v>-2.77</v>
      </c>
      <c r="L119" s="302">
        <f>IFERROR(__xludf.DUMMYFUNCTION("googlefinance(E119,""price"")"),9.81)</f>
        <v>9.81</v>
      </c>
      <c r="M119" s="126"/>
      <c r="N119" s="301">
        <f t="shared" si="63"/>
        <v>-0.74</v>
      </c>
      <c r="O119" s="139">
        <f t="shared" si="67"/>
        <v>-0.07014218009</v>
      </c>
      <c r="P119" s="300">
        <f t="shared" si="65"/>
        <v>-11100</v>
      </c>
      <c r="Q119" s="116"/>
      <c r="R119" s="300"/>
      <c r="S119" s="360"/>
      <c r="T119" s="298"/>
      <c r="U119" s="126"/>
      <c r="V119" s="125"/>
      <c r="W119" s="360"/>
      <c r="X119" s="298"/>
      <c r="Y119" s="126"/>
      <c r="Z119" s="125"/>
    </row>
    <row r="120">
      <c r="A120" s="114"/>
      <c r="B120" s="115"/>
      <c r="C120" s="116">
        <f>I120/E182</f>
        <v>0.02026206358</v>
      </c>
      <c r="D120" s="385" t="s">
        <v>179</v>
      </c>
      <c r="E120" s="304" t="s">
        <v>180</v>
      </c>
      <c r="F120" s="444">
        <v>8.0</v>
      </c>
      <c r="G120" s="119">
        <v>25000.0</v>
      </c>
      <c r="H120" s="300">
        <f t="shared" si="61"/>
        <v>262750</v>
      </c>
      <c r="I120" s="300">
        <f t="shared" si="66"/>
        <v>286000</v>
      </c>
      <c r="J120" s="141">
        <v>10.51</v>
      </c>
      <c r="K120" s="447">
        <f>IFERROR(__xludf.DUMMYFUNCTION("GOOGLEFINANCE(E120,""changepct"")"),-2.8)</f>
        <v>-2.8</v>
      </c>
      <c r="L120" s="302">
        <f>IFERROR(__xludf.DUMMYFUNCTION("googlefinance(E120,""price"")"),11.44)</f>
        <v>11.44</v>
      </c>
      <c r="M120" s="126"/>
      <c r="N120" s="301">
        <f t="shared" si="63"/>
        <v>0.93</v>
      </c>
      <c r="O120" s="139">
        <f t="shared" si="67"/>
        <v>0.08848715509</v>
      </c>
      <c r="P120" s="300">
        <f t="shared" si="65"/>
        <v>23250</v>
      </c>
      <c r="Q120" s="363">
        <v>0.006</v>
      </c>
      <c r="R120" s="133">
        <v>425.0</v>
      </c>
      <c r="S120" s="360"/>
      <c r="T120" s="298"/>
      <c r="U120" s="126"/>
      <c r="V120" s="125"/>
      <c r="W120" s="360"/>
      <c r="X120" s="305"/>
      <c r="Y120" s="301"/>
      <c r="Z120" s="300"/>
    </row>
    <row r="121">
      <c r="A121" s="373"/>
      <c r="B121" s="371"/>
      <c r="C121" s="352" t="s">
        <v>89</v>
      </c>
      <c r="D121" s="352"/>
      <c r="E121" s="352"/>
      <c r="F121" s="352"/>
      <c r="G121" s="356"/>
      <c r="H121" s="366">
        <f t="shared" ref="H121:I121" si="68">SUM(H103:H120)</f>
        <v>3649290</v>
      </c>
      <c r="I121" s="367">
        <f t="shared" si="68"/>
        <v>4268445</v>
      </c>
      <c r="J121" s="354"/>
      <c r="K121" s="354"/>
      <c r="L121" s="355"/>
      <c r="M121" s="355"/>
      <c r="N121" s="355"/>
      <c r="O121" s="368">
        <v>0.0812</v>
      </c>
      <c r="P121" s="369">
        <v>250080.0</v>
      </c>
      <c r="Q121" s="352"/>
      <c r="R121" s="366">
        <f>SUM(R103:R120)</f>
        <v>12908</v>
      </c>
      <c r="S121" s="352" t="s">
        <v>89</v>
      </c>
      <c r="T121" s="371"/>
      <c r="U121" s="372"/>
      <c r="V121" s="366">
        <f>SUM(V103:V120)</f>
        <v>120400</v>
      </c>
      <c r="W121" s="352" t="s">
        <v>89</v>
      </c>
      <c r="X121" s="371"/>
      <c r="Y121" s="371"/>
      <c r="Z121" s="366">
        <f>SUM(Z103:Z120)</f>
        <v>568630</v>
      </c>
    </row>
    <row r="122">
      <c r="A122" s="373"/>
      <c r="B122" s="352" t="s">
        <v>181</v>
      </c>
      <c r="C122" s="352" t="s">
        <v>2</v>
      </c>
      <c r="D122" s="352" t="s">
        <v>182</v>
      </c>
      <c r="E122" s="352" t="s">
        <v>4</v>
      </c>
      <c r="F122" s="352" t="s">
        <v>5</v>
      </c>
      <c r="G122" s="358" t="s">
        <v>458</v>
      </c>
      <c r="H122" s="352" t="s">
        <v>7</v>
      </c>
      <c r="I122" s="353" t="s">
        <v>8</v>
      </c>
      <c r="J122" s="353" t="s">
        <v>9</v>
      </c>
      <c r="K122" s="354" t="s">
        <v>10</v>
      </c>
      <c r="L122" s="354" t="s">
        <v>11</v>
      </c>
      <c r="M122" s="355" t="s">
        <v>476</v>
      </c>
      <c r="N122" s="355" t="s">
        <v>13</v>
      </c>
      <c r="O122" s="352" t="s">
        <v>14</v>
      </c>
      <c r="P122" s="355" t="s">
        <v>15</v>
      </c>
      <c r="Q122" s="352" t="s">
        <v>16</v>
      </c>
      <c r="R122" s="352" t="s">
        <v>17</v>
      </c>
      <c r="S122" s="352" t="s">
        <v>21</v>
      </c>
      <c r="T122" s="352" t="s">
        <v>22</v>
      </c>
      <c r="U122" s="357" t="s">
        <v>23</v>
      </c>
      <c r="V122" s="357" t="s">
        <v>24</v>
      </c>
      <c r="W122" s="352" t="s">
        <v>25</v>
      </c>
      <c r="X122" s="352" t="s">
        <v>26</v>
      </c>
      <c r="Y122" s="352" t="s">
        <v>27</v>
      </c>
      <c r="Z122" s="352" t="s">
        <v>28</v>
      </c>
    </row>
    <row r="123">
      <c r="A123" s="377" t="s">
        <v>29</v>
      </c>
      <c r="B123" s="362" t="str">
        <f>I175/E182</f>
        <v>Loading...</v>
      </c>
      <c r="C123" s="116">
        <f>I123/E182</f>
        <v>0</v>
      </c>
      <c r="D123" s="449" t="s">
        <v>413</v>
      </c>
      <c r="E123" s="304" t="s">
        <v>185</v>
      </c>
      <c r="F123" s="359">
        <v>7.4</v>
      </c>
      <c r="G123" s="450">
        <v>10.0</v>
      </c>
      <c r="H123" s="300">
        <f t="shared" ref="H123:H174" si="69">G123*J123</f>
        <v>164810</v>
      </c>
      <c r="I123" s="133">
        <v>0.0</v>
      </c>
      <c r="J123" s="133">
        <v>16481.0</v>
      </c>
      <c r="K123" s="451"/>
      <c r="L123" s="452" t="str">
        <f t="shared" ref="L123:L174" si="70">CRYPTOFINANCE(E123,"price")</f>
        <v>Loading...</v>
      </c>
      <c r="M123" s="453">
        <v>21045.0</v>
      </c>
      <c r="N123" s="454" t="str">
        <f t="shared" ref="N123:N174" si="71">L123-J123</f>
        <v>Loading...</v>
      </c>
      <c r="O123" s="455">
        <f t="shared" ref="O123:O129" si="72">M123/J123-1</f>
        <v>0.2769249439</v>
      </c>
      <c r="P123" s="394">
        <f t="shared" ref="P123:P174" si="73">H123*O123</f>
        <v>45640</v>
      </c>
      <c r="Q123" s="115"/>
      <c r="R123" s="115"/>
      <c r="S123" s="127" t="s">
        <v>186</v>
      </c>
      <c r="T123" s="287">
        <v>44944.0</v>
      </c>
      <c r="U123" s="133">
        <v>21045.0</v>
      </c>
      <c r="V123" s="133">
        <v>210450.0</v>
      </c>
      <c r="W123" s="456"/>
      <c r="X123" s="457"/>
      <c r="Y123" s="458"/>
      <c r="Z123" s="458"/>
    </row>
    <row r="124">
      <c r="A124" s="114"/>
      <c r="B124" s="115"/>
      <c r="C124" s="116">
        <f>I124/E182</f>
        <v>0</v>
      </c>
      <c r="D124" s="449" t="s">
        <v>413</v>
      </c>
      <c r="E124" s="304" t="s">
        <v>185</v>
      </c>
      <c r="F124" s="359">
        <v>7.4</v>
      </c>
      <c r="G124" s="450">
        <v>5.0</v>
      </c>
      <c r="H124" s="300">
        <f t="shared" si="69"/>
        <v>105130</v>
      </c>
      <c r="I124" s="133">
        <v>0.0</v>
      </c>
      <c r="J124" s="129">
        <v>21026.0</v>
      </c>
      <c r="K124" s="451"/>
      <c r="L124" s="452" t="str">
        <f t="shared" si="70"/>
        <v>Loading...</v>
      </c>
      <c r="M124" s="129">
        <v>22985.0</v>
      </c>
      <c r="N124" s="454" t="str">
        <f t="shared" si="71"/>
        <v>Loading...</v>
      </c>
      <c r="O124" s="455">
        <f t="shared" si="72"/>
        <v>0.09317036051</v>
      </c>
      <c r="P124" s="394">
        <f t="shared" si="73"/>
        <v>9795</v>
      </c>
      <c r="Q124" s="115"/>
      <c r="R124" s="115"/>
      <c r="S124" s="127" t="s">
        <v>186</v>
      </c>
      <c r="T124" s="128">
        <v>44956.0</v>
      </c>
      <c r="U124" s="129">
        <v>22985.0</v>
      </c>
      <c r="V124" s="129">
        <v>114925.0</v>
      </c>
      <c r="W124" s="456" t="s">
        <v>186</v>
      </c>
      <c r="X124" s="459">
        <v>44942.0</v>
      </c>
      <c r="Y124" s="460">
        <v>21026.0</v>
      </c>
      <c r="Z124" s="129">
        <v>105103.0</v>
      </c>
    </row>
    <row r="125">
      <c r="A125" s="114"/>
      <c r="B125" s="115"/>
      <c r="C125" s="116">
        <f>I125/E182</f>
        <v>0</v>
      </c>
      <c r="D125" s="449" t="s">
        <v>413</v>
      </c>
      <c r="E125" s="304" t="s">
        <v>185</v>
      </c>
      <c r="F125" s="359">
        <v>7.4</v>
      </c>
      <c r="G125" s="461">
        <v>7.5</v>
      </c>
      <c r="H125" s="300">
        <f t="shared" si="69"/>
        <v>172177.5</v>
      </c>
      <c r="I125" s="133">
        <v>0.0</v>
      </c>
      <c r="J125" s="129">
        <v>22957.0</v>
      </c>
      <c r="K125" s="451"/>
      <c r="L125" s="452" t="str">
        <f t="shared" si="70"/>
        <v>Loading...</v>
      </c>
      <c r="M125" s="129">
        <v>23962.0</v>
      </c>
      <c r="N125" s="454" t="str">
        <f t="shared" si="71"/>
        <v>Loading...</v>
      </c>
      <c r="O125" s="455">
        <f t="shared" si="72"/>
        <v>0.04377749706</v>
      </c>
      <c r="P125" s="394">
        <f t="shared" si="73"/>
        <v>7537.5</v>
      </c>
      <c r="Q125" s="115"/>
      <c r="R125" s="115"/>
      <c r="S125" s="127" t="s">
        <v>186</v>
      </c>
      <c r="T125" s="128">
        <v>44959.0</v>
      </c>
      <c r="U125" s="129">
        <v>23962.0</v>
      </c>
      <c r="V125" s="129">
        <v>179715.0</v>
      </c>
      <c r="W125" s="456" t="s">
        <v>186</v>
      </c>
      <c r="X125" s="459">
        <v>44952.0</v>
      </c>
      <c r="Y125" s="460">
        <v>22957.0</v>
      </c>
      <c r="Z125" s="129">
        <v>172178.0</v>
      </c>
    </row>
    <row r="126">
      <c r="A126" s="114"/>
      <c r="B126" s="115"/>
      <c r="C126" s="116">
        <f>I126/E182</f>
        <v>0</v>
      </c>
      <c r="D126" s="449" t="s">
        <v>413</v>
      </c>
      <c r="E126" s="304" t="s">
        <v>185</v>
      </c>
      <c r="F126" s="359">
        <v>7.4</v>
      </c>
      <c r="G126" s="450">
        <v>5.0</v>
      </c>
      <c r="H126" s="300">
        <f t="shared" si="69"/>
        <v>105105</v>
      </c>
      <c r="I126" s="133">
        <v>0.0</v>
      </c>
      <c r="J126" s="129">
        <v>21021.0</v>
      </c>
      <c r="K126" s="451"/>
      <c r="L126" s="452" t="str">
        <f t="shared" si="70"/>
        <v>Loading...</v>
      </c>
      <c r="M126" s="129">
        <v>22658.0</v>
      </c>
      <c r="N126" s="454" t="str">
        <f t="shared" si="71"/>
        <v>Loading...</v>
      </c>
      <c r="O126" s="455">
        <f t="shared" si="72"/>
        <v>0.07787450645</v>
      </c>
      <c r="P126" s="394">
        <f t="shared" si="73"/>
        <v>8185</v>
      </c>
      <c r="Q126" s="115"/>
      <c r="R126" s="115"/>
      <c r="S126" s="127" t="s">
        <v>186</v>
      </c>
      <c r="T126" s="128">
        <v>44951.0</v>
      </c>
      <c r="U126" s="129">
        <v>22658.0</v>
      </c>
      <c r="V126" s="129">
        <v>113290.0</v>
      </c>
      <c r="W126" s="456" t="s">
        <v>186</v>
      </c>
      <c r="X126" s="459">
        <v>44946.0</v>
      </c>
      <c r="Y126" s="460">
        <v>21021.0</v>
      </c>
      <c r="Z126" s="129">
        <v>105105.0</v>
      </c>
    </row>
    <row r="127">
      <c r="A127" s="114"/>
      <c r="B127" s="115"/>
      <c r="C127" s="116">
        <f>I127/E182</f>
        <v>0</v>
      </c>
      <c r="D127" s="449" t="s">
        <v>413</v>
      </c>
      <c r="E127" s="304" t="s">
        <v>185</v>
      </c>
      <c r="F127" s="359">
        <v>7.4</v>
      </c>
      <c r="G127" s="450">
        <v>5.0</v>
      </c>
      <c r="H127" s="300">
        <f t="shared" si="69"/>
        <v>108820</v>
      </c>
      <c r="I127" s="133">
        <v>0.0</v>
      </c>
      <c r="J127" s="129">
        <v>21764.0</v>
      </c>
      <c r="K127" s="451"/>
      <c r="L127" s="452" t="str">
        <f t="shared" si="70"/>
        <v>Loading...</v>
      </c>
      <c r="M127" s="129">
        <v>24789.0</v>
      </c>
      <c r="N127" s="454" t="str">
        <f t="shared" si="71"/>
        <v>Loading...</v>
      </c>
      <c r="O127" s="455">
        <f t="shared" si="72"/>
        <v>0.1389909943</v>
      </c>
      <c r="P127" s="394">
        <f t="shared" si="73"/>
        <v>15125</v>
      </c>
      <c r="Q127" s="115"/>
      <c r="R127" s="115"/>
      <c r="S127" s="127" t="s">
        <v>186</v>
      </c>
      <c r="T127" s="128">
        <v>44978.0</v>
      </c>
      <c r="U127" s="129">
        <v>24789.0</v>
      </c>
      <c r="V127" s="129">
        <v>123945.0</v>
      </c>
      <c r="W127" s="456" t="s">
        <v>186</v>
      </c>
      <c r="X127" s="459">
        <v>44969.0</v>
      </c>
      <c r="Y127" s="460">
        <v>21764.0</v>
      </c>
      <c r="Z127" s="129">
        <v>108820.0</v>
      </c>
    </row>
    <row r="128">
      <c r="A128" s="114"/>
      <c r="B128" s="115"/>
      <c r="C128" s="116">
        <f>I128/E182</f>
        <v>0</v>
      </c>
      <c r="D128" s="449" t="s">
        <v>413</v>
      </c>
      <c r="E128" s="304" t="s">
        <v>185</v>
      </c>
      <c r="F128" s="359">
        <v>7.4</v>
      </c>
      <c r="G128" s="450">
        <v>5.0</v>
      </c>
      <c r="H128" s="300">
        <f t="shared" si="69"/>
        <v>116668.4</v>
      </c>
      <c r="I128" s="133">
        <v>0.0</v>
      </c>
      <c r="J128" s="129">
        <v>23333.68</v>
      </c>
      <c r="K128" s="451"/>
      <c r="L128" s="452" t="str">
        <f t="shared" si="70"/>
        <v>Loading...</v>
      </c>
      <c r="M128" s="129">
        <v>22985.0</v>
      </c>
      <c r="N128" s="454" t="str">
        <f t="shared" si="71"/>
        <v>Loading...</v>
      </c>
      <c r="O128" s="455">
        <f t="shared" si="72"/>
        <v>-0.01494320656</v>
      </c>
      <c r="P128" s="394">
        <f t="shared" si="73"/>
        <v>-1743.4</v>
      </c>
      <c r="Q128" s="115"/>
      <c r="R128" s="115"/>
      <c r="S128" s="127" t="s">
        <v>186</v>
      </c>
      <c r="T128" s="128">
        <v>44988.0</v>
      </c>
      <c r="U128" s="129">
        <v>22985.0</v>
      </c>
      <c r="V128" s="129">
        <v>114925.0</v>
      </c>
      <c r="W128" s="456" t="s">
        <v>186</v>
      </c>
      <c r="X128" s="459">
        <v>44985.0</v>
      </c>
      <c r="Y128" s="460">
        <v>23333.68</v>
      </c>
      <c r="Z128" s="129">
        <v>116668.0</v>
      </c>
    </row>
    <row r="129">
      <c r="A129" s="114"/>
      <c r="B129" s="115"/>
      <c r="C129" s="116">
        <f>I129/E182</f>
        <v>0</v>
      </c>
      <c r="D129" s="449" t="s">
        <v>413</v>
      </c>
      <c r="E129" s="304" t="s">
        <v>185</v>
      </c>
      <c r="F129" s="359">
        <v>7.4</v>
      </c>
      <c r="G129" s="450">
        <v>5.0</v>
      </c>
      <c r="H129" s="300">
        <f t="shared" si="69"/>
        <v>100830</v>
      </c>
      <c r="I129" s="133">
        <v>0.0</v>
      </c>
      <c r="J129" s="129">
        <v>20166.0</v>
      </c>
      <c r="K129" s="451"/>
      <c r="L129" s="452" t="str">
        <f t="shared" si="70"/>
        <v>Loading...</v>
      </c>
      <c r="M129" s="129">
        <v>28655.0</v>
      </c>
      <c r="N129" s="454" t="str">
        <f t="shared" si="71"/>
        <v>Loading...</v>
      </c>
      <c r="O129" s="455">
        <f t="shared" si="72"/>
        <v>0.4209560647</v>
      </c>
      <c r="P129" s="394">
        <f t="shared" si="73"/>
        <v>42445</v>
      </c>
      <c r="Q129" s="115"/>
      <c r="R129" s="115"/>
      <c r="S129" s="127" t="s">
        <v>186</v>
      </c>
      <c r="T129" s="128">
        <v>45007.0</v>
      </c>
      <c r="U129" s="129">
        <v>28655.0</v>
      </c>
      <c r="V129" s="129">
        <v>143275.0</v>
      </c>
      <c r="W129" s="456" t="s">
        <v>186</v>
      </c>
      <c r="X129" s="459">
        <v>44995.0</v>
      </c>
      <c r="Y129" s="460">
        <v>20166.0</v>
      </c>
      <c r="Z129" s="129">
        <v>100830.0</v>
      </c>
    </row>
    <row r="130">
      <c r="A130" s="114"/>
      <c r="B130" s="115"/>
      <c r="C130" s="116" t="str">
        <f>I130/E182</f>
        <v>Loading...</v>
      </c>
      <c r="D130" s="449" t="s">
        <v>413</v>
      </c>
      <c r="E130" s="304" t="s">
        <v>185</v>
      </c>
      <c r="F130" s="359">
        <v>7.4</v>
      </c>
      <c r="G130" s="450">
        <v>5.0</v>
      </c>
      <c r="H130" s="300">
        <f t="shared" si="69"/>
        <v>140420</v>
      </c>
      <c r="I130" s="133" t="str">
        <f t="shared" ref="I130:I131" si="74">H130+P130</f>
        <v>Loading...</v>
      </c>
      <c r="J130" s="129">
        <v>28084.0</v>
      </c>
      <c r="K130" s="451"/>
      <c r="L130" s="452" t="str">
        <f t="shared" si="70"/>
        <v>Loading...</v>
      </c>
      <c r="M130" s="129"/>
      <c r="N130" s="454" t="str">
        <f t="shared" si="71"/>
        <v>Loading...</v>
      </c>
      <c r="O130" s="455" t="str">
        <f t="shared" ref="O130:O131" si="75">L130/J130-1</f>
        <v>Loading...</v>
      </c>
      <c r="P130" s="394" t="str">
        <f t="shared" si="73"/>
        <v>Loading...</v>
      </c>
      <c r="Q130" s="115"/>
      <c r="R130" s="115"/>
      <c r="S130" s="127"/>
      <c r="T130" s="128"/>
      <c r="U130" s="129"/>
      <c r="V130" s="129"/>
      <c r="W130" s="456" t="s">
        <v>186</v>
      </c>
      <c r="X130" s="459">
        <v>45016.0</v>
      </c>
      <c r="Y130" s="460">
        <v>28084.0</v>
      </c>
      <c r="Z130" s="129">
        <v>140420.0</v>
      </c>
    </row>
    <row r="131">
      <c r="A131" s="114"/>
      <c r="B131" s="115"/>
      <c r="C131" s="116" t="str">
        <f>I131/E182</f>
        <v>Loading...</v>
      </c>
      <c r="D131" s="304" t="s">
        <v>414</v>
      </c>
      <c r="E131" s="284" t="s">
        <v>188</v>
      </c>
      <c r="F131" s="359">
        <v>7.5</v>
      </c>
      <c r="G131" s="450">
        <v>70.0</v>
      </c>
      <c r="H131" s="300">
        <f t="shared" si="69"/>
        <v>125160</v>
      </c>
      <c r="I131" s="133" t="str">
        <f t="shared" si="74"/>
        <v>Loading...</v>
      </c>
      <c r="J131" s="129">
        <v>1788.0</v>
      </c>
      <c r="K131" s="451"/>
      <c r="L131" s="452" t="str">
        <f t="shared" si="70"/>
        <v>Loading...</v>
      </c>
      <c r="M131" s="129"/>
      <c r="N131" s="454" t="str">
        <f t="shared" si="71"/>
        <v>Loading...</v>
      </c>
      <c r="O131" s="455" t="str">
        <f t="shared" si="75"/>
        <v>Loading...</v>
      </c>
      <c r="P131" s="394" t="str">
        <f t="shared" si="73"/>
        <v>Loading...</v>
      </c>
      <c r="Q131" s="115"/>
      <c r="R131" s="115"/>
      <c r="S131" s="127"/>
      <c r="T131" s="128"/>
      <c r="U131" s="129"/>
      <c r="V131" s="129"/>
      <c r="W131" s="456" t="s">
        <v>189</v>
      </c>
      <c r="X131" s="459">
        <v>45009.0</v>
      </c>
      <c r="Y131" s="460">
        <v>1788.0</v>
      </c>
      <c r="Z131" s="129">
        <v>125160.0</v>
      </c>
    </row>
    <row r="132">
      <c r="A132" s="114"/>
      <c r="B132" s="115"/>
      <c r="C132" s="116">
        <f>I132/E182</f>
        <v>0</v>
      </c>
      <c r="D132" s="304" t="s">
        <v>414</v>
      </c>
      <c r="E132" s="284" t="s">
        <v>188</v>
      </c>
      <c r="F132" s="359">
        <v>7.5</v>
      </c>
      <c r="G132" s="450">
        <v>80.0</v>
      </c>
      <c r="H132" s="300">
        <f t="shared" si="69"/>
        <v>121920</v>
      </c>
      <c r="I132" s="133">
        <v>0.0</v>
      </c>
      <c r="J132" s="129">
        <v>1524.0</v>
      </c>
      <c r="K132" s="451"/>
      <c r="L132" s="452" t="str">
        <f t="shared" si="70"/>
        <v>Loading...</v>
      </c>
      <c r="M132" s="129">
        <v>1689.0</v>
      </c>
      <c r="N132" s="454" t="str">
        <f t="shared" si="71"/>
        <v>Loading...</v>
      </c>
      <c r="O132" s="455">
        <f t="shared" ref="O132:O146" si="76">M132/J132-1</f>
        <v>0.1082677165</v>
      </c>
      <c r="P132" s="394">
        <f t="shared" si="73"/>
        <v>13200</v>
      </c>
      <c r="Q132" s="115"/>
      <c r="R132" s="115"/>
      <c r="S132" s="127" t="s">
        <v>189</v>
      </c>
      <c r="T132" s="128">
        <v>44978.0</v>
      </c>
      <c r="U132" s="129">
        <v>1689.0</v>
      </c>
      <c r="V132" s="129">
        <v>135120.0</v>
      </c>
      <c r="W132" s="456" t="s">
        <v>189</v>
      </c>
      <c r="X132" s="459">
        <v>44969.0</v>
      </c>
      <c r="Y132" s="460">
        <v>1524.0</v>
      </c>
      <c r="Z132" s="129">
        <v>121920.0</v>
      </c>
    </row>
    <row r="133">
      <c r="A133" s="114"/>
      <c r="B133" s="115"/>
      <c r="C133" s="116">
        <f>I133/E182</f>
        <v>0</v>
      </c>
      <c r="D133" s="304" t="s">
        <v>414</v>
      </c>
      <c r="E133" s="284" t="s">
        <v>188</v>
      </c>
      <c r="F133" s="359">
        <v>7.5</v>
      </c>
      <c r="G133" s="450">
        <v>80.0</v>
      </c>
      <c r="H133" s="300">
        <f t="shared" si="69"/>
        <v>129760</v>
      </c>
      <c r="I133" s="133">
        <v>0.0</v>
      </c>
      <c r="J133" s="129">
        <v>1622.0</v>
      </c>
      <c r="K133" s="451"/>
      <c r="L133" s="452" t="str">
        <f t="shared" si="70"/>
        <v>Loading...</v>
      </c>
      <c r="M133" s="129">
        <v>1640.41</v>
      </c>
      <c r="N133" s="454" t="str">
        <f t="shared" si="71"/>
        <v>Loading...</v>
      </c>
      <c r="O133" s="455">
        <f t="shared" si="76"/>
        <v>0.01135018496</v>
      </c>
      <c r="P133" s="394">
        <f t="shared" si="73"/>
        <v>1472.8</v>
      </c>
      <c r="Q133" s="115"/>
      <c r="R133" s="115"/>
      <c r="S133" s="127" t="s">
        <v>189</v>
      </c>
      <c r="T133" s="128">
        <v>44987.0</v>
      </c>
      <c r="U133" s="129">
        <v>1640.41</v>
      </c>
      <c r="V133" s="129">
        <v>131233.0</v>
      </c>
      <c r="W133" s="456" t="s">
        <v>189</v>
      </c>
      <c r="X133" s="459">
        <v>44985.0</v>
      </c>
      <c r="Y133" s="460">
        <v>1622.0</v>
      </c>
      <c r="Z133" s="129">
        <v>129760.0</v>
      </c>
    </row>
    <row r="134">
      <c r="A134" s="114"/>
      <c r="B134" s="115"/>
      <c r="C134" s="116">
        <f>I134/E182</f>
        <v>0</v>
      </c>
      <c r="D134" s="304" t="s">
        <v>414</v>
      </c>
      <c r="E134" s="284" t="s">
        <v>188</v>
      </c>
      <c r="F134" s="359">
        <v>7.5</v>
      </c>
      <c r="G134" s="450">
        <v>80.0</v>
      </c>
      <c r="H134" s="300">
        <f t="shared" si="69"/>
        <v>113280</v>
      </c>
      <c r="I134" s="133">
        <v>0.0</v>
      </c>
      <c r="J134" s="129">
        <v>1416.0</v>
      </c>
      <c r="K134" s="451"/>
      <c r="L134" s="452" t="str">
        <f t="shared" si="70"/>
        <v>Loading...</v>
      </c>
      <c r="M134" s="129">
        <v>1742.5</v>
      </c>
      <c r="N134" s="454" t="str">
        <f t="shared" si="71"/>
        <v>Loading...</v>
      </c>
      <c r="O134" s="455">
        <f t="shared" si="76"/>
        <v>0.230579096</v>
      </c>
      <c r="P134" s="394">
        <f t="shared" si="73"/>
        <v>26120</v>
      </c>
      <c r="Q134" s="115"/>
      <c r="R134" s="115"/>
      <c r="S134" s="127" t="s">
        <v>189</v>
      </c>
      <c r="T134" s="128">
        <v>37694.0</v>
      </c>
      <c r="U134" s="129">
        <v>1743.0</v>
      </c>
      <c r="V134" s="129">
        <v>139400.0</v>
      </c>
      <c r="W134" s="456" t="s">
        <v>189</v>
      </c>
      <c r="X134" s="459">
        <v>44995.0</v>
      </c>
      <c r="Y134" s="460">
        <v>1416.0</v>
      </c>
      <c r="Z134" s="129">
        <v>113280.0</v>
      </c>
    </row>
    <row r="135">
      <c r="A135" s="114"/>
      <c r="B135" s="115"/>
      <c r="C135" s="116">
        <f>I135/E182</f>
        <v>0</v>
      </c>
      <c r="D135" s="304" t="s">
        <v>414</v>
      </c>
      <c r="E135" s="284" t="s">
        <v>188</v>
      </c>
      <c r="F135" s="359">
        <v>7.5</v>
      </c>
      <c r="G135" s="450">
        <v>70.0</v>
      </c>
      <c r="H135" s="300">
        <f t="shared" si="69"/>
        <v>119560</v>
      </c>
      <c r="I135" s="133">
        <v>0.0</v>
      </c>
      <c r="J135" s="129">
        <v>1708.0</v>
      </c>
      <c r="K135" s="451"/>
      <c r="L135" s="452" t="str">
        <f t="shared" si="70"/>
        <v>Loading...</v>
      </c>
      <c r="M135" s="129">
        <v>1808.0</v>
      </c>
      <c r="N135" s="454" t="str">
        <f t="shared" si="71"/>
        <v>Loading...</v>
      </c>
      <c r="O135" s="455">
        <f t="shared" si="76"/>
        <v>0.05854800937</v>
      </c>
      <c r="P135" s="394">
        <f t="shared" si="73"/>
        <v>7000</v>
      </c>
      <c r="Q135" s="115"/>
      <c r="R135" s="115"/>
      <c r="S135" s="127" t="s">
        <v>189</v>
      </c>
      <c r="T135" s="128">
        <v>45007.0</v>
      </c>
      <c r="U135" s="129">
        <v>1808.0</v>
      </c>
      <c r="V135" s="129">
        <v>126560.0</v>
      </c>
      <c r="W135" s="456" t="s">
        <v>189</v>
      </c>
      <c r="X135" s="459">
        <v>44973.0</v>
      </c>
      <c r="Y135" s="460">
        <v>1708.0</v>
      </c>
      <c r="Z135" s="129">
        <v>119560.0</v>
      </c>
    </row>
    <row r="136">
      <c r="A136" s="114"/>
      <c r="B136" s="115"/>
      <c r="C136" s="116">
        <f>I136/E182</f>
        <v>0</v>
      </c>
      <c r="D136" s="304" t="s">
        <v>414</v>
      </c>
      <c r="E136" s="284" t="s">
        <v>188</v>
      </c>
      <c r="F136" s="359">
        <v>7.5</v>
      </c>
      <c r="G136" s="450">
        <v>70.0</v>
      </c>
      <c r="H136" s="300">
        <f t="shared" si="69"/>
        <v>110250</v>
      </c>
      <c r="I136" s="133">
        <v>0.0</v>
      </c>
      <c r="J136" s="129">
        <v>1575.0</v>
      </c>
      <c r="K136" s="451"/>
      <c r="L136" s="452" t="str">
        <f t="shared" si="70"/>
        <v>Loading...</v>
      </c>
      <c r="M136" s="129">
        <v>1684.0</v>
      </c>
      <c r="N136" s="454" t="str">
        <f t="shared" si="71"/>
        <v>Loading...</v>
      </c>
      <c r="O136" s="455">
        <f t="shared" si="76"/>
        <v>0.06920634921</v>
      </c>
      <c r="P136" s="394">
        <f t="shared" si="73"/>
        <v>7630</v>
      </c>
      <c r="Q136" s="115"/>
      <c r="R136" s="115"/>
      <c r="S136" s="127" t="s">
        <v>189</v>
      </c>
      <c r="T136" s="128">
        <v>44973.0</v>
      </c>
      <c r="U136" s="129">
        <v>1684.0</v>
      </c>
      <c r="V136" s="129">
        <v>117880.0</v>
      </c>
      <c r="W136" s="456" t="s">
        <v>189</v>
      </c>
      <c r="X136" s="459">
        <v>44958.0</v>
      </c>
      <c r="Y136" s="460">
        <v>1575.0</v>
      </c>
      <c r="Z136" s="129">
        <v>110250.0</v>
      </c>
    </row>
    <row r="137">
      <c r="A137" s="114"/>
      <c r="B137" s="115"/>
      <c r="C137" s="116">
        <f>I137/E182</f>
        <v>0</v>
      </c>
      <c r="D137" s="304" t="s">
        <v>414</v>
      </c>
      <c r="E137" s="284" t="s">
        <v>188</v>
      </c>
      <c r="F137" s="359">
        <v>7.5</v>
      </c>
      <c r="G137" s="450">
        <v>80.0</v>
      </c>
      <c r="H137" s="300">
        <f t="shared" si="69"/>
        <v>128320</v>
      </c>
      <c r="I137" s="133">
        <v>0.0</v>
      </c>
      <c r="J137" s="129">
        <v>1604.0</v>
      </c>
      <c r="K137" s="451"/>
      <c r="L137" s="452" t="str">
        <f t="shared" si="70"/>
        <v>Loading...</v>
      </c>
      <c r="M137" s="129">
        <v>1695.0</v>
      </c>
      <c r="N137" s="454" t="str">
        <f t="shared" si="71"/>
        <v>Loading...</v>
      </c>
      <c r="O137" s="455">
        <f t="shared" si="76"/>
        <v>0.05673316708</v>
      </c>
      <c r="P137" s="394">
        <f t="shared" si="73"/>
        <v>7280</v>
      </c>
      <c r="Q137" s="115"/>
      <c r="R137" s="115"/>
      <c r="S137" s="127" t="s">
        <v>189</v>
      </c>
      <c r="T137" s="128">
        <v>44959.0</v>
      </c>
      <c r="U137" s="129">
        <v>1695.0</v>
      </c>
      <c r="V137" s="129">
        <v>135600.0</v>
      </c>
      <c r="W137" s="456" t="s">
        <v>189</v>
      </c>
      <c r="X137" s="459">
        <v>44952.0</v>
      </c>
      <c r="Y137" s="460">
        <v>1604.0</v>
      </c>
      <c r="Z137" s="129">
        <v>128320.0</v>
      </c>
    </row>
    <row r="138">
      <c r="A138" s="114"/>
      <c r="B138" s="115"/>
      <c r="C138" s="116">
        <f>I138/E182</f>
        <v>0</v>
      </c>
      <c r="D138" s="304" t="s">
        <v>414</v>
      </c>
      <c r="E138" s="284" t="s">
        <v>188</v>
      </c>
      <c r="F138" s="359">
        <v>7.5</v>
      </c>
      <c r="G138" s="450">
        <v>100.0</v>
      </c>
      <c r="H138" s="300">
        <f t="shared" si="69"/>
        <v>155500</v>
      </c>
      <c r="I138" s="133">
        <v>0.0</v>
      </c>
      <c r="J138" s="129">
        <v>1555.0</v>
      </c>
      <c r="K138" s="451"/>
      <c r="L138" s="452" t="str">
        <f t="shared" si="70"/>
        <v>Loading...</v>
      </c>
      <c r="M138" s="129">
        <v>1550.79</v>
      </c>
      <c r="N138" s="454" t="str">
        <f t="shared" si="71"/>
        <v>Loading...</v>
      </c>
      <c r="O138" s="455">
        <f t="shared" si="76"/>
        <v>-0.002707395498</v>
      </c>
      <c r="P138" s="394">
        <f t="shared" si="73"/>
        <v>-421</v>
      </c>
      <c r="Q138" s="115"/>
      <c r="R138" s="115"/>
      <c r="S138" s="127" t="s">
        <v>189</v>
      </c>
      <c r="T138" s="128">
        <v>44951.0</v>
      </c>
      <c r="U138" s="129">
        <v>1550.79</v>
      </c>
      <c r="V138" s="129">
        <v>155079.0</v>
      </c>
      <c r="W138" s="456" t="s">
        <v>189</v>
      </c>
      <c r="X138" s="459">
        <v>44946.0</v>
      </c>
      <c r="Y138" s="460">
        <v>1555.0</v>
      </c>
      <c r="Z138" s="129">
        <v>155500.0</v>
      </c>
    </row>
    <row r="139">
      <c r="A139" s="114"/>
      <c r="B139" s="115"/>
      <c r="C139" s="116">
        <f>I139/E182</f>
        <v>0</v>
      </c>
      <c r="D139" s="304" t="s">
        <v>414</v>
      </c>
      <c r="E139" s="284" t="s">
        <v>188</v>
      </c>
      <c r="F139" s="359">
        <v>7.5</v>
      </c>
      <c r="G139" s="450">
        <v>100.0</v>
      </c>
      <c r="H139" s="300">
        <f t="shared" si="69"/>
        <v>158600</v>
      </c>
      <c r="I139" s="133">
        <v>0.0</v>
      </c>
      <c r="J139" s="129">
        <v>1586.0</v>
      </c>
      <c r="K139" s="451"/>
      <c r="L139" s="452" t="str">
        <f t="shared" si="70"/>
        <v>Loading...</v>
      </c>
      <c r="M139" s="129">
        <v>1529.0</v>
      </c>
      <c r="N139" s="454" t="str">
        <f t="shared" si="71"/>
        <v>Loading...</v>
      </c>
      <c r="O139" s="455">
        <f t="shared" si="76"/>
        <v>-0.03593947037</v>
      </c>
      <c r="P139" s="394">
        <f t="shared" si="73"/>
        <v>-5700</v>
      </c>
      <c r="Q139" s="115"/>
      <c r="R139" s="115"/>
      <c r="S139" s="127" t="s">
        <v>189</v>
      </c>
      <c r="T139" s="128">
        <v>44945.0</v>
      </c>
      <c r="U139" s="129">
        <v>1529.0</v>
      </c>
      <c r="V139" s="129">
        <v>152900.0</v>
      </c>
      <c r="W139" s="456" t="s">
        <v>189</v>
      </c>
      <c r="X139" s="459">
        <v>44942.0</v>
      </c>
      <c r="Y139" s="460">
        <v>1586.0</v>
      </c>
      <c r="Z139" s="129">
        <v>158600.0</v>
      </c>
    </row>
    <row r="140">
      <c r="A140" s="114"/>
      <c r="B140" s="115"/>
      <c r="C140" s="116">
        <f>I140/E182</f>
        <v>0</v>
      </c>
      <c r="D140" s="304" t="s">
        <v>414</v>
      </c>
      <c r="E140" s="284" t="s">
        <v>188</v>
      </c>
      <c r="F140" s="359">
        <v>7.5</v>
      </c>
      <c r="G140" s="450">
        <v>120.0</v>
      </c>
      <c r="H140" s="300">
        <f t="shared" si="69"/>
        <v>143160</v>
      </c>
      <c r="I140" s="133">
        <v>0.0</v>
      </c>
      <c r="J140" s="129">
        <v>1193.0</v>
      </c>
      <c r="K140" s="451"/>
      <c r="L140" s="452" t="str">
        <f t="shared" si="70"/>
        <v>Loading...</v>
      </c>
      <c r="M140" s="129">
        <v>1539.0</v>
      </c>
      <c r="N140" s="454" t="str">
        <f t="shared" si="71"/>
        <v>Loading...</v>
      </c>
      <c r="O140" s="455">
        <f t="shared" si="76"/>
        <v>0.2900251467</v>
      </c>
      <c r="P140" s="394">
        <f t="shared" si="73"/>
        <v>41520</v>
      </c>
      <c r="Q140" s="115"/>
      <c r="R140" s="115"/>
      <c r="S140" s="127" t="s">
        <v>189</v>
      </c>
      <c r="T140" s="128">
        <v>45246.0</v>
      </c>
      <c r="U140" s="129">
        <v>1539.0</v>
      </c>
      <c r="V140" s="129">
        <v>184680.0</v>
      </c>
      <c r="W140" s="456"/>
      <c r="X140" s="459"/>
      <c r="Y140" s="462"/>
      <c r="Z140" s="129"/>
    </row>
    <row r="141">
      <c r="A141" s="114"/>
      <c r="B141" s="115"/>
      <c r="C141" s="116">
        <f>I141/E182</f>
        <v>0</v>
      </c>
      <c r="D141" s="304" t="s">
        <v>574</v>
      </c>
      <c r="E141" s="284" t="s">
        <v>213</v>
      </c>
      <c r="F141" s="359">
        <v>7.1</v>
      </c>
      <c r="G141" s="450">
        <v>300000.0</v>
      </c>
      <c r="H141" s="300">
        <f t="shared" si="69"/>
        <v>73620</v>
      </c>
      <c r="I141" s="133">
        <v>0.0</v>
      </c>
      <c r="J141" s="146">
        <v>0.2454</v>
      </c>
      <c r="K141" s="451"/>
      <c r="L141" s="452" t="str">
        <f t="shared" si="70"/>
        <v>Loading...</v>
      </c>
      <c r="M141" s="146">
        <v>0.3325</v>
      </c>
      <c r="N141" s="454" t="str">
        <f t="shared" si="71"/>
        <v>Loading...</v>
      </c>
      <c r="O141" s="455">
        <f t="shared" si="76"/>
        <v>0.3549307253</v>
      </c>
      <c r="P141" s="394">
        <f t="shared" si="73"/>
        <v>26130</v>
      </c>
      <c r="Q141" s="115"/>
      <c r="R141" s="115"/>
      <c r="S141" s="127" t="s">
        <v>214</v>
      </c>
      <c r="T141" s="128">
        <v>44935.0</v>
      </c>
      <c r="U141" s="146">
        <v>0.333</v>
      </c>
      <c r="V141" s="129">
        <v>99750.0</v>
      </c>
      <c r="W141" s="456"/>
      <c r="X141" s="459"/>
      <c r="Y141" s="462"/>
      <c r="Z141" s="460"/>
    </row>
    <row r="142">
      <c r="A142" s="114"/>
      <c r="B142" s="115"/>
      <c r="C142" s="116">
        <f>I142/E182</f>
        <v>0</v>
      </c>
      <c r="D142" s="286" t="s">
        <v>575</v>
      </c>
      <c r="E142" s="286" t="s">
        <v>216</v>
      </c>
      <c r="F142" s="359">
        <v>7.1</v>
      </c>
      <c r="G142" s="450">
        <v>1.2E10</v>
      </c>
      <c r="H142" s="300">
        <f t="shared" si="69"/>
        <v>158880</v>
      </c>
      <c r="I142" s="133">
        <v>0.0</v>
      </c>
      <c r="J142" s="147">
        <v>1.324E-5</v>
      </c>
      <c r="K142" s="451"/>
      <c r="L142" s="452" t="str">
        <f t="shared" si="70"/>
        <v>Loading...</v>
      </c>
      <c r="M142" s="463">
        <v>1.359E-5</v>
      </c>
      <c r="N142" s="454" t="str">
        <f t="shared" si="71"/>
        <v>Loading...</v>
      </c>
      <c r="O142" s="455">
        <f t="shared" si="76"/>
        <v>0.02643504532</v>
      </c>
      <c r="P142" s="394">
        <f t="shared" si="73"/>
        <v>4200</v>
      </c>
      <c r="Q142" s="115"/>
      <c r="R142" s="115"/>
      <c r="S142" s="127" t="s">
        <v>217</v>
      </c>
      <c r="T142" s="287">
        <v>44973.0</v>
      </c>
      <c r="U142" s="147">
        <v>1.359E-5</v>
      </c>
      <c r="V142" s="133">
        <v>163080.0</v>
      </c>
      <c r="W142" s="456" t="s">
        <v>217</v>
      </c>
      <c r="X142" s="457">
        <v>44966.0</v>
      </c>
      <c r="Y142" s="464">
        <v>1.324E-5</v>
      </c>
      <c r="Z142" s="458">
        <v>158880.0</v>
      </c>
    </row>
    <row r="143">
      <c r="A143" s="114"/>
      <c r="B143" s="115"/>
      <c r="C143" s="116">
        <f>I143/E182</f>
        <v>0</v>
      </c>
      <c r="D143" s="286" t="s">
        <v>575</v>
      </c>
      <c r="E143" s="286" t="s">
        <v>216</v>
      </c>
      <c r="F143" s="359">
        <v>7.1</v>
      </c>
      <c r="G143" s="450">
        <v>1.0E10</v>
      </c>
      <c r="H143" s="300">
        <f t="shared" si="69"/>
        <v>116100</v>
      </c>
      <c r="I143" s="133">
        <v>0.0</v>
      </c>
      <c r="J143" s="147">
        <v>1.161E-5</v>
      </c>
      <c r="K143" s="451"/>
      <c r="L143" s="452" t="str">
        <f t="shared" si="70"/>
        <v>Loading...</v>
      </c>
      <c r="M143" s="463">
        <v>1.158E-5</v>
      </c>
      <c r="N143" s="454" t="str">
        <f t="shared" si="71"/>
        <v>Loading...</v>
      </c>
      <c r="O143" s="455">
        <f t="shared" si="76"/>
        <v>-0.002583979328</v>
      </c>
      <c r="P143" s="394">
        <f t="shared" si="73"/>
        <v>-300</v>
      </c>
      <c r="Q143" s="115"/>
      <c r="R143" s="115"/>
      <c r="S143" s="127" t="s">
        <v>217</v>
      </c>
      <c r="T143" s="287">
        <v>44956.0</v>
      </c>
      <c r="U143" s="147">
        <v>1.158E-5</v>
      </c>
      <c r="V143" s="133">
        <v>115800.0</v>
      </c>
      <c r="W143" s="456" t="s">
        <v>217</v>
      </c>
      <c r="X143" s="457">
        <v>44942.0</v>
      </c>
      <c r="Y143" s="464">
        <v>1.161E-5</v>
      </c>
      <c r="Z143" s="458">
        <v>116100.0</v>
      </c>
    </row>
    <row r="144">
      <c r="A144" s="114"/>
      <c r="B144" s="115"/>
      <c r="C144" s="116">
        <f>I144/E182</f>
        <v>0</v>
      </c>
      <c r="D144" s="286" t="s">
        <v>575</v>
      </c>
      <c r="E144" s="286" t="s">
        <v>216</v>
      </c>
      <c r="F144" s="359">
        <v>7.1</v>
      </c>
      <c r="G144" s="450">
        <v>1.5E10</v>
      </c>
      <c r="H144" s="300">
        <f t="shared" si="69"/>
        <v>132750</v>
      </c>
      <c r="I144" s="133">
        <v>0.0</v>
      </c>
      <c r="J144" s="147">
        <v>8.85E-6</v>
      </c>
      <c r="K144" s="451"/>
      <c r="L144" s="452" t="str">
        <f t="shared" si="70"/>
        <v>Loading...</v>
      </c>
      <c r="M144" s="463">
        <v>1.025E-5</v>
      </c>
      <c r="N144" s="454" t="str">
        <f t="shared" si="71"/>
        <v>Loading...</v>
      </c>
      <c r="O144" s="455">
        <f t="shared" si="76"/>
        <v>0.1581920904</v>
      </c>
      <c r="P144" s="394">
        <f t="shared" si="73"/>
        <v>21000</v>
      </c>
      <c r="Q144" s="115"/>
      <c r="R144" s="115"/>
      <c r="S144" s="127" t="s">
        <v>217</v>
      </c>
      <c r="T144" s="287">
        <v>44942.0</v>
      </c>
      <c r="U144" s="147">
        <v>1.025E-5</v>
      </c>
      <c r="V144" s="133">
        <v>153750.0</v>
      </c>
      <c r="W144" s="456" t="s">
        <v>217</v>
      </c>
      <c r="X144" s="457">
        <v>44935.0</v>
      </c>
      <c r="Y144" s="464">
        <v>8.85E-6</v>
      </c>
      <c r="Z144" s="458">
        <v>132750.0</v>
      </c>
    </row>
    <row r="145">
      <c r="A145" s="114"/>
      <c r="B145" s="115"/>
      <c r="C145" s="116">
        <f>I145/E182</f>
        <v>0</v>
      </c>
      <c r="D145" s="304" t="s">
        <v>209</v>
      </c>
      <c r="E145" s="304" t="s">
        <v>210</v>
      </c>
      <c r="F145" s="359">
        <v>7.4</v>
      </c>
      <c r="G145" s="450">
        <v>10000.0</v>
      </c>
      <c r="H145" s="300">
        <f t="shared" si="69"/>
        <v>68800</v>
      </c>
      <c r="I145" s="133">
        <v>0.0</v>
      </c>
      <c r="J145" s="141">
        <v>6.88</v>
      </c>
      <c r="K145" s="451"/>
      <c r="L145" s="452" t="str">
        <f t="shared" si="70"/>
        <v>Loading...</v>
      </c>
      <c r="M145" s="465">
        <v>6.96</v>
      </c>
      <c r="N145" s="454" t="str">
        <f t="shared" si="71"/>
        <v>Loading...</v>
      </c>
      <c r="O145" s="455">
        <f t="shared" si="76"/>
        <v>0.01162790698</v>
      </c>
      <c r="P145" s="394">
        <f t="shared" si="73"/>
        <v>800</v>
      </c>
      <c r="Q145" s="115"/>
      <c r="R145" s="115"/>
      <c r="S145" s="127" t="s">
        <v>211</v>
      </c>
      <c r="T145" s="287">
        <v>44956.0</v>
      </c>
      <c r="U145" s="141">
        <v>6.96</v>
      </c>
      <c r="V145" s="133">
        <v>69600.0</v>
      </c>
      <c r="W145" s="456" t="s">
        <v>211</v>
      </c>
      <c r="X145" s="457">
        <v>44952.0</v>
      </c>
      <c r="Y145" s="466">
        <v>6.88</v>
      </c>
      <c r="Z145" s="458">
        <v>68800.0</v>
      </c>
    </row>
    <row r="146">
      <c r="A146" s="114"/>
      <c r="B146" s="115"/>
      <c r="C146" s="116">
        <f>I146/E182</f>
        <v>0</v>
      </c>
      <c r="D146" s="304" t="s">
        <v>209</v>
      </c>
      <c r="E146" s="304" t="s">
        <v>210</v>
      </c>
      <c r="F146" s="359">
        <v>7.4</v>
      </c>
      <c r="G146" s="450">
        <v>10000.0</v>
      </c>
      <c r="H146" s="300">
        <f t="shared" si="69"/>
        <v>67600</v>
      </c>
      <c r="I146" s="133">
        <v>0.0</v>
      </c>
      <c r="J146" s="141">
        <v>6.76</v>
      </c>
      <c r="K146" s="451"/>
      <c r="L146" s="452" t="str">
        <f t="shared" si="70"/>
        <v>Loading...</v>
      </c>
      <c r="M146" s="465">
        <v>7.4</v>
      </c>
      <c r="N146" s="454" t="str">
        <f t="shared" si="71"/>
        <v>Loading...</v>
      </c>
      <c r="O146" s="455">
        <f t="shared" si="76"/>
        <v>0.09467455621</v>
      </c>
      <c r="P146" s="394">
        <f t="shared" si="73"/>
        <v>6400</v>
      </c>
      <c r="Q146" s="115"/>
      <c r="R146" s="115"/>
      <c r="S146" s="127" t="s">
        <v>211</v>
      </c>
      <c r="T146" s="287">
        <v>44959.0</v>
      </c>
      <c r="U146" s="141">
        <v>7.4</v>
      </c>
      <c r="V146" s="133">
        <v>74000.0</v>
      </c>
      <c r="W146" s="456" t="s">
        <v>211</v>
      </c>
      <c r="X146" s="457">
        <v>44958.0</v>
      </c>
      <c r="Y146" s="466">
        <v>6.76</v>
      </c>
      <c r="Z146" s="458">
        <v>67600.0</v>
      </c>
    </row>
    <row r="147">
      <c r="A147" s="114"/>
      <c r="B147" s="115"/>
      <c r="C147" s="116" t="str">
        <f>I147/E182</f>
        <v>Loading...</v>
      </c>
      <c r="D147" s="304" t="s">
        <v>209</v>
      </c>
      <c r="E147" s="304" t="s">
        <v>210</v>
      </c>
      <c r="F147" s="359">
        <v>7.4</v>
      </c>
      <c r="G147" s="450">
        <v>10000.0</v>
      </c>
      <c r="H147" s="300">
        <f t="shared" si="69"/>
        <v>73100</v>
      </c>
      <c r="I147" s="133" t="str">
        <f t="shared" ref="I147:I149" si="77">H147+P147</f>
        <v>Loading...</v>
      </c>
      <c r="J147" s="141">
        <v>7.31</v>
      </c>
      <c r="K147" s="451"/>
      <c r="L147" s="452" t="str">
        <f t="shared" si="70"/>
        <v>Loading...</v>
      </c>
      <c r="M147" s="465"/>
      <c r="N147" s="454" t="str">
        <f t="shared" si="71"/>
        <v>Loading...</v>
      </c>
      <c r="O147" s="455" t="str">
        <f t="shared" ref="O147:O149" si="78">L147/J147-1</f>
        <v>Loading...</v>
      </c>
      <c r="P147" s="394" t="str">
        <f t="shared" si="73"/>
        <v>Loading...</v>
      </c>
      <c r="Q147" s="115"/>
      <c r="R147" s="115"/>
      <c r="S147" s="127"/>
      <c r="T147" s="287"/>
      <c r="U147" s="141"/>
      <c r="V147" s="133"/>
      <c r="W147" s="456" t="s">
        <v>211</v>
      </c>
      <c r="X147" s="457">
        <v>45009.0</v>
      </c>
      <c r="Y147" s="466">
        <v>7.31</v>
      </c>
      <c r="Z147" s="458">
        <v>73100.0</v>
      </c>
    </row>
    <row r="148">
      <c r="A148" s="114"/>
      <c r="B148" s="115"/>
      <c r="C148" s="116" t="str">
        <f>I148/E182</f>
        <v>Loading...</v>
      </c>
      <c r="D148" s="304" t="s">
        <v>209</v>
      </c>
      <c r="E148" s="304" t="s">
        <v>210</v>
      </c>
      <c r="F148" s="359">
        <v>7.4</v>
      </c>
      <c r="G148" s="450">
        <v>10000.0</v>
      </c>
      <c r="H148" s="300">
        <f t="shared" si="69"/>
        <v>73100</v>
      </c>
      <c r="I148" s="133" t="str">
        <f t="shared" si="77"/>
        <v>Loading...</v>
      </c>
      <c r="J148" s="141">
        <v>7.31</v>
      </c>
      <c r="K148" s="451"/>
      <c r="L148" s="452" t="str">
        <f t="shared" si="70"/>
        <v>Loading...</v>
      </c>
      <c r="M148" s="465"/>
      <c r="N148" s="454" t="str">
        <f t="shared" si="71"/>
        <v>Loading...</v>
      </c>
      <c r="O148" s="455" t="str">
        <f t="shared" si="78"/>
        <v>Loading...</v>
      </c>
      <c r="P148" s="394" t="str">
        <f t="shared" si="73"/>
        <v>Loading...</v>
      </c>
      <c r="Q148" s="115"/>
      <c r="R148" s="115"/>
      <c r="S148" s="127"/>
      <c r="T148" s="287"/>
      <c r="U148" s="141"/>
      <c r="V148" s="133"/>
      <c r="W148" s="456" t="s">
        <v>211</v>
      </c>
      <c r="X148" s="457">
        <v>44985.0</v>
      </c>
      <c r="Y148" s="466">
        <v>7.31</v>
      </c>
      <c r="Z148" s="458">
        <v>73100.0</v>
      </c>
    </row>
    <row r="149">
      <c r="A149" s="114"/>
      <c r="B149" s="115"/>
      <c r="C149" s="116" t="str">
        <f>I149/E182</f>
        <v>Loading...</v>
      </c>
      <c r="D149" s="304" t="s">
        <v>209</v>
      </c>
      <c r="E149" s="304" t="s">
        <v>210</v>
      </c>
      <c r="F149" s="359">
        <v>7.4</v>
      </c>
      <c r="G149" s="450">
        <v>10000.0</v>
      </c>
      <c r="H149" s="300">
        <f t="shared" si="69"/>
        <v>73300</v>
      </c>
      <c r="I149" s="133" t="str">
        <f t="shared" si="77"/>
        <v>Loading...</v>
      </c>
      <c r="J149" s="141">
        <v>7.33</v>
      </c>
      <c r="K149" s="451"/>
      <c r="L149" s="452" t="str">
        <f t="shared" si="70"/>
        <v>Loading...</v>
      </c>
      <c r="M149" s="465"/>
      <c r="N149" s="454" t="str">
        <f t="shared" si="71"/>
        <v>Loading...</v>
      </c>
      <c r="O149" s="455" t="str">
        <f t="shared" si="78"/>
        <v>Loading...</v>
      </c>
      <c r="P149" s="394" t="str">
        <f t="shared" si="73"/>
        <v>Loading...</v>
      </c>
      <c r="Q149" s="115"/>
      <c r="R149" s="115"/>
      <c r="S149" s="127"/>
      <c r="T149" s="287"/>
      <c r="U149" s="141"/>
      <c r="V149" s="133"/>
      <c r="W149" s="456" t="s">
        <v>211</v>
      </c>
      <c r="X149" s="457">
        <v>44973.0</v>
      </c>
      <c r="Y149" s="466">
        <v>7.33</v>
      </c>
      <c r="Z149" s="458">
        <v>73300.0</v>
      </c>
    </row>
    <row r="150">
      <c r="A150" s="114"/>
      <c r="B150" s="115"/>
      <c r="C150" s="116">
        <f>I150/E182</f>
        <v>0</v>
      </c>
      <c r="D150" s="304" t="s">
        <v>209</v>
      </c>
      <c r="E150" s="304" t="s">
        <v>210</v>
      </c>
      <c r="F150" s="359">
        <v>7.4</v>
      </c>
      <c r="G150" s="450">
        <v>10000.0</v>
      </c>
      <c r="H150" s="300">
        <f t="shared" si="69"/>
        <v>70300</v>
      </c>
      <c r="I150" s="133">
        <v>0.0</v>
      </c>
      <c r="J150" s="141">
        <v>7.03</v>
      </c>
      <c r="K150" s="451"/>
      <c r="L150" s="452" t="str">
        <f t="shared" si="70"/>
        <v>Loading...</v>
      </c>
      <c r="M150" s="465">
        <v>7.89</v>
      </c>
      <c r="N150" s="454" t="str">
        <f t="shared" si="71"/>
        <v>Loading...</v>
      </c>
      <c r="O150" s="455">
        <f t="shared" ref="O150:O154" si="79">M150/J150-1</f>
        <v>0.1223328592</v>
      </c>
      <c r="P150" s="394">
        <f t="shared" si="73"/>
        <v>8600</v>
      </c>
      <c r="Q150" s="115"/>
      <c r="R150" s="115"/>
      <c r="S150" s="127" t="s">
        <v>211</v>
      </c>
      <c r="T150" s="287">
        <v>44978.0</v>
      </c>
      <c r="U150" s="141">
        <v>7.89</v>
      </c>
      <c r="V150" s="133">
        <v>78900.0</v>
      </c>
      <c r="W150" s="456" t="s">
        <v>211</v>
      </c>
      <c r="X150" s="457">
        <v>44947.0</v>
      </c>
      <c r="Y150" s="466">
        <v>7.03</v>
      </c>
      <c r="Z150" s="458">
        <v>70300.0</v>
      </c>
    </row>
    <row r="151">
      <c r="A151" s="114"/>
      <c r="B151" s="115"/>
      <c r="C151" s="116">
        <f>I151/E182</f>
        <v>0</v>
      </c>
      <c r="D151" s="304" t="s">
        <v>209</v>
      </c>
      <c r="E151" s="304" t="s">
        <v>210</v>
      </c>
      <c r="F151" s="359">
        <v>7.4</v>
      </c>
      <c r="G151" s="450">
        <v>10000.0</v>
      </c>
      <c r="H151" s="300">
        <f t="shared" si="69"/>
        <v>65300</v>
      </c>
      <c r="I151" s="133">
        <v>0.0</v>
      </c>
      <c r="J151" s="141">
        <v>6.53</v>
      </c>
      <c r="K151" s="451"/>
      <c r="L151" s="452" t="str">
        <f t="shared" si="70"/>
        <v>Loading...</v>
      </c>
      <c r="M151" s="465">
        <v>6.75</v>
      </c>
      <c r="N151" s="454" t="str">
        <f t="shared" si="71"/>
        <v>Loading...</v>
      </c>
      <c r="O151" s="455">
        <f t="shared" si="79"/>
        <v>0.0336906585</v>
      </c>
      <c r="P151" s="394">
        <f t="shared" si="73"/>
        <v>2200</v>
      </c>
      <c r="Q151" s="115"/>
      <c r="R151" s="115"/>
      <c r="S151" s="127" t="s">
        <v>211</v>
      </c>
      <c r="T151" s="287">
        <v>44951.0</v>
      </c>
      <c r="U151" s="141">
        <v>6.75</v>
      </c>
      <c r="V151" s="133">
        <v>67500.0</v>
      </c>
      <c r="W151" s="456" t="s">
        <v>211</v>
      </c>
      <c r="X151" s="457">
        <v>44942.0</v>
      </c>
      <c r="Y151" s="466">
        <v>6.53</v>
      </c>
      <c r="Z151" s="458">
        <v>65300.0</v>
      </c>
    </row>
    <row r="152">
      <c r="A152" s="114"/>
      <c r="B152" s="115"/>
      <c r="C152" s="116">
        <f>I152/E182</f>
        <v>0</v>
      </c>
      <c r="D152" s="304" t="s">
        <v>209</v>
      </c>
      <c r="E152" s="304" t="s">
        <v>210</v>
      </c>
      <c r="F152" s="359">
        <v>7.4</v>
      </c>
      <c r="G152" s="450">
        <v>20000.0</v>
      </c>
      <c r="H152" s="300">
        <f t="shared" si="69"/>
        <v>111600</v>
      </c>
      <c r="I152" s="133">
        <v>0.0</v>
      </c>
      <c r="J152" s="141">
        <v>5.58</v>
      </c>
      <c r="K152" s="451"/>
      <c r="L152" s="452" t="str">
        <f t="shared" si="70"/>
        <v>Loading...</v>
      </c>
      <c r="M152" s="465">
        <v>6.63</v>
      </c>
      <c r="N152" s="454" t="str">
        <f t="shared" si="71"/>
        <v>Loading...</v>
      </c>
      <c r="O152" s="455">
        <f t="shared" si="79"/>
        <v>0.188172043</v>
      </c>
      <c r="P152" s="394">
        <f t="shared" si="73"/>
        <v>21000</v>
      </c>
      <c r="Q152" s="115"/>
      <c r="R152" s="115"/>
      <c r="S152" s="127" t="s">
        <v>211</v>
      </c>
      <c r="T152" s="287">
        <v>44944.0</v>
      </c>
      <c r="U152" s="141">
        <v>6.63</v>
      </c>
      <c r="V152" s="133">
        <v>132600.0</v>
      </c>
      <c r="W152" s="456"/>
      <c r="X152" s="457"/>
      <c r="Y152" s="466"/>
      <c r="Z152" s="458"/>
    </row>
    <row r="153">
      <c r="A153" s="114"/>
      <c r="B153" s="115"/>
      <c r="C153" s="116">
        <f>I153/E182</f>
        <v>0</v>
      </c>
      <c r="D153" s="286" t="s">
        <v>206</v>
      </c>
      <c r="E153" s="286" t="s">
        <v>207</v>
      </c>
      <c r="F153" s="359">
        <v>7.5</v>
      </c>
      <c r="G153" s="450">
        <v>500.0</v>
      </c>
      <c r="H153" s="300">
        <f t="shared" si="69"/>
        <v>66600</v>
      </c>
      <c r="I153" s="133">
        <v>0.0</v>
      </c>
      <c r="J153" s="141">
        <v>133.2</v>
      </c>
      <c r="K153" s="451"/>
      <c r="L153" s="452" t="str">
        <f t="shared" si="70"/>
        <v>Loading...</v>
      </c>
      <c r="M153" s="465">
        <v>149.89</v>
      </c>
      <c r="N153" s="454" t="str">
        <f t="shared" si="71"/>
        <v>Loading...</v>
      </c>
      <c r="O153" s="455">
        <f t="shared" si="79"/>
        <v>0.1253003003</v>
      </c>
      <c r="P153" s="394">
        <f t="shared" si="73"/>
        <v>8345</v>
      </c>
      <c r="Q153" s="115"/>
      <c r="R153" s="115"/>
      <c r="S153" s="127" t="s">
        <v>208</v>
      </c>
      <c r="T153" s="287">
        <v>44978.0</v>
      </c>
      <c r="U153" s="141">
        <v>149.89</v>
      </c>
      <c r="V153" s="133">
        <v>74945.0</v>
      </c>
      <c r="W153" s="456" t="s">
        <v>208</v>
      </c>
      <c r="X153" s="457">
        <v>44973.0</v>
      </c>
      <c r="Y153" s="466">
        <v>133.2</v>
      </c>
      <c r="Z153" s="458">
        <v>66600.0</v>
      </c>
    </row>
    <row r="154">
      <c r="A154" s="114"/>
      <c r="B154" s="115"/>
      <c r="C154" s="116">
        <f>I154/E182</f>
        <v>0</v>
      </c>
      <c r="D154" s="286" t="s">
        <v>206</v>
      </c>
      <c r="E154" s="286" t="s">
        <v>207</v>
      </c>
      <c r="F154" s="359">
        <v>7.5</v>
      </c>
      <c r="G154" s="450">
        <v>500.0</v>
      </c>
      <c r="H154" s="300">
        <f t="shared" si="69"/>
        <v>54850</v>
      </c>
      <c r="I154" s="133">
        <v>0.0</v>
      </c>
      <c r="J154" s="141">
        <v>109.7</v>
      </c>
      <c r="K154" s="451"/>
      <c r="L154" s="452" t="str">
        <f t="shared" si="70"/>
        <v>Loading...</v>
      </c>
      <c r="M154" s="465">
        <v>134.8</v>
      </c>
      <c r="N154" s="454" t="str">
        <f t="shared" si="71"/>
        <v>Loading...</v>
      </c>
      <c r="O154" s="455">
        <f t="shared" si="79"/>
        <v>0.2288058341</v>
      </c>
      <c r="P154" s="394">
        <f t="shared" si="73"/>
        <v>12550</v>
      </c>
      <c r="Q154" s="115"/>
      <c r="R154" s="115"/>
      <c r="S154" s="127" t="s">
        <v>208</v>
      </c>
      <c r="T154" s="287">
        <v>44999.0</v>
      </c>
      <c r="U154" s="141">
        <v>134.8</v>
      </c>
      <c r="V154" s="133">
        <v>67400.0</v>
      </c>
      <c r="W154" s="456" t="s">
        <v>208</v>
      </c>
      <c r="X154" s="457">
        <v>44995.0</v>
      </c>
      <c r="Y154" s="466">
        <v>109.7</v>
      </c>
      <c r="Z154" s="458">
        <v>54850.0</v>
      </c>
    </row>
    <row r="155">
      <c r="A155" s="114"/>
      <c r="B155" s="115"/>
      <c r="C155" s="116" t="str">
        <f>I155/E182</f>
        <v>Loading...</v>
      </c>
      <c r="D155" s="286" t="s">
        <v>206</v>
      </c>
      <c r="E155" s="286" t="s">
        <v>207</v>
      </c>
      <c r="F155" s="359">
        <v>7.5</v>
      </c>
      <c r="G155" s="450">
        <v>500.0</v>
      </c>
      <c r="H155" s="300">
        <f t="shared" si="69"/>
        <v>66000</v>
      </c>
      <c r="I155" s="133" t="str">
        <f>H155+P155</f>
        <v>Loading...</v>
      </c>
      <c r="J155" s="141">
        <v>132.0</v>
      </c>
      <c r="K155" s="451"/>
      <c r="L155" s="452" t="str">
        <f t="shared" si="70"/>
        <v>Loading...</v>
      </c>
      <c r="M155" s="465"/>
      <c r="N155" s="454" t="str">
        <f t="shared" si="71"/>
        <v>Loading...</v>
      </c>
      <c r="O155" s="455" t="str">
        <f>L155/J155-1</f>
        <v>Loading...</v>
      </c>
      <c r="P155" s="394" t="str">
        <f t="shared" si="73"/>
        <v>Loading...</v>
      </c>
      <c r="Q155" s="115"/>
      <c r="R155" s="115"/>
      <c r="S155" s="127"/>
      <c r="T155" s="287"/>
      <c r="U155" s="141"/>
      <c r="V155" s="133"/>
      <c r="W155" s="456" t="s">
        <v>208</v>
      </c>
      <c r="X155" s="457">
        <v>44985.0</v>
      </c>
      <c r="Y155" s="466">
        <v>132.0</v>
      </c>
      <c r="Z155" s="458">
        <v>66000.0</v>
      </c>
    </row>
    <row r="156">
      <c r="A156" s="114"/>
      <c r="B156" s="115"/>
      <c r="C156" s="116">
        <f>I156/E182</f>
        <v>0</v>
      </c>
      <c r="D156" s="286" t="s">
        <v>206</v>
      </c>
      <c r="E156" s="286" t="s">
        <v>207</v>
      </c>
      <c r="F156" s="359">
        <v>7.5</v>
      </c>
      <c r="G156" s="450">
        <v>500.0</v>
      </c>
      <c r="H156" s="300">
        <f t="shared" si="69"/>
        <v>62350</v>
      </c>
      <c r="I156" s="133">
        <v>0.0</v>
      </c>
      <c r="J156" s="141">
        <v>124.7</v>
      </c>
      <c r="K156" s="451"/>
      <c r="L156" s="452" t="str">
        <f t="shared" si="70"/>
        <v>Loading...</v>
      </c>
      <c r="M156" s="465">
        <v>129.6</v>
      </c>
      <c r="N156" s="454" t="str">
        <f t="shared" si="71"/>
        <v>Loading...</v>
      </c>
      <c r="O156" s="455">
        <f>M156/J156-1</f>
        <v>0.03929430634</v>
      </c>
      <c r="P156" s="394">
        <f t="shared" si="73"/>
        <v>2450</v>
      </c>
      <c r="Q156" s="115"/>
      <c r="R156" s="115"/>
      <c r="S156" s="127" t="s">
        <v>208</v>
      </c>
      <c r="T156" s="287">
        <v>44988.0</v>
      </c>
      <c r="U156" s="141">
        <v>129.6</v>
      </c>
      <c r="V156" s="133">
        <v>64800.0</v>
      </c>
      <c r="W156" s="456" t="s">
        <v>208</v>
      </c>
      <c r="X156" s="457">
        <v>44969.0</v>
      </c>
      <c r="Y156" s="466">
        <v>124.7</v>
      </c>
      <c r="Z156" s="458">
        <v>62350.0</v>
      </c>
    </row>
    <row r="157">
      <c r="A157" s="114"/>
      <c r="B157" s="115"/>
      <c r="C157" s="116" t="str">
        <f>I157/E182</f>
        <v>Loading...</v>
      </c>
      <c r="D157" s="286" t="s">
        <v>206</v>
      </c>
      <c r="E157" s="286" t="s">
        <v>207</v>
      </c>
      <c r="F157" s="359">
        <v>7.5</v>
      </c>
      <c r="G157" s="450">
        <v>500.0</v>
      </c>
      <c r="H157" s="300">
        <f t="shared" si="69"/>
        <v>65550</v>
      </c>
      <c r="I157" s="133" t="str">
        <f>H157+P157</f>
        <v>Loading...</v>
      </c>
      <c r="J157" s="141">
        <v>131.1</v>
      </c>
      <c r="K157" s="451"/>
      <c r="L157" s="452" t="str">
        <f t="shared" si="70"/>
        <v>Loading...</v>
      </c>
      <c r="M157" s="465"/>
      <c r="N157" s="454" t="str">
        <f t="shared" si="71"/>
        <v>Loading...</v>
      </c>
      <c r="O157" s="455" t="str">
        <f>L157/J157-1</f>
        <v>Loading...</v>
      </c>
      <c r="P157" s="394" t="str">
        <f t="shared" si="73"/>
        <v>Loading...</v>
      </c>
      <c r="Q157" s="115"/>
      <c r="R157" s="115"/>
      <c r="S157" s="127"/>
      <c r="T157" s="287"/>
      <c r="U157" s="141"/>
      <c r="V157" s="133"/>
      <c r="W157" s="456" t="s">
        <v>208</v>
      </c>
      <c r="X157" s="457">
        <v>44958.0</v>
      </c>
      <c r="Y157" s="466">
        <v>131.1</v>
      </c>
      <c r="Z157" s="458">
        <v>65550.0</v>
      </c>
    </row>
    <row r="158">
      <c r="A158" s="114"/>
      <c r="B158" s="115"/>
      <c r="C158" s="116">
        <f>I158/E182</f>
        <v>0</v>
      </c>
      <c r="D158" s="286" t="s">
        <v>206</v>
      </c>
      <c r="E158" s="286" t="s">
        <v>207</v>
      </c>
      <c r="F158" s="359">
        <v>7.5</v>
      </c>
      <c r="G158" s="450">
        <v>500.0</v>
      </c>
      <c r="H158" s="300">
        <f t="shared" si="69"/>
        <v>64500</v>
      </c>
      <c r="I158" s="133">
        <v>0.0</v>
      </c>
      <c r="J158" s="141">
        <v>129.0</v>
      </c>
      <c r="K158" s="451"/>
      <c r="L158" s="452" t="str">
        <f t="shared" si="70"/>
        <v>Loading...</v>
      </c>
      <c r="M158" s="465">
        <v>141.1</v>
      </c>
      <c r="N158" s="454" t="str">
        <f t="shared" si="71"/>
        <v>Loading...</v>
      </c>
      <c r="O158" s="455">
        <f t="shared" ref="O158:O164" si="80">M158/J158-1</f>
        <v>0.09379844961</v>
      </c>
      <c r="P158" s="394">
        <f t="shared" si="73"/>
        <v>6050</v>
      </c>
      <c r="Q158" s="115"/>
      <c r="R158" s="115"/>
      <c r="S158" s="127" t="s">
        <v>208</v>
      </c>
      <c r="T158" s="287">
        <v>44959.0</v>
      </c>
      <c r="U158" s="141">
        <v>141.1</v>
      </c>
      <c r="V158" s="133">
        <v>70550.0</v>
      </c>
      <c r="W158" s="456" t="s">
        <v>208</v>
      </c>
      <c r="X158" s="457">
        <v>44947.0</v>
      </c>
      <c r="Y158" s="466">
        <v>129.0</v>
      </c>
      <c r="Z158" s="458">
        <v>64500.0</v>
      </c>
    </row>
    <row r="159">
      <c r="A159" s="114"/>
      <c r="B159" s="115"/>
      <c r="C159" s="116">
        <f>I159/E182</f>
        <v>0</v>
      </c>
      <c r="D159" s="286" t="s">
        <v>206</v>
      </c>
      <c r="E159" s="286" t="s">
        <v>207</v>
      </c>
      <c r="F159" s="359">
        <v>7.5</v>
      </c>
      <c r="G159" s="450">
        <v>1000.0</v>
      </c>
      <c r="H159" s="300">
        <f t="shared" si="69"/>
        <v>105500</v>
      </c>
      <c r="I159" s="133">
        <v>0.0</v>
      </c>
      <c r="J159" s="141">
        <v>105.5</v>
      </c>
      <c r="K159" s="451"/>
      <c r="L159" s="452" t="str">
        <f t="shared" si="70"/>
        <v>Loading...</v>
      </c>
      <c r="M159" s="465">
        <v>129.1</v>
      </c>
      <c r="N159" s="454" t="str">
        <f t="shared" si="71"/>
        <v>Loading...</v>
      </c>
      <c r="O159" s="455">
        <f t="shared" si="80"/>
        <v>0.2236966825</v>
      </c>
      <c r="P159" s="394">
        <f t="shared" si="73"/>
        <v>23600</v>
      </c>
      <c r="Q159" s="115"/>
      <c r="R159" s="115"/>
      <c r="S159" s="127" t="s">
        <v>208</v>
      </c>
      <c r="T159" s="287">
        <v>44951.0</v>
      </c>
      <c r="U159" s="141">
        <v>129.1</v>
      </c>
      <c r="V159" s="133">
        <v>129100.0</v>
      </c>
      <c r="W159" s="456" t="s">
        <v>208</v>
      </c>
      <c r="X159" s="457">
        <v>44935.0</v>
      </c>
      <c r="Y159" s="466">
        <v>105.5</v>
      </c>
      <c r="Z159" s="458">
        <v>105500.0</v>
      </c>
    </row>
    <row r="160">
      <c r="A160" s="114"/>
      <c r="B160" s="115"/>
      <c r="C160" s="116">
        <f>I160/E182</f>
        <v>0</v>
      </c>
      <c r="D160" s="286" t="s">
        <v>206</v>
      </c>
      <c r="E160" s="286" t="s">
        <v>207</v>
      </c>
      <c r="F160" s="359">
        <v>7.5</v>
      </c>
      <c r="G160" s="450">
        <v>1500.0</v>
      </c>
      <c r="H160" s="300">
        <f t="shared" si="69"/>
        <v>144900</v>
      </c>
      <c r="I160" s="133">
        <v>0.0</v>
      </c>
      <c r="J160" s="141">
        <v>96.6</v>
      </c>
      <c r="K160" s="451"/>
      <c r="L160" s="452" t="str">
        <f t="shared" si="70"/>
        <v>Loading...</v>
      </c>
      <c r="M160" s="465">
        <v>123.1</v>
      </c>
      <c r="N160" s="454" t="str">
        <f t="shared" si="71"/>
        <v>Loading...</v>
      </c>
      <c r="O160" s="455">
        <f t="shared" si="80"/>
        <v>0.2743271222</v>
      </c>
      <c r="P160" s="394">
        <f t="shared" si="73"/>
        <v>39750</v>
      </c>
      <c r="Q160" s="115"/>
      <c r="R160" s="115"/>
      <c r="S160" s="127" t="s">
        <v>208</v>
      </c>
      <c r="T160" s="287">
        <v>44942.0</v>
      </c>
      <c r="U160" s="141">
        <v>123.1</v>
      </c>
      <c r="V160" s="133">
        <v>184650.0</v>
      </c>
      <c r="W160" s="456"/>
      <c r="X160" s="457"/>
      <c r="Y160" s="466"/>
      <c r="Z160" s="458"/>
    </row>
    <row r="161">
      <c r="A161" s="114"/>
      <c r="B161" s="115"/>
      <c r="C161" s="116">
        <f>I161/E182</f>
        <v>0</v>
      </c>
      <c r="D161" s="304" t="s">
        <v>509</v>
      </c>
      <c r="E161" s="304" t="s">
        <v>510</v>
      </c>
      <c r="F161" s="359">
        <v>7.2</v>
      </c>
      <c r="G161" s="450">
        <v>5000.0</v>
      </c>
      <c r="H161" s="300">
        <f t="shared" si="69"/>
        <v>87400</v>
      </c>
      <c r="I161" s="133">
        <v>0.0</v>
      </c>
      <c r="J161" s="141">
        <v>17.48</v>
      </c>
      <c r="K161" s="451"/>
      <c r="L161" s="452" t="str">
        <f t="shared" si="70"/>
        <v>Loading...</v>
      </c>
      <c r="M161" s="465">
        <v>21.78</v>
      </c>
      <c r="N161" s="454" t="str">
        <f t="shared" si="71"/>
        <v>Loading...</v>
      </c>
      <c r="O161" s="455">
        <f t="shared" si="80"/>
        <v>0.2459954233</v>
      </c>
      <c r="P161" s="394">
        <f t="shared" si="73"/>
        <v>21500</v>
      </c>
      <c r="Q161" s="115"/>
      <c r="R161" s="115"/>
      <c r="S161" s="127" t="s">
        <v>511</v>
      </c>
      <c r="T161" s="287">
        <v>44999.0</v>
      </c>
      <c r="U161" s="141">
        <v>21.78</v>
      </c>
      <c r="V161" s="133">
        <v>108900.0</v>
      </c>
      <c r="W161" s="456" t="s">
        <v>511</v>
      </c>
      <c r="X161" s="457">
        <v>44995.0</v>
      </c>
      <c r="Y161" s="466">
        <v>17.48</v>
      </c>
      <c r="Z161" s="458">
        <v>87400.0</v>
      </c>
    </row>
    <row r="162">
      <c r="A162" s="114"/>
      <c r="B162" s="115"/>
      <c r="C162" s="116">
        <f>I162/E182</f>
        <v>0</v>
      </c>
      <c r="D162" s="304" t="s">
        <v>509</v>
      </c>
      <c r="E162" s="304" t="s">
        <v>510</v>
      </c>
      <c r="F162" s="359">
        <v>7.2</v>
      </c>
      <c r="G162" s="450">
        <v>5000.0</v>
      </c>
      <c r="H162" s="300">
        <f t="shared" si="69"/>
        <v>118250</v>
      </c>
      <c r="I162" s="133">
        <v>0.0</v>
      </c>
      <c r="J162" s="141">
        <v>23.65</v>
      </c>
      <c r="K162" s="451"/>
      <c r="L162" s="452" t="str">
        <f t="shared" si="70"/>
        <v>Loading...</v>
      </c>
      <c r="M162" s="465">
        <v>25.53</v>
      </c>
      <c r="N162" s="454" t="str">
        <f t="shared" si="71"/>
        <v>Loading...</v>
      </c>
      <c r="O162" s="455">
        <f t="shared" si="80"/>
        <v>0.07949260042</v>
      </c>
      <c r="P162" s="394">
        <f t="shared" si="73"/>
        <v>9400</v>
      </c>
      <c r="Q162" s="115"/>
      <c r="R162" s="115"/>
      <c r="S162" s="127" t="s">
        <v>511</v>
      </c>
      <c r="T162" s="287">
        <v>44978.0</v>
      </c>
      <c r="U162" s="141">
        <v>25.53</v>
      </c>
      <c r="V162" s="133">
        <v>127650.0</v>
      </c>
      <c r="W162" s="456" t="s">
        <v>511</v>
      </c>
      <c r="X162" s="457">
        <v>44973.0</v>
      </c>
      <c r="Y162" s="466">
        <v>23.65</v>
      </c>
      <c r="Z162" s="458">
        <v>118250.0</v>
      </c>
    </row>
    <row r="163">
      <c r="A163" s="114"/>
      <c r="B163" s="115"/>
      <c r="C163" s="116">
        <f>I163/E182</f>
        <v>0</v>
      </c>
      <c r="D163" s="304" t="s">
        <v>509</v>
      </c>
      <c r="E163" s="304" t="s">
        <v>510</v>
      </c>
      <c r="F163" s="359">
        <v>7.2</v>
      </c>
      <c r="G163" s="450">
        <v>10000.0</v>
      </c>
      <c r="H163" s="300">
        <f t="shared" si="69"/>
        <v>203100</v>
      </c>
      <c r="I163" s="133">
        <v>0.0</v>
      </c>
      <c r="J163" s="141">
        <v>20.31</v>
      </c>
      <c r="K163" s="451"/>
      <c r="L163" s="452" t="str">
        <f t="shared" si="70"/>
        <v>Loading...</v>
      </c>
      <c r="M163" s="465">
        <v>23.39</v>
      </c>
      <c r="N163" s="454" t="str">
        <f t="shared" si="71"/>
        <v>Loading...</v>
      </c>
      <c r="O163" s="455">
        <f t="shared" si="80"/>
        <v>0.1516494338</v>
      </c>
      <c r="P163" s="394">
        <f t="shared" si="73"/>
        <v>30800</v>
      </c>
      <c r="Q163" s="115"/>
      <c r="R163" s="115"/>
      <c r="S163" s="127" t="s">
        <v>511</v>
      </c>
      <c r="T163" s="287">
        <v>44973.0</v>
      </c>
      <c r="U163" s="141">
        <v>23.39</v>
      </c>
      <c r="V163" s="133">
        <v>233900.0</v>
      </c>
      <c r="W163" s="456" t="s">
        <v>511</v>
      </c>
      <c r="X163" s="457">
        <v>44969.0</v>
      </c>
      <c r="Y163" s="466">
        <v>20.31</v>
      </c>
      <c r="Z163" s="458">
        <v>203100.0</v>
      </c>
    </row>
    <row r="164">
      <c r="A164" s="114"/>
      <c r="B164" s="115"/>
      <c r="C164" s="116">
        <f>I164/E182</f>
        <v>0</v>
      </c>
      <c r="D164" s="304" t="s">
        <v>509</v>
      </c>
      <c r="E164" s="304" t="s">
        <v>510</v>
      </c>
      <c r="F164" s="359">
        <v>7.2</v>
      </c>
      <c r="G164" s="450">
        <v>10000.0</v>
      </c>
      <c r="H164" s="300">
        <f t="shared" si="69"/>
        <v>97800</v>
      </c>
      <c r="I164" s="133">
        <v>0.0</v>
      </c>
      <c r="J164" s="141">
        <v>9.78</v>
      </c>
      <c r="K164" s="451"/>
      <c r="L164" s="452" t="str">
        <f t="shared" si="70"/>
        <v>Loading...</v>
      </c>
      <c r="M164" s="465">
        <v>16.8</v>
      </c>
      <c r="N164" s="454" t="str">
        <f t="shared" si="71"/>
        <v>Loading...</v>
      </c>
      <c r="O164" s="455">
        <f t="shared" si="80"/>
        <v>0.717791411</v>
      </c>
      <c r="P164" s="394">
        <f t="shared" si="73"/>
        <v>70200</v>
      </c>
      <c r="Q164" s="115"/>
      <c r="R164" s="115"/>
      <c r="S164" s="127" t="s">
        <v>511</v>
      </c>
      <c r="T164" s="287">
        <v>44935.0</v>
      </c>
      <c r="U164" s="141">
        <v>16.8</v>
      </c>
      <c r="V164" s="133">
        <v>168000.0</v>
      </c>
      <c r="W164" s="456"/>
      <c r="X164" s="457"/>
      <c r="Y164" s="466"/>
      <c r="Z164" s="458"/>
    </row>
    <row r="165">
      <c r="A165" s="114"/>
      <c r="B165" s="115"/>
      <c r="C165" s="116" t="str">
        <f>I165/E182</f>
        <v>Loading...</v>
      </c>
      <c r="D165" s="286" t="s">
        <v>416</v>
      </c>
      <c r="E165" s="286" t="s">
        <v>360</v>
      </c>
      <c r="F165" s="359">
        <v>7.5</v>
      </c>
      <c r="G165" s="450">
        <v>2000.0</v>
      </c>
      <c r="H165" s="300">
        <f t="shared" si="69"/>
        <v>122300</v>
      </c>
      <c r="I165" s="133" t="str">
        <f>H165+P165</f>
        <v>Loading...</v>
      </c>
      <c r="J165" s="141">
        <v>61.15</v>
      </c>
      <c r="K165" s="451"/>
      <c r="L165" s="452" t="str">
        <f t="shared" si="70"/>
        <v>Loading...</v>
      </c>
      <c r="M165" s="141"/>
      <c r="N165" s="454" t="str">
        <f t="shared" si="71"/>
        <v>Loading...</v>
      </c>
      <c r="O165" s="455" t="str">
        <f>L165/J165-1</f>
        <v>Loading...</v>
      </c>
      <c r="P165" s="394" t="str">
        <f t="shared" si="73"/>
        <v>Loading...</v>
      </c>
      <c r="Q165" s="115"/>
      <c r="R165" s="115"/>
      <c r="S165" s="127"/>
      <c r="T165" s="287"/>
      <c r="U165" s="141"/>
      <c r="V165" s="133"/>
      <c r="W165" s="456" t="s">
        <v>361</v>
      </c>
      <c r="X165" s="457">
        <v>45009.0</v>
      </c>
      <c r="Y165" s="466">
        <v>61.15</v>
      </c>
      <c r="Z165" s="458">
        <v>122300.0</v>
      </c>
    </row>
    <row r="166">
      <c r="A166" s="114"/>
      <c r="B166" s="115"/>
      <c r="C166" s="116">
        <f>I166/E182</f>
        <v>0</v>
      </c>
      <c r="D166" s="286" t="s">
        <v>416</v>
      </c>
      <c r="E166" s="286" t="s">
        <v>360</v>
      </c>
      <c r="F166" s="359">
        <v>7.5</v>
      </c>
      <c r="G166" s="450">
        <v>1000.0</v>
      </c>
      <c r="H166" s="300">
        <f t="shared" si="69"/>
        <v>71760</v>
      </c>
      <c r="I166" s="133">
        <v>0.0</v>
      </c>
      <c r="J166" s="141">
        <v>71.76</v>
      </c>
      <c r="K166" s="451"/>
      <c r="L166" s="452" t="str">
        <f t="shared" si="70"/>
        <v>Loading...</v>
      </c>
      <c r="M166" s="141">
        <v>72.37</v>
      </c>
      <c r="N166" s="454" t="str">
        <f t="shared" si="71"/>
        <v>Loading...</v>
      </c>
      <c r="O166" s="455">
        <f>M166/J166-1</f>
        <v>0.008500557414</v>
      </c>
      <c r="P166" s="394">
        <f t="shared" si="73"/>
        <v>610</v>
      </c>
      <c r="Q166" s="115"/>
      <c r="R166" s="115"/>
      <c r="S166" s="127" t="s">
        <v>361</v>
      </c>
      <c r="T166" s="287">
        <v>44987.0</v>
      </c>
      <c r="U166" s="141">
        <v>72.37</v>
      </c>
      <c r="V166" s="133">
        <v>72370.0</v>
      </c>
      <c r="W166" s="456" t="s">
        <v>361</v>
      </c>
      <c r="X166" s="457">
        <v>44985.0</v>
      </c>
      <c r="Y166" s="466">
        <v>71.76</v>
      </c>
      <c r="Z166" s="458">
        <v>71760.0</v>
      </c>
    </row>
    <row r="167">
      <c r="A167" s="114"/>
      <c r="B167" s="115"/>
      <c r="C167" s="116" t="str">
        <f>I167/E182</f>
        <v>Loading...</v>
      </c>
      <c r="D167" s="286" t="s">
        <v>512</v>
      </c>
      <c r="E167" s="286" t="s">
        <v>195</v>
      </c>
      <c r="F167" s="359">
        <v>7.2</v>
      </c>
      <c r="G167" s="450">
        <v>20000.0</v>
      </c>
      <c r="H167" s="300">
        <f t="shared" si="69"/>
        <v>122600</v>
      </c>
      <c r="I167" s="133" t="str">
        <f t="shared" ref="I167:I171" si="81">H167+P167</f>
        <v>Loading...</v>
      </c>
      <c r="J167" s="141">
        <v>6.13</v>
      </c>
      <c r="K167" s="451"/>
      <c r="L167" s="452" t="str">
        <f t="shared" si="70"/>
        <v>Loading...</v>
      </c>
      <c r="M167" s="141"/>
      <c r="N167" s="454" t="str">
        <f t="shared" si="71"/>
        <v>Loading...</v>
      </c>
      <c r="O167" s="455" t="str">
        <f t="shared" ref="O167:O171" si="82">L167/J167-1</f>
        <v>Loading...</v>
      </c>
      <c r="P167" s="394" t="str">
        <f t="shared" si="73"/>
        <v>Loading...</v>
      </c>
      <c r="Q167" s="115"/>
      <c r="R167" s="115"/>
      <c r="S167" s="127"/>
      <c r="T167" s="287"/>
      <c r="U167" s="141"/>
      <c r="V167" s="133"/>
      <c r="W167" s="456" t="s">
        <v>196</v>
      </c>
      <c r="X167" s="457">
        <v>45009.0</v>
      </c>
      <c r="Y167" s="466">
        <v>6.13</v>
      </c>
      <c r="Z167" s="458">
        <v>122600.0</v>
      </c>
    </row>
    <row r="168">
      <c r="A168" s="114"/>
      <c r="B168" s="115"/>
      <c r="C168" s="116" t="str">
        <f>I168/E182</f>
        <v>Loading...</v>
      </c>
      <c r="D168" s="286" t="s">
        <v>513</v>
      </c>
      <c r="E168" s="286" t="s">
        <v>514</v>
      </c>
      <c r="F168" s="359">
        <v>7.5</v>
      </c>
      <c r="G168" s="450">
        <v>1000.0</v>
      </c>
      <c r="H168" s="300">
        <f t="shared" si="69"/>
        <v>159100</v>
      </c>
      <c r="I168" s="133" t="str">
        <f t="shared" si="81"/>
        <v>Loading...</v>
      </c>
      <c r="J168" s="141">
        <v>159.1</v>
      </c>
      <c r="K168" s="451"/>
      <c r="L168" s="452" t="str">
        <f t="shared" si="70"/>
        <v>Loading...</v>
      </c>
      <c r="M168" s="141"/>
      <c r="N168" s="454" t="str">
        <f t="shared" si="71"/>
        <v>Loading...</v>
      </c>
      <c r="O168" s="455" t="str">
        <f t="shared" si="82"/>
        <v>Loading...</v>
      </c>
      <c r="P168" s="394" t="str">
        <f t="shared" si="73"/>
        <v>Loading...</v>
      </c>
      <c r="Q168" s="115"/>
      <c r="R168" s="115"/>
      <c r="S168" s="127"/>
      <c r="T168" s="287"/>
      <c r="U168" s="141"/>
      <c r="V168" s="133"/>
      <c r="W168" s="456" t="s">
        <v>515</v>
      </c>
      <c r="X168" s="457">
        <v>45009.0</v>
      </c>
      <c r="Y168" s="466">
        <v>159.1</v>
      </c>
      <c r="Z168" s="458">
        <v>159100.0</v>
      </c>
    </row>
    <row r="169">
      <c r="A169" s="114"/>
      <c r="B169" s="115"/>
      <c r="C169" s="116" t="str">
        <f>I169/E182</f>
        <v>Loading...</v>
      </c>
      <c r="D169" s="304" t="s">
        <v>417</v>
      </c>
      <c r="E169" s="304" t="s">
        <v>418</v>
      </c>
      <c r="F169" s="359">
        <v>7.3</v>
      </c>
      <c r="G169" s="450">
        <v>2000.0</v>
      </c>
      <c r="H169" s="300">
        <f t="shared" si="69"/>
        <v>64200</v>
      </c>
      <c r="I169" s="133" t="str">
        <f t="shared" si="81"/>
        <v>Loading...</v>
      </c>
      <c r="J169" s="141">
        <v>32.1</v>
      </c>
      <c r="K169" s="451"/>
      <c r="L169" s="452" t="str">
        <f t="shared" si="70"/>
        <v>Loading...</v>
      </c>
      <c r="M169" s="141"/>
      <c r="N169" s="454" t="str">
        <f t="shared" si="71"/>
        <v>Loading...</v>
      </c>
      <c r="O169" s="455" t="str">
        <f t="shared" si="82"/>
        <v>Loading...</v>
      </c>
      <c r="P169" s="394" t="str">
        <f t="shared" si="73"/>
        <v>Loading...</v>
      </c>
      <c r="Q169" s="115"/>
      <c r="R169" s="115"/>
      <c r="S169" s="127"/>
      <c r="T169" s="287"/>
      <c r="U169" s="141"/>
      <c r="V169" s="133"/>
      <c r="W169" s="456" t="s">
        <v>419</v>
      </c>
      <c r="X169" s="457">
        <v>44995.0</v>
      </c>
      <c r="Y169" s="466">
        <v>32.1</v>
      </c>
      <c r="Z169" s="458">
        <v>64200.0</v>
      </c>
    </row>
    <row r="170">
      <c r="A170" s="114"/>
      <c r="B170" s="115"/>
      <c r="C170" s="116" t="str">
        <f>I170/E182</f>
        <v>Loading...</v>
      </c>
      <c r="D170" s="304" t="s">
        <v>417</v>
      </c>
      <c r="E170" s="304" t="s">
        <v>418</v>
      </c>
      <c r="F170" s="359">
        <v>7.3</v>
      </c>
      <c r="G170" s="450">
        <v>1000.0</v>
      </c>
      <c r="H170" s="300">
        <f t="shared" si="69"/>
        <v>44800</v>
      </c>
      <c r="I170" s="133" t="str">
        <f t="shared" si="81"/>
        <v>Loading...</v>
      </c>
      <c r="J170" s="141">
        <v>44.8</v>
      </c>
      <c r="K170" s="451"/>
      <c r="L170" s="452" t="str">
        <f t="shared" si="70"/>
        <v>Loading...</v>
      </c>
      <c r="M170" s="141"/>
      <c r="N170" s="454" t="str">
        <f t="shared" si="71"/>
        <v>Loading...</v>
      </c>
      <c r="O170" s="455" t="str">
        <f t="shared" si="82"/>
        <v>Loading...</v>
      </c>
      <c r="P170" s="394" t="str">
        <f t="shared" si="73"/>
        <v>Loading...</v>
      </c>
      <c r="Q170" s="115"/>
      <c r="R170" s="115"/>
      <c r="S170" s="127"/>
      <c r="T170" s="287"/>
      <c r="U170" s="141"/>
      <c r="V170" s="133"/>
      <c r="W170" s="456" t="s">
        <v>419</v>
      </c>
      <c r="X170" s="457">
        <v>44958.0</v>
      </c>
      <c r="Y170" s="466">
        <v>44.8</v>
      </c>
      <c r="Z170" s="458">
        <v>44800.0</v>
      </c>
    </row>
    <row r="171">
      <c r="A171" s="114"/>
      <c r="B171" s="115"/>
      <c r="C171" s="116" t="str">
        <f>I171/E182</f>
        <v>Loading...</v>
      </c>
      <c r="D171" s="304" t="s">
        <v>417</v>
      </c>
      <c r="E171" s="304" t="s">
        <v>418</v>
      </c>
      <c r="F171" s="359">
        <v>7.3</v>
      </c>
      <c r="G171" s="450">
        <v>1500.0</v>
      </c>
      <c r="H171" s="300">
        <f t="shared" si="69"/>
        <v>72750</v>
      </c>
      <c r="I171" s="133" t="str">
        <f t="shared" si="81"/>
        <v>Loading...</v>
      </c>
      <c r="J171" s="141">
        <v>48.5</v>
      </c>
      <c r="K171" s="451"/>
      <c r="L171" s="452" t="str">
        <f t="shared" si="70"/>
        <v>Loading...</v>
      </c>
      <c r="M171" s="141"/>
      <c r="N171" s="454" t="str">
        <f t="shared" si="71"/>
        <v>Loading...</v>
      </c>
      <c r="O171" s="455" t="str">
        <f t="shared" si="82"/>
        <v>Loading...</v>
      </c>
      <c r="P171" s="394" t="str">
        <f t="shared" si="73"/>
        <v>Loading...</v>
      </c>
      <c r="Q171" s="115"/>
      <c r="R171" s="115"/>
      <c r="S171" s="127"/>
      <c r="T171" s="287"/>
      <c r="U171" s="141"/>
      <c r="V171" s="133"/>
      <c r="W171" s="456" t="s">
        <v>419</v>
      </c>
      <c r="X171" s="457">
        <v>44947.0</v>
      </c>
      <c r="Y171" s="466">
        <v>48.5</v>
      </c>
      <c r="Z171" s="458">
        <v>72750.0</v>
      </c>
    </row>
    <row r="172">
      <c r="A172" s="114"/>
      <c r="B172" s="115"/>
      <c r="C172" s="116">
        <f>I172/E182</f>
        <v>0</v>
      </c>
      <c r="D172" s="304" t="s">
        <v>417</v>
      </c>
      <c r="E172" s="304" t="s">
        <v>418</v>
      </c>
      <c r="F172" s="359">
        <v>7.3</v>
      </c>
      <c r="G172" s="450">
        <v>1500.0</v>
      </c>
      <c r="H172" s="300">
        <f t="shared" si="69"/>
        <v>67650</v>
      </c>
      <c r="I172" s="133">
        <v>0.0</v>
      </c>
      <c r="J172" s="141">
        <v>45.1</v>
      </c>
      <c r="K172" s="451"/>
      <c r="L172" s="452" t="str">
        <f t="shared" si="70"/>
        <v>Loading...</v>
      </c>
      <c r="M172" s="141">
        <v>47.4</v>
      </c>
      <c r="N172" s="454" t="str">
        <f t="shared" si="71"/>
        <v>Loading...</v>
      </c>
      <c r="O172" s="455">
        <f t="shared" ref="O172:O174" si="83">M172/J172-1</f>
        <v>0.05099778271</v>
      </c>
      <c r="P172" s="394">
        <f t="shared" si="73"/>
        <v>3450</v>
      </c>
      <c r="Q172" s="115"/>
      <c r="R172" s="115"/>
      <c r="S172" s="127" t="s">
        <v>419</v>
      </c>
      <c r="T172" s="287">
        <v>44959.0</v>
      </c>
      <c r="U172" s="141">
        <v>47.4</v>
      </c>
      <c r="V172" s="133">
        <v>71100.0</v>
      </c>
      <c r="W172" s="456" t="s">
        <v>419</v>
      </c>
      <c r="X172" s="457">
        <v>44952.0</v>
      </c>
      <c r="Y172" s="466">
        <v>45.1</v>
      </c>
      <c r="Z172" s="458">
        <v>67650.0</v>
      </c>
    </row>
    <row r="173">
      <c r="A173" s="114"/>
      <c r="B173" s="115"/>
      <c r="C173" s="116">
        <f>I173/E182</f>
        <v>0</v>
      </c>
      <c r="D173" s="304" t="s">
        <v>417</v>
      </c>
      <c r="E173" s="304" t="s">
        <v>418</v>
      </c>
      <c r="F173" s="359">
        <v>7.3</v>
      </c>
      <c r="G173" s="450">
        <v>2000.0</v>
      </c>
      <c r="H173" s="300">
        <f t="shared" si="69"/>
        <v>85000</v>
      </c>
      <c r="I173" s="133">
        <v>0.0</v>
      </c>
      <c r="J173" s="141">
        <v>42.5</v>
      </c>
      <c r="K173" s="451"/>
      <c r="L173" s="452" t="str">
        <f t="shared" si="70"/>
        <v>Loading...</v>
      </c>
      <c r="M173" s="141">
        <v>44.6</v>
      </c>
      <c r="N173" s="454" t="str">
        <f t="shared" si="71"/>
        <v>Loading...</v>
      </c>
      <c r="O173" s="455">
        <f t="shared" si="83"/>
        <v>0.04941176471</v>
      </c>
      <c r="P173" s="394">
        <f t="shared" si="73"/>
        <v>4200</v>
      </c>
      <c r="Q173" s="115"/>
      <c r="R173" s="115"/>
      <c r="S173" s="127" t="s">
        <v>419</v>
      </c>
      <c r="T173" s="287">
        <v>44951.0</v>
      </c>
      <c r="U173" s="141">
        <v>44.6</v>
      </c>
      <c r="V173" s="133">
        <v>89200.0</v>
      </c>
      <c r="W173" s="456" t="s">
        <v>419</v>
      </c>
      <c r="X173" s="457">
        <v>44942.0</v>
      </c>
      <c r="Y173" s="466">
        <v>42.5</v>
      </c>
      <c r="Z173" s="458">
        <v>85000.0</v>
      </c>
    </row>
    <row r="174">
      <c r="A174" s="114"/>
      <c r="B174" s="115"/>
      <c r="C174" s="116">
        <f>I174/E182</f>
        <v>0</v>
      </c>
      <c r="D174" s="304" t="s">
        <v>417</v>
      </c>
      <c r="E174" s="304" t="s">
        <v>418</v>
      </c>
      <c r="F174" s="359">
        <v>7.3</v>
      </c>
      <c r="G174" s="450">
        <v>3000.0</v>
      </c>
      <c r="H174" s="300">
        <f t="shared" si="69"/>
        <v>109800</v>
      </c>
      <c r="I174" s="133">
        <v>0.0</v>
      </c>
      <c r="J174" s="141">
        <v>36.6</v>
      </c>
      <c r="K174" s="451"/>
      <c r="L174" s="452" t="str">
        <f t="shared" si="70"/>
        <v>Loading...</v>
      </c>
      <c r="M174" s="141">
        <v>43.9</v>
      </c>
      <c r="N174" s="454" t="str">
        <f t="shared" si="71"/>
        <v>Loading...</v>
      </c>
      <c r="O174" s="455">
        <f t="shared" si="83"/>
        <v>0.1994535519</v>
      </c>
      <c r="P174" s="394">
        <f t="shared" si="73"/>
        <v>21900</v>
      </c>
      <c r="Q174" s="115"/>
      <c r="R174" s="115"/>
      <c r="S174" s="127" t="s">
        <v>419</v>
      </c>
      <c r="T174" s="287">
        <v>44944.0</v>
      </c>
      <c r="U174" s="141">
        <v>43.9</v>
      </c>
      <c r="V174" s="133">
        <v>131700.0</v>
      </c>
      <c r="W174" s="456"/>
      <c r="X174" s="457"/>
      <c r="Y174" s="466"/>
      <c r="Z174" s="458"/>
    </row>
    <row r="175">
      <c r="A175" s="351"/>
      <c r="B175" s="352"/>
      <c r="C175" s="352" t="s">
        <v>89</v>
      </c>
      <c r="D175" s="371"/>
      <c r="E175" s="371"/>
      <c r="F175" s="371"/>
      <c r="G175" s="356"/>
      <c r="H175" s="366">
        <f t="shared" ref="H175:I175" si="84">SUM(H123:H174)</f>
        <v>5460680.9</v>
      </c>
      <c r="I175" s="366" t="str">
        <f t="shared" si="84"/>
        <v>Loading...</v>
      </c>
      <c r="J175" s="372"/>
      <c r="K175" s="371"/>
      <c r="L175" s="352"/>
      <c r="M175" s="371"/>
      <c r="N175" s="371"/>
      <c r="O175" s="467">
        <f>G180/D180</f>
        <v>0.6691482695</v>
      </c>
      <c r="P175" s="438">
        <v>565892.0</v>
      </c>
      <c r="Q175" s="371"/>
      <c r="R175" s="371"/>
      <c r="S175" s="352" t="s">
        <v>89</v>
      </c>
      <c r="T175" s="371"/>
      <c r="U175" s="372"/>
      <c r="V175" s="366">
        <f>SUM(V123:V174)</f>
        <v>4828222</v>
      </c>
      <c r="W175" s="352" t="s">
        <v>89</v>
      </c>
      <c r="X175" s="371"/>
      <c r="Y175" s="468"/>
      <c r="Z175" s="366">
        <f>SUM(Z123:Z174)</f>
        <v>4614964</v>
      </c>
    </row>
    <row r="176">
      <c r="A176" s="351" t="s">
        <v>227</v>
      </c>
      <c r="B176" s="352" t="s">
        <v>228</v>
      </c>
      <c r="C176" s="352" t="s">
        <v>229</v>
      </c>
      <c r="D176" s="358" t="s">
        <v>230</v>
      </c>
      <c r="E176" s="358" t="s">
        <v>551</v>
      </c>
      <c r="F176" s="352" t="s">
        <v>14</v>
      </c>
      <c r="G176" s="358" t="s">
        <v>232</v>
      </c>
      <c r="H176" s="352" t="s">
        <v>233</v>
      </c>
      <c r="I176" s="358" t="s">
        <v>422</v>
      </c>
      <c r="J176" s="358" t="s">
        <v>235</v>
      </c>
      <c r="K176" s="352" t="s">
        <v>423</v>
      </c>
      <c r="L176" s="371"/>
      <c r="M176" s="371"/>
      <c r="N176" s="371"/>
      <c r="O176" s="371"/>
      <c r="P176" s="371"/>
      <c r="Q176" s="371"/>
      <c r="R176" s="244"/>
      <c r="S176" s="244"/>
      <c r="T176" s="244"/>
      <c r="U176" s="244"/>
      <c r="V176" s="244"/>
      <c r="W176" s="244"/>
      <c r="X176" s="244"/>
      <c r="Y176" s="244"/>
      <c r="Z176" s="244"/>
    </row>
    <row r="177">
      <c r="A177" s="469" t="s">
        <v>424</v>
      </c>
      <c r="B177" s="116">
        <f>E177/E182</f>
        <v>0.5798372064</v>
      </c>
      <c r="C177" s="300">
        <f>H88+H75+H62+H51+H37+H95</f>
        <v>13517182</v>
      </c>
      <c r="D177" s="470">
        <v>6860327.0</v>
      </c>
      <c r="E177" s="133">
        <v>8184430.0</v>
      </c>
      <c r="F177" s="139">
        <f t="shared" ref="F177:F178" si="85">G177/D177</f>
        <v>0.2207824787</v>
      </c>
      <c r="G177" s="471">
        <v>1514640.0</v>
      </c>
      <c r="H177" s="471">
        <v>53685.0</v>
      </c>
      <c r="I177" s="472">
        <f>R121+R88+R75+R62+R37</f>
        <v>29381</v>
      </c>
      <c r="J177" s="471">
        <v>78640.0</v>
      </c>
      <c r="K177" s="472">
        <f>G177+H177+I177+J177</f>
        <v>1676346</v>
      </c>
      <c r="L177" s="115"/>
      <c r="M177" s="115"/>
      <c r="N177" s="115"/>
      <c r="O177" s="115"/>
      <c r="P177" s="115"/>
      <c r="Q177" s="115"/>
      <c r="R177" s="244"/>
      <c r="S177" s="244"/>
      <c r="T177" s="244"/>
      <c r="U177" s="244"/>
      <c r="V177" s="244"/>
      <c r="W177" s="244"/>
      <c r="X177" s="244"/>
      <c r="Y177" s="244"/>
      <c r="Z177" s="244"/>
    </row>
    <row r="178">
      <c r="A178" s="469" t="s">
        <v>425</v>
      </c>
      <c r="B178" s="116">
        <f>E178/E182</f>
        <v>0.2677493552</v>
      </c>
      <c r="C178" s="300">
        <f>H121</f>
        <v>3649290</v>
      </c>
      <c r="D178" s="133">
        <v>3080660.0</v>
      </c>
      <c r="E178" s="133">
        <v>3779295.0</v>
      </c>
      <c r="F178" s="139">
        <f t="shared" si="85"/>
        <v>0.08117741004</v>
      </c>
      <c r="G178" s="471">
        <v>250080.0</v>
      </c>
      <c r="H178" s="473"/>
      <c r="I178" s="473"/>
      <c r="J178" s="473"/>
      <c r="K178" s="139">
        <f>K177/D177</f>
        <v>0.2443536584</v>
      </c>
      <c r="L178" s="115"/>
      <c r="M178" s="115"/>
      <c r="N178" s="115"/>
      <c r="O178" s="115"/>
      <c r="P178" s="115"/>
      <c r="Q178" s="115"/>
      <c r="R178" s="244"/>
      <c r="S178" s="244"/>
      <c r="T178" s="244"/>
      <c r="U178" s="244"/>
      <c r="V178" s="244"/>
      <c r="W178" s="244"/>
      <c r="X178" s="244"/>
      <c r="Y178" s="244"/>
      <c r="Z178" s="244"/>
    </row>
    <row r="179">
      <c r="A179" s="442" t="s">
        <v>542</v>
      </c>
      <c r="B179" s="116">
        <f>E179/E182</f>
        <v>0.06111208407</v>
      </c>
      <c r="C179" s="300">
        <f>H101</f>
        <v>1277140</v>
      </c>
      <c r="D179" s="133">
        <v>412000.0</v>
      </c>
      <c r="E179" s="133">
        <v>862600.0</v>
      </c>
      <c r="F179" s="139">
        <f>G179/C179</f>
        <v>0.01038257356</v>
      </c>
      <c r="G179" s="471">
        <v>13260.0</v>
      </c>
      <c r="H179" s="474"/>
      <c r="I179" s="474"/>
      <c r="J179" s="474"/>
      <c r="K179" s="474"/>
      <c r="L179" s="115"/>
      <c r="M179" s="115"/>
      <c r="N179" s="115"/>
      <c r="O179" s="115"/>
      <c r="P179" s="115"/>
      <c r="Q179" s="115"/>
      <c r="R179" s="244"/>
      <c r="S179" s="244"/>
      <c r="T179" s="244"/>
      <c r="U179" s="244"/>
      <c r="V179" s="244"/>
      <c r="W179" s="244"/>
      <c r="X179" s="244"/>
      <c r="Y179" s="244"/>
      <c r="Z179" s="244"/>
    </row>
    <row r="180">
      <c r="A180" s="442" t="s">
        <v>240</v>
      </c>
      <c r="B180" s="116">
        <f>E180/E182</f>
        <v>0.08489882571</v>
      </c>
      <c r="C180" s="300">
        <f>H175</f>
        <v>5460680.9</v>
      </c>
      <c r="D180" s="133">
        <v>845690.0</v>
      </c>
      <c r="E180" s="133">
        <v>1198351.0</v>
      </c>
      <c r="F180" s="139">
        <f>O175</f>
        <v>0.6691482695</v>
      </c>
      <c r="G180" s="471">
        <v>565892.0</v>
      </c>
      <c r="H180" s="474"/>
      <c r="I180" s="475"/>
      <c r="J180" s="474"/>
      <c r="K180" s="474"/>
      <c r="L180" s="115"/>
      <c r="M180" s="115"/>
      <c r="N180" s="115"/>
      <c r="O180" s="115"/>
      <c r="P180" s="115"/>
      <c r="Q180" s="115"/>
      <c r="R180" s="244"/>
      <c r="S180" s="244"/>
      <c r="T180" s="244"/>
      <c r="U180" s="244"/>
      <c r="V180" s="244"/>
      <c r="W180" s="244"/>
      <c r="X180" s="244"/>
      <c r="Y180" s="244"/>
      <c r="Z180" s="244"/>
    </row>
    <row r="181">
      <c r="A181" s="442" t="s">
        <v>461</v>
      </c>
      <c r="B181" s="116">
        <f>E181/E182</f>
        <v>0.006402528706</v>
      </c>
      <c r="C181" s="125" t="s">
        <v>128</v>
      </c>
      <c r="D181" s="133">
        <v>403331.0</v>
      </c>
      <c r="E181" s="133">
        <f>D181+V37+V51+V62+V75+V88+V101+V121+V175-Z175-Z121-Z101-Z88-Z75-Z62-Z51-Z37-Z95+H177+I177+J177+V95</f>
        <v>90372</v>
      </c>
      <c r="F181" s="422" t="s">
        <v>128</v>
      </c>
      <c r="G181" s="471">
        <v>161706.0</v>
      </c>
      <c r="H181" s="476" t="s">
        <v>462</v>
      </c>
      <c r="I181" s="476" t="s">
        <v>243</v>
      </c>
      <c r="J181" s="476" t="s">
        <v>244</v>
      </c>
      <c r="K181" s="476" t="s">
        <v>576</v>
      </c>
      <c r="L181" s="115"/>
      <c r="M181" s="115"/>
      <c r="N181" s="115"/>
      <c r="O181" s="115"/>
      <c r="P181" s="115"/>
      <c r="Q181" s="115"/>
      <c r="R181" s="244"/>
      <c r="S181" s="244"/>
      <c r="T181" s="244"/>
      <c r="U181" s="244"/>
      <c r="V181" s="244"/>
      <c r="W181" s="244"/>
      <c r="X181" s="244"/>
      <c r="Y181" s="244"/>
      <c r="Z181" s="244"/>
    </row>
    <row r="182">
      <c r="A182" s="351" t="s">
        <v>246</v>
      </c>
      <c r="B182" s="477">
        <v>1.0</v>
      </c>
      <c r="C182" s="366" t="s">
        <v>128</v>
      </c>
      <c r="D182" s="438">
        <v>1.1602008E7</v>
      </c>
      <c r="E182" s="366">
        <f>SUM(E177:E181)</f>
        <v>14115048</v>
      </c>
      <c r="F182" s="139">
        <f>G182/D182</f>
        <v>0.2166038844</v>
      </c>
      <c r="G182" s="438">
        <v>2513040.0</v>
      </c>
      <c r="H182" s="478">
        <v>1.1602008E7</v>
      </c>
      <c r="I182" s="193">
        <f>E182</f>
        <v>14115048</v>
      </c>
      <c r="J182" s="479">
        <f>I182-H182</f>
        <v>2513040</v>
      </c>
      <c r="K182" s="473">
        <f>J182/H182</f>
        <v>0.2166038844</v>
      </c>
      <c r="L182" s="371"/>
      <c r="M182" s="371"/>
      <c r="N182" s="371"/>
      <c r="O182" s="371"/>
      <c r="P182" s="371"/>
      <c r="Q182" s="371"/>
      <c r="R182" s="244"/>
      <c r="S182" s="244"/>
      <c r="T182" s="244"/>
      <c r="U182" s="244"/>
      <c r="V182" s="244"/>
      <c r="W182" s="244"/>
      <c r="X182" s="244"/>
      <c r="Y182" s="244"/>
      <c r="Z182" s="244"/>
    </row>
    <row r="183">
      <c r="A183" s="480"/>
      <c r="B183" s="480"/>
      <c r="C183" s="480"/>
      <c r="D183" s="480"/>
      <c r="E183" s="480"/>
      <c r="F183" s="480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S183" s="244"/>
      <c r="T183" s="244"/>
      <c r="U183" s="244"/>
      <c r="V183" s="244"/>
      <c r="W183" s="244"/>
      <c r="X183" s="244"/>
      <c r="Y183" s="244"/>
      <c r="Z183" s="244"/>
    </row>
    <row r="184">
      <c r="A184" s="481" t="s">
        <v>248</v>
      </c>
      <c r="B184" s="482"/>
      <c r="C184" s="483" t="s">
        <v>523</v>
      </c>
      <c r="D184" s="483" t="s">
        <v>577</v>
      </c>
      <c r="E184" s="484" t="s">
        <v>15</v>
      </c>
      <c r="F184" s="484" t="s">
        <v>578</v>
      </c>
      <c r="G184" s="244"/>
      <c r="H184" s="242" t="s">
        <v>278</v>
      </c>
      <c r="I184" s="243" t="s">
        <v>555</v>
      </c>
      <c r="J184" s="244"/>
      <c r="K184" s="244"/>
      <c r="L184" s="244"/>
      <c r="M184" s="244"/>
      <c r="N184" s="244"/>
      <c r="O184" s="244"/>
      <c r="P184" s="244"/>
      <c r="Q184" s="244"/>
      <c r="R184" s="244"/>
      <c r="S184" s="244"/>
      <c r="T184" s="244"/>
      <c r="U184" s="244"/>
      <c r="V184" s="244"/>
      <c r="W184" s="244"/>
      <c r="X184" s="244"/>
      <c r="Y184" s="244"/>
      <c r="Z184" s="244"/>
    </row>
    <row r="185">
      <c r="A185" s="442" t="s">
        <v>265</v>
      </c>
      <c r="B185" s="304" t="s">
        <v>266</v>
      </c>
      <c r="C185" s="485">
        <v>33147.0</v>
      </c>
      <c r="D185" s="485">
        <v>33274.0</v>
      </c>
      <c r="E185" s="486">
        <f t="shared" ref="E185:E189" si="86">D185-C185</f>
        <v>127</v>
      </c>
      <c r="F185" s="487">
        <f t="shared" ref="F185:F189" si="87">D185/C185-1</f>
        <v>0.003831417625</v>
      </c>
      <c r="G185" s="244"/>
      <c r="H185" s="242" t="s">
        <v>280</v>
      </c>
      <c r="I185" s="243" t="s">
        <v>281</v>
      </c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244"/>
    </row>
    <row r="186">
      <c r="A186" s="442" t="s">
        <v>267</v>
      </c>
      <c r="B186" s="304" t="s">
        <v>268</v>
      </c>
      <c r="C186" s="485">
        <v>3840.0</v>
      </c>
      <c r="D186" s="485">
        <v>4109.0</v>
      </c>
      <c r="E186" s="486">
        <f t="shared" si="86"/>
        <v>269</v>
      </c>
      <c r="F186" s="487">
        <f t="shared" si="87"/>
        <v>0.07005208333</v>
      </c>
      <c r="G186" s="244"/>
      <c r="H186" s="242" t="s">
        <v>579</v>
      </c>
      <c r="I186" s="246" t="s">
        <v>283</v>
      </c>
      <c r="J186" s="244"/>
      <c r="K186" s="244"/>
      <c r="L186" s="244"/>
      <c r="M186" s="244"/>
      <c r="N186" s="244"/>
      <c r="O186" s="244"/>
      <c r="P186" s="244"/>
      <c r="Q186" s="244"/>
      <c r="R186" s="244"/>
      <c r="S186" s="244"/>
      <c r="T186" s="244"/>
      <c r="U186" s="244"/>
      <c r="V186" s="244"/>
      <c r="W186" s="244"/>
      <c r="X186" s="244"/>
      <c r="Y186" s="244"/>
      <c r="Z186" s="244"/>
    </row>
    <row r="187">
      <c r="A187" s="442" t="s">
        <v>269</v>
      </c>
      <c r="B187" s="304" t="s">
        <v>270</v>
      </c>
      <c r="C187" s="485">
        <v>10466.0</v>
      </c>
      <c r="D187" s="485">
        <v>12222.0</v>
      </c>
      <c r="E187" s="486">
        <f t="shared" si="86"/>
        <v>1756</v>
      </c>
      <c r="F187" s="487">
        <f t="shared" si="87"/>
        <v>0.1677813873</v>
      </c>
      <c r="G187" s="244"/>
      <c r="H187" s="488"/>
      <c r="I187" s="244"/>
      <c r="J187" s="489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244"/>
    </row>
    <row r="188">
      <c r="A188" s="442" t="s">
        <v>271</v>
      </c>
      <c r="B188" s="304" t="s">
        <v>272</v>
      </c>
      <c r="C188" s="485">
        <v>1761.0</v>
      </c>
      <c r="D188" s="485">
        <v>1802.0</v>
      </c>
      <c r="E188" s="486">
        <f t="shared" si="86"/>
        <v>41</v>
      </c>
      <c r="F188" s="487">
        <f t="shared" si="87"/>
        <v>0.02328222601</v>
      </c>
      <c r="G188" s="244"/>
      <c r="H188" s="244"/>
      <c r="I188" s="244"/>
      <c r="J188" s="489"/>
      <c r="K188" s="244"/>
      <c r="L188" s="489"/>
      <c r="M188" s="244"/>
      <c r="N188" s="244"/>
      <c r="O188" s="244"/>
      <c r="P188" s="244"/>
      <c r="Q188" s="244"/>
      <c r="R188" s="244"/>
      <c r="S188" s="244"/>
      <c r="T188" s="244"/>
      <c r="U188" s="244"/>
      <c r="V188" s="244"/>
      <c r="W188" s="244"/>
      <c r="X188" s="244"/>
      <c r="Y188" s="244"/>
      <c r="Z188" s="244"/>
    </row>
    <row r="189">
      <c r="A189" s="442" t="s">
        <v>273</v>
      </c>
      <c r="B189" s="304" t="s">
        <v>274</v>
      </c>
      <c r="C189" s="485">
        <v>15184.0</v>
      </c>
      <c r="D189" s="485">
        <v>15375.0</v>
      </c>
      <c r="E189" s="486">
        <f t="shared" si="86"/>
        <v>191</v>
      </c>
      <c r="F189" s="487">
        <f t="shared" si="87"/>
        <v>0.01257903056</v>
      </c>
      <c r="G189" s="244"/>
      <c r="H189" s="244"/>
      <c r="I189" s="244"/>
      <c r="J189" s="489"/>
      <c r="K189" s="244"/>
      <c r="L189" s="244"/>
      <c r="M189" s="244"/>
      <c r="N189" s="244"/>
      <c r="O189" s="244"/>
      <c r="P189" s="244"/>
      <c r="Q189" s="244"/>
      <c r="R189" s="244"/>
      <c r="S189" s="244"/>
      <c r="T189" s="244"/>
      <c r="U189" s="244"/>
      <c r="V189" s="244"/>
      <c r="W189" s="244"/>
      <c r="X189" s="244"/>
      <c r="Y189" s="244"/>
      <c r="Z189" s="244"/>
    </row>
    <row r="192">
      <c r="E192" s="490"/>
    </row>
  </sheetData>
  <hyperlinks>
    <hyperlink r:id="rId1" ref="I184"/>
    <hyperlink r:id="rId2" ref="I185"/>
    <hyperlink r:id="rId3" ref="I186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13"/>
    <col customWidth="1" min="3" max="3" width="19.88"/>
    <col customWidth="1" min="4" max="4" width="20.13"/>
    <col customWidth="1" min="5" max="5" width="24.13"/>
    <col customWidth="1" min="6" max="6" width="10.63"/>
    <col customWidth="1" min="7" max="7" width="11.38"/>
    <col customWidth="1" min="8" max="8" width="22.63"/>
    <col customWidth="1" min="9" max="9" width="23.75"/>
    <col customWidth="1" min="10" max="10" width="16.5"/>
    <col customWidth="1" min="11" max="11" width="18.13"/>
    <col customWidth="1" min="12" max="12" width="11.25"/>
    <col customWidth="1" min="13" max="13" width="8.63"/>
    <col customWidth="1" min="14" max="14" width="11.13"/>
    <col customWidth="1" min="15" max="15" width="10.63"/>
    <col customWidth="1" min="16" max="16" width="8.88"/>
    <col customWidth="1" min="17" max="17" width="7.75"/>
    <col customWidth="1" min="19" max="19" width="13.25"/>
    <col customWidth="1" min="23" max="23" width="13.0"/>
    <col customWidth="1" min="24" max="24" width="9.75"/>
    <col customWidth="1" min="25" max="25" width="10.25"/>
  </cols>
  <sheetData>
    <row r="1">
      <c r="A1" s="82" t="s">
        <v>557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>
      <c r="A2" s="351" t="s">
        <v>374</v>
      </c>
      <c r="B2" s="352" t="s">
        <v>435</v>
      </c>
      <c r="C2" s="352" t="s">
        <v>2</v>
      </c>
      <c r="D2" s="352" t="s">
        <v>3</v>
      </c>
      <c r="E2" s="352" t="s">
        <v>4</v>
      </c>
      <c r="F2" s="352" t="s">
        <v>5</v>
      </c>
      <c r="G2" s="352" t="s">
        <v>6</v>
      </c>
      <c r="H2" s="352" t="s">
        <v>7</v>
      </c>
      <c r="I2" s="353" t="s">
        <v>8</v>
      </c>
      <c r="J2" s="353" t="s">
        <v>9</v>
      </c>
      <c r="K2" s="354" t="s">
        <v>10</v>
      </c>
      <c r="L2" s="354" t="s">
        <v>11</v>
      </c>
      <c r="M2" s="355" t="s">
        <v>476</v>
      </c>
      <c r="N2" s="355" t="s">
        <v>13</v>
      </c>
      <c r="O2" s="352" t="s">
        <v>14</v>
      </c>
      <c r="P2" s="355" t="s">
        <v>15</v>
      </c>
      <c r="Q2" s="352" t="s">
        <v>16</v>
      </c>
      <c r="R2" s="356" t="s">
        <v>17</v>
      </c>
      <c r="S2" s="352" t="s">
        <v>21</v>
      </c>
      <c r="T2" s="352" t="s">
        <v>22</v>
      </c>
      <c r="U2" s="357" t="s">
        <v>23</v>
      </c>
      <c r="V2" s="357" t="s">
        <v>24</v>
      </c>
      <c r="W2" s="352" t="s">
        <v>25</v>
      </c>
      <c r="X2" s="352" t="s">
        <v>26</v>
      </c>
      <c r="Y2" s="352" t="s">
        <v>27</v>
      </c>
      <c r="Z2" s="358" t="s">
        <v>28</v>
      </c>
    </row>
    <row r="3">
      <c r="A3" s="351" t="s">
        <v>29</v>
      </c>
      <c r="B3" s="352" t="s">
        <v>29</v>
      </c>
      <c r="C3" s="116">
        <f>I3/E190</f>
        <v>0.0265733311</v>
      </c>
      <c r="D3" s="304" t="s">
        <v>30</v>
      </c>
      <c r="E3" s="304" t="s">
        <v>31</v>
      </c>
      <c r="F3" s="359">
        <v>7.6</v>
      </c>
      <c r="G3" s="119">
        <v>1600.0</v>
      </c>
      <c r="H3" s="300">
        <f t="shared" ref="H3:H41" si="1">G3*J3</f>
        <v>153840</v>
      </c>
      <c r="I3" s="300">
        <f t="shared" ref="I3:I5" si="2">H3+P3</f>
        <v>308304</v>
      </c>
      <c r="J3" s="141">
        <v>96.15</v>
      </c>
      <c r="K3" s="121">
        <f>IFERROR(__xludf.DUMMYFUNCTION("GOOGLEFINANCE(E3,""changepct"")"),-0.7)</f>
        <v>-0.7</v>
      </c>
      <c r="L3" s="302">
        <f>IFERROR(__xludf.DUMMYFUNCTION("googlefinance(E3,""price"")"),192.69)</f>
        <v>192.69</v>
      </c>
      <c r="M3" s="126"/>
      <c r="N3" s="301">
        <f t="shared" ref="N3:N41" si="3">L3-J3</f>
        <v>96.54</v>
      </c>
      <c r="O3" s="139">
        <f t="shared" ref="O3:O5" si="4">L3/J3-1</f>
        <v>1.004056162</v>
      </c>
      <c r="P3" s="300">
        <f t="shared" ref="P3:P41" si="5">H3*O3</f>
        <v>154464</v>
      </c>
      <c r="Q3" s="124"/>
      <c r="R3" s="125"/>
      <c r="S3" s="360"/>
      <c r="T3" s="298"/>
      <c r="U3" s="126"/>
      <c r="V3" s="125"/>
      <c r="W3" s="360"/>
      <c r="X3" s="115"/>
      <c r="Y3" s="126"/>
      <c r="Z3" s="129"/>
    </row>
    <row r="4">
      <c r="A4" s="361">
        <f>B185</f>
        <v>0.555324992</v>
      </c>
      <c r="B4" s="362">
        <f>I42/E190</f>
        <v>0.790227433</v>
      </c>
      <c r="C4" s="116">
        <f>I4/E190</f>
        <v>0.06115217297</v>
      </c>
      <c r="D4" s="286" t="s">
        <v>58</v>
      </c>
      <c r="E4" s="304" t="s">
        <v>59</v>
      </c>
      <c r="F4" s="359">
        <v>7.5</v>
      </c>
      <c r="G4" s="119">
        <v>1200.0</v>
      </c>
      <c r="H4" s="300">
        <f t="shared" si="1"/>
        <v>163056</v>
      </c>
      <c r="I4" s="300">
        <f t="shared" si="2"/>
        <v>709488</v>
      </c>
      <c r="J4" s="141">
        <v>135.88</v>
      </c>
      <c r="K4" s="121">
        <f>IFERROR(__xludf.DUMMYFUNCTION("GOOGLEFINANCE(E4,""changepct"")"),-1.43)</f>
        <v>-1.43</v>
      </c>
      <c r="L4" s="302">
        <f>IFERROR(__xludf.DUMMYFUNCTION("googlefinance(E4,""price"")"),591.24)</f>
        <v>591.24</v>
      </c>
      <c r="M4" s="126"/>
      <c r="N4" s="301">
        <f t="shared" si="3"/>
        <v>455.36</v>
      </c>
      <c r="O4" s="139">
        <f t="shared" si="4"/>
        <v>3.351192228</v>
      </c>
      <c r="P4" s="300">
        <f t="shared" si="5"/>
        <v>546432</v>
      </c>
      <c r="Q4" s="124"/>
      <c r="R4" s="125"/>
      <c r="S4" s="360"/>
      <c r="T4" s="115"/>
      <c r="U4" s="126"/>
      <c r="V4" s="125"/>
      <c r="W4" s="360"/>
      <c r="X4" s="115"/>
      <c r="Y4" s="126"/>
      <c r="Z4" s="125"/>
    </row>
    <row r="5">
      <c r="A5" s="114"/>
      <c r="B5" s="115"/>
      <c r="C5" s="116">
        <f>I5/E190</f>
        <v>0.04076811531</v>
      </c>
      <c r="D5" s="286" t="s">
        <v>58</v>
      </c>
      <c r="E5" s="304" t="s">
        <v>59</v>
      </c>
      <c r="F5" s="359">
        <v>7.5</v>
      </c>
      <c r="G5" s="119">
        <v>800.0</v>
      </c>
      <c r="H5" s="300">
        <f t="shared" si="1"/>
        <v>100808</v>
      </c>
      <c r="I5" s="300">
        <f t="shared" si="2"/>
        <v>472992</v>
      </c>
      <c r="J5" s="141">
        <v>126.01</v>
      </c>
      <c r="K5" s="121">
        <f>IFERROR(__xludf.DUMMYFUNCTION("GOOGLEFINANCE(E5,""changepct"")"),-1.43)</f>
        <v>-1.43</v>
      </c>
      <c r="L5" s="302">
        <f>IFERROR(__xludf.DUMMYFUNCTION("googlefinance(E5,""price"")"),591.24)</f>
        <v>591.24</v>
      </c>
      <c r="M5" s="301"/>
      <c r="N5" s="301">
        <f t="shared" si="3"/>
        <v>465.23</v>
      </c>
      <c r="O5" s="139">
        <f t="shared" si="4"/>
        <v>3.692008571</v>
      </c>
      <c r="P5" s="300">
        <f t="shared" si="5"/>
        <v>372184</v>
      </c>
      <c r="Q5" s="124"/>
      <c r="R5" s="125"/>
      <c r="S5" s="360"/>
      <c r="T5" s="305"/>
      <c r="U5" s="441"/>
      <c r="V5" s="300"/>
      <c r="W5" s="127" t="s">
        <v>580</v>
      </c>
      <c r="X5" s="287">
        <v>44847.0</v>
      </c>
      <c r="Y5" s="141">
        <v>126.01</v>
      </c>
      <c r="Z5" s="133">
        <v>100808.0</v>
      </c>
    </row>
    <row r="6">
      <c r="A6" s="114"/>
      <c r="B6" s="115"/>
      <c r="C6" s="116">
        <f>I6/E190</f>
        <v>0</v>
      </c>
      <c r="D6" s="286" t="s">
        <v>58</v>
      </c>
      <c r="E6" s="304" t="s">
        <v>59</v>
      </c>
      <c r="F6" s="359">
        <v>7.5</v>
      </c>
      <c r="G6" s="119">
        <v>1500.0</v>
      </c>
      <c r="H6" s="300">
        <f t="shared" si="1"/>
        <v>146325</v>
      </c>
      <c r="I6" s="133">
        <v>0.0</v>
      </c>
      <c r="J6" s="141">
        <v>97.55</v>
      </c>
      <c r="K6" s="121">
        <f>IFERROR(__xludf.DUMMYFUNCTION("GOOGLEFINANCE(E6,""changepct"")"),-1.43)</f>
        <v>-1.43</v>
      </c>
      <c r="L6" s="302">
        <f>IFERROR(__xludf.DUMMYFUNCTION("googlefinance(E6,""price"")"),591.24)</f>
        <v>591.24</v>
      </c>
      <c r="M6" s="141">
        <v>114.3</v>
      </c>
      <c r="N6" s="301">
        <f t="shared" si="3"/>
        <v>493.69</v>
      </c>
      <c r="O6" s="139">
        <f>M6/J6-1</f>
        <v>0.171706817</v>
      </c>
      <c r="P6" s="300">
        <f t="shared" si="5"/>
        <v>25125</v>
      </c>
      <c r="Q6" s="124"/>
      <c r="R6" s="125"/>
      <c r="S6" s="127" t="s">
        <v>59</v>
      </c>
      <c r="T6" s="287">
        <v>44881.0</v>
      </c>
      <c r="U6" s="120">
        <v>114.3</v>
      </c>
      <c r="V6" s="133">
        <v>171450.0</v>
      </c>
      <c r="W6" s="127" t="s">
        <v>580</v>
      </c>
      <c r="X6" s="287">
        <v>44862.0</v>
      </c>
      <c r="Y6" s="141">
        <v>97.55</v>
      </c>
      <c r="Z6" s="133">
        <v>146325.0</v>
      </c>
    </row>
    <row r="7">
      <c r="A7" s="114"/>
      <c r="B7" s="115"/>
      <c r="C7" s="116">
        <f>I7/E190</f>
        <v>0.02325166471</v>
      </c>
      <c r="D7" s="304" t="s">
        <v>30</v>
      </c>
      <c r="E7" s="304" t="s">
        <v>31</v>
      </c>
      <c r="F7" s="359">
        <v>7.6</v>
      </c>
      <c r="G7" s="119">
        <v>1400.0</v>
      </c>
      <c r="H7" s="300">
        <f t="shared" si="1"/>
        <v>133756</v>
      </c>
      <c r="I7" s="133">
        <f t="shared" ref="I7:I8" si="6">H7+P7</f>
        <v>269766</v>
      </c>
      <c r="J7" s="141">
        <v>95.54</v>
      </c>
      <c r="K7" s="121">
        <f>IFERROR(__xludf.DUMMYFUNCTION("GOOGLEFINANCE(E7,""changepct"")"),-0.7)</f>
        <v>-0.7</v>
      </c>
      <c r="L7" s="302">
        <f>IFERROR(__xludf.DUMMYFUNCTION("googlefinance(E7,""price"")"),192.69)</f>
        <v>192.69</v>
      </c>
      <c r="M7" s="141"/>
      <c r="N7" s="301">
        <f t="shared" si="3"/>
        <v>97.15</v>
      </c>
      <c r="O7" s="139">
        <f t="shared" ref="O7:O8" si="7">L7/J7-1</f>
        <v>1.01685158</v>
      </c>
      <c r="P7" s="300">
        <f t="shared" si="5"/>
        <v>136010</v>
      </c>
      <c r="Q7" s="124"/>
      <c r="R7" s="125"/>
      <c r="S7" s="127"/>
      <c r="T7" s="287"/>
      <c r="U7" s="120"/>
      <c r="V7" s="133"/>
      <c r="W7" s="127" t="s">
        <v>31</v>
      </c>
      <c r="X7" s="287">
        <v>44894.0</v>
      </c>
      <c r="Y7" s="120">
        <v>95.54</v>
      </c>
      <c r="Z7" s="133">
        <v>133756.0</v>
      </c>
    </row>
    <row r="8">
      <c r="A8" s="114"/>
      <c r="B8" s="115"/>
      <c r="C8" s="116">
        <f>I8/E190</f>
        <v>0.01885018524</v>
      </c>
      <c r="D8" s="284" t="s">
        <v>298</v>
      </c>
      <c r="E8" s="284" t="s">
        <v>299</v>
      </c>
      <c r="F8" s="118">
        <v>7.5</v>
      </c>
      <c r="G8" s="119">
        <v>2500.0</v>
      </c>
      <c r="H8" s="300">
        <f t="shared" si="1"/>
        <v>157750</v>
      </c>
      <c r="I8" s="133">
        <f t="shared" si="6"/>
        <v>218700</v>
      </c>
      <c r="J8" s="141">
        <v>63.1</v>
      </c>
      <c r="K8" s="121">
        <f>IFERROR(__xludf.DUMMYFUNCTION("GOOGLEFINANCE(E8,""changepct"")"),-1.67)</f>
        <v>-1.67</v>
      </c>
      <c r="L8" s="302">
        <f>IFERROR(__xludf.DUMMYFUNCTION("googlefinance(E8,""price"")"),87.48)</f>
        <v>87.48</v>
      </c>
      <c r="M8" s="141"/>
      <c r="N8" s="301">
        <f t="shared" si="3"/>
        <v>24.38</v>
      </c>
      <c r="O8" s="139">
        <f t="shared" si="7"/>
        <v>0.3863708399</v>
      </c>
      <c r="P8" s="300">
        <f t="shared" si="5"/>
        <v>60950</v>
      </c>
      <c r="Q8" s="124"/>
      <c r="R8" s="125"/>
      <c r="S8" s="127"/>
      <c r="T8" s="287"/>
      <c r="U8" s="120"/>
      <c r="V8" s="133"/>
      <c r="W8" s="127" t="s">
        <v>299</v>
      </c>
      <c r="X8" s="287">
        <v>44888.0</v>
      </c>
      <c r="Y8" s="120">
        <v>63.1</v>
      </c>
      <c r="Z8" s="133">
        <v>157750.0</v>
      </c>
    </row>
    <row r="9">
      <c r="A9" s="114"/>
      <c r="B9" s="115"/>
      <c r="C9" s="116">
        <f>I9/E190</f>
        <v>0</v>
      </c>
      <c r="D9" s="284" t="s">
        <v>298</v>
      </c>
      <c r="E9" s="284" t="s">
        <v>299</v>
      </c>
      <c r="F9" s="118">
        <v>7.5</v>
      </c>
      <c r="G9" s="119">
        <v>2000.0</v>
      </c>
      <c r="H9" s="300">
        <f t="shared" si="1"/>
        <v>107880</v>
      </c>
      <c r="I9" s="133">
        <v>0.0</v>
      </c>
      <c r="J9" s="141">
        <v>53.94</v>
      </c>
      <c r="K9" s="121">
        <f>IFERROR(__xludf.DUMMYFUNCTION("GOOGLEFINANCE(E9,""changepct"")"),-1.67)</f>
        <v>-1.67</v>
      </c>
      <c r="L9" s="302">
        <f>IFERROR(__xludf.DUMMYFUNCTION("googlefinance(E9,""price"")"),87.48)</f>
        <v>87.48</v>
      </c>
      <c r="M9" s="141">
        <v>60.97</v>
      </c>
      <c r="N9" s="301">
        <f t="shared" si="3"/>
        <v>33.54</v>
      </c>
      <c r="O9" s="139">
        <f t="shared" ref="O9:O10" si="8">M9/J9-1</f>
        <v>0.1303299963</v>
      </c>
      <c r="P9" s="300">
        <f t="shared" si="5"/>
        <v>14060</v>
      </c>
      <c r="Q9" s="124"/>
      <c r="R9" s="125"/>
      <c r="S9" s="127" t="s">
        <v>299</v>
      </c>
      <c r="T9" s="287">
        <v>44869.0</v>
      </c>
      <c r="U9" s="120">
        <v>60.97</v>
      </c>
      <c r="V9" s="133">
        <v>121940.0</v>
      </c>
      <c r="W9" s="360"/>
      <c r="X9" s="305"/>
      <c r="Y9" s="301"/>
      <c r="Z9" s="300"/>
    </row>
    <row r="10">
      <c r="A10" s="114"/>
      <c r="B10" s="115"/>
      <c r="C10" s="116">
        <f>I10/E190</f>
        <v>0</v>
      </c>
      <c r="D10" s="284" t="s">
        <v>298</v>
      </c>
      <c r="E10" s="284" t="s">
        <v>299</v>
      </c>
      <c r="F10" s="118">
        <v>7.5</v>
      </c>
      <c r="G10" s="119">
        <v>1500.0</v>
      </c>
      <c r="H10" s="300">
        <f t="shared" si="1"/>
        <v>80640</v>
      </c>
      <c r="I10" s="133">
        <v>0.0</v>
      </c>
      <c r="J10" s="141">
        <v>53.76</v>
      </c>
      <c r="K10" s="121">
        <f>IFERROR(__xludf.DUMMYFUNCTION("GOOGLEFINANCE(E10,""changepct"")"),-1.67)</f>
        <v>-1.67</v>
      </c>
      <c r="L10" s="302">
        <f>IFERROR(__xludf.DUMMYFUNCTION("googlefinance(E10,""price"")"),87.48)</f>
        <v>87.48</v>
      </c>
      <c r="M10" s="123">
        <v>56.09</v>
      </c>
      <c r="N10" s="301">
        <f t="shared" si="3"/>
        <v>33.72</v>
      </c>
      <c r="O10" s="139">
        <f t="shared" si="8"/>
        <v>0.04334077381</v>
      </c>
      <c r="P10" s="300">
        <f t="shared" si="5"/>
        <v>3495</v>
      </c>
      <c r="Q10" s="124"/>
      <c r="R10" s="125"/>
      <c r="S10" s="127" t="s">
        <v>299</v>
      </c>
      <c r="T10" s="128">
        <v>44867.0</v>
      </c>
      <c r="U10" s="123">
        <v>56.09</v>
      </c>
      <c r="V10" s="129">
        <v>81960.0</v>
      </c>
      <c r="W10" s="127" t="s">
        <v>299</v>
      </c>
      <c r="X10" s="287">
        <v>44847.0</v>
      </c>
      <c r="Y10" s="141">
        <v>53.76</v>
      </c>
      <c r="Z10" s="133">
        <v>80640.0</v>
      </c>
    </row>
    <row r="11">
      <c r="A11" s="114"/>
      <c r="B11" s="115"/>
      <c r="C11" s="116">
        <f>I11/E190</f>
        <v>0.03597739288</v>
      </c>
      <c r="D11" s="286" t="s">
        <v>37</v>
      </c>
      <c r="E11" s="286" t="s">
        <v>36</v>
      </c>
      <c r="F11" s="359">
        <v>7.8</v>
      </c>
      <c r="G11" s="119">
        <v>1000.0</v>
      </c>
      <c r="H11" s="300">
        <f t="shared" si="1"/>
        <v>137570</v>
      </c>
      <c r="I11" s="300">
        <f t="shared" ref="I11:I16" si="9">H11+P11</f>
        <v>417410</v>
      </c>
      <c r="J11" s="141">
        <v>137.57</v>
      </c>
      <c r="K11" s="121">
        <f>IFERROR(__xludf.DUMMYFUNCTION("GOOGLEFINANCE(E11,""changepct"")"),-3.3)</f>
        <v>-3.3</v>
      </c>
      <c r="L11" s="302">
        <f>IFERROR(__xludf.DUMMYFUNCTION("googlefinance(E11,""price"")"),417.41)</f>
        <v>417.41</v>
      </c>
      <c r="M11" s="126"/>
      <c r="N11" s="301">
        <f t="shared" si="3"/>
        <v>279.84</v>
      </c>
      <c r="O11" s="139">
        <f t="shared" ref="O11:O16" si="10">L11/J11-1</f>
        <v>2.034164425</v>
      </c>
      <c r="P11" s="300">
        <f t="shared" si="5"/>
        <v>279840</v>
      </c>
      <c r="Q11" s="124"/>
      <c r="R11" s="125"/>
      <c r="S11" s="360"/>
      <c r="T11" s="298"/>
      <c r="U11" s="126"/>
      <c r="V11" s="125"/>
      <c r="W11" s="127" t="s">
        <v>36</v>
      </c>
      <c r="X11" s="287">
        <v>44917.0</v>
      </c>
      <c r="Y11" s="141">
        <v>137.57</v>
      </c>
      <c r="Z11" s="133">
        <v>137570.0</v>
      </c>
    </row>
    <row r="12">
      <c r="A12" s="114"/>
      <c r="B12" s="115"/>
      <c r="C12" s="116">
        <f>I12/E190</f>
        <v>0.03597739288</v>
      </c>
      <c r="D12" s="286" t="s">
        <v>37</v>
      </c>
      <c r="E12" s="286" t="s">
        <v>36</v>
      </c>
      <c r="F12" s="359">
        <v>7.8</v>
      </c>
      <c r="G12" s="119">
        <v>1000.0</v>
      </c>
      <c r="H12" s="300">
        <f t="shared" si="1"/>
        <v>183830</v>
      </c>
      <c r="I12" s="300">
        <f t="shared" si="9"/>
        <v>417410</v>
      </c>
      <c r="J12" s="141">
        <v>183.83</v>
      </c>
      <c r="K12" s="121">
        <f>IFERROR(__xludf.DUMMYFUNCTION("GOOGLEFINANCE(E12,""changepct"")"),-3.3)</f>
        <v>-3.3</v>
      </c>
      <c r="L12" s="302">
        <f>IFERROR(__xludf.DUMMYFUNCTION("googlefinance(E12,""price"")"),417.41)</f>
        <v>417.41</v>
      </c>
      <c r="M12" s="126"/>
      <c r="N12" s="301">
        <f t="shared" si="3"/>
        <v>233.58</v>
      </c>
      <c r="O12" s="139">
        <f t="shared" si="10"/>
        <v>1.270630474</v>
      </c>
      <c r="P12" s="300">
        <f t="shared" si="5"/>
        <v>233580</v>
      </c>
      <c r="Q12" s="124"/>
      <c r="R12" s="125"/>
      <c r="S12" s="360"/>
      <c r="T12" s="298"/>
      <c r="U12" s="126"/>
      <c r="V12" s="125"/>
      <c r="W12" s="127" t="s">
        <v>36</v>
      </c>
      <c r="X12" s="287">
        <v>44876.0</v>
      </c>
      <c r="Y12" s="141">
        <v>183.83</v>
      </c>
      <c r="Z12" s="133">
        <v>183830.0</v>
      </c>
    </row>
    <row r="13">
      <c r="A13" s="114"/>
      <c r="B13" s="115"/>
      <c r="C13" s="116">
        <f>I13/E190</f>
        <v>0.003258056709</v>
      </c>
      <c r="D13" s="304" t="s">
        <v>479</v>
      </c>
      <c r="E13" s="304" t="s">
        <v>480</v>
      </c>
      <c r="F13" s="359">
        <v>7.3</v>
      </c>
      <c r="G13" s="119">
        <v>12000.0</v>
      </c>
      <c r="H13" s="300">
        <f t="shared" si="1"/>
        <v>118440</v>
      </c>
      <c r="I13" s="300">
        <f t="shared" si="9"/>
        <v>37800</v>
      </c>
      <c r="J13" s="141">
        <v>9.87</v>
      </c>
      <c r="K13" s="121">
        <f>IFERROR(__xludf.DUMMYFUNCTION("GOOGLEFINANCE(E13,""changepct"")"),-1.56)</f>
        <v>-1.56</v>
      </c>
      <c r="L13" s="302">
        <f>IFERROR(__xludf.DUMMYFUNCTION("googlefinance(E13,""price"")"),3.15)</f>
        <v>3.15</v>
      </c>
      <c r="M13" s="126"/>
      <c r="N13" s="301">
        <f t="shared" si="3"/>
        <v>-6.72</v>
      </c>
      <c r="O13" s="139">
        <f t="shared" si="10"/>
        <v>-0.6808510638</v>
      </c>
      <c r="P13" s="300">
        <f t="shared" si="5"/>
        <v>-80640</v>
      </c>
      <c r="Q13" s="124"/>
      <c r="R13" s="125"/>
      <c r="S13" s="360"/>
      <c r="T13" s="298"/>
      <c r="U13" s="126"/>
      <c r="V13" s="125"/>
      <c r="W13" s="127" t="s">
        <v>480</v>
      </c>
      <c r="X13" s="287">
        <v>44894.0</v>
      </c>
      <c r="Y13" s="141">
        <v>9.87</v>
      </c>
      <c r="Z13" s="133">
        <v>118440.0</v>
      </c>
    </row>
    <row r="14">
      <c r="A14" s="114"/>
      <c r="B14" s="115"/>
      <c r="C14" s="116">
        <f>I14/E190</f>
        <v>0.002172037806</v>
      </c>
      <c r="D14" s="304" t="s">
        <v>479</v>
      </c>
      <c r="E14" s="304" t="s">
        <v>480</v>
      </c>
      <c r="F14" s="359">
        <v>7.3</v>
      </c>
      <c r="G14" s="119">
        <v>8000.0</v>
      </c>
      <c r="H14" s="300">
        <f t="shared" si="1"/>
        <v>111760</v>
      </c>
      <c r="I14" s="300">
        <f t="shared" si="9"/>
        <v>25200</v>
      </c>
      <c r="J14" s="141">
        <v>13.97</v>
      </c>
      <c r="K14" s="121">
        <f>IFERROR(__xludf.DUMMYFUNCTION("GOOGLEFINANCE(E14,""changepct"")"),-1.56)</f>
        <v>-1.56</v>
      </c>
      <c r="L14" s="302">
        <f>IFERROR(__xludf.DUMMYFUNCTION("googlefinance(E14,""price"")"),3.15)</f>
        <v>3.15</v>
      </c>
      <c r="M14" s="126"/>
      <c r="N14" s="301">
        <f t="shared" si="3"/>
        <v>-10.82</v>
      </c>
      <c r="O14" s="139">
        <f t="shared" si="10"/>
        <v>-0.7745168218</v>
      </c>
      <c r="P14" s="300">
        <f t="shared" si="5"/>
        <v>-86560</v>
      </c>
      <c r="Q14" s="124"/>
      <c r="R14" s="125"/>
      <c r="S14" s="360"/>
      <c r="T14" s="298"/>
      <c r="U14" s="126"/>
      <c r="V14" s="125"/>
      <c r="W14" s="360"/>
      <c r="X14" s="305"/>
      <c r="Y14" s="301"/>
      <c r="Z14" s="300"/>
    </row>
    <row r="15">
      <c r="A15" s="114"/>
      <c r="B15" s="115"/>
      <c r="C15" s="116">
        <f>I16/E190</f>
        <v>0.02110669119</v>
      </c>
      <c r="D15" s="304" t="s">
        <v>558</v>
      </c>
      <c r="E15" s="304" t="s">
        <v>40</v>
      </c>
      <c r="F15" s="359">
        <v>7.7</v>
      </c>
      <c r="G15" s="119">
        <v>2000.0</v>
      </c>
      <c r="H15" s="300">
        <f t="shared" si="1"/>
        <v>132920</v>
      </c>
      <c r="I15" s="300">
        <f t="shared" si="9"/>
        <v>244880</v>
      </c>
      <c r="J15" s="141">
        <v>66.46</v>
      </c>
      <c r="K15" s="121">
        <f>IFERROR(__xludf.DUMMYFUNCTION("GOOGLEFINANCE(E15,""changepct"")"),-2.2)</f>
        <v>-2.2</v>
      </c>
      <c r="L15" s="302">
        <f>IFERROR(__xludf.DUMMYFUNCTION("googlefinance(E15,""price"")"),122.44)</f>
        <v>122.44</v>
      </c>
      <c r="M15" s="126"/>
      <c r="N15" s="301">
        <f t="shared" si="3"/>
        <v>55.98</v>
      </c>
      <c r="O15" s="139">
        <f t="shared" si="10"/>
        <v>0.8423111646</v>
      </c>
      <c r="P15" s="300">
        <f t="shared" si="5"/>
        <v>111960</v>
      </c>
      <c r="Q15" s="124"/>
      <c r="R15" s="125"/>
      <c r="S15" s="360"/>
      <c r="T15" s="298"/>
      <c r="U15" s="126"/>
      <c r="V15" s="125"/>
      <c r="W15" s="127" t="s">
        <v>40</v>
      </c>
      <c r="X15" s="287">
        <v>44917.0</v>
      </c>
      <c r="Y15" s="141">
        <v>66.46</v>
      </c>
      <c r="Z15" s="133">
        <v>132920.0</v>
      </c>
    </row>
    <row r="16">
      <c r="A16" s="114"/>
      <c r="B16" s="115"/>
      <c r="C16" s="116">
        <f>I16/E190</f>
        <v>0.02110669119</v>
      </c>
      <c r="D16" s="304" t="s">
        <v>558</v>
      </c>
      <c r="E16" s="304" t="s">
        <v>40</v>
      </c>
      <c r="F16" s="359">
        <v>7.7</v>
      </c>
      <c r="G16" s="119">
        <v>2000.0</v>
      </c>
      <c r="H16" s="300">
        <f t="shared" si="1"/>
        <v>127220</v>
      </c>
      <c r="I16" s="300">
        <f t="shared" si="9"/>
        <v>244880</v>
      </c>
      <c r="J16" s="141">
        <v>63.61</v>
      </c>
      <c r="K16" s="121">
        <f>IFERROR(__xludf.DUMMYFUNCTION("GOOGLEFINANCE(E16,""changepct"")"),-2.2)</f>
        <v>-2.2</v>
      </c>
      <c r="L16" s="302">
        <f>IFERROR(__xludf.DUMMYFUNCTION("googlefinance(E16,""price"")"),122.44)</f>
        <v>122.44</v>
      </c>
      <c r="M16" s="126"/>
      <c r="N16" s="301">
        <f t="shared" si="3"/>
        <v>58.83</v>
      </c>
      <c r="O16" s="139">
        <f t="shared" si="10"/>
        <v>0.9248545826</v>
      </c>
      <c r="P16" s="300">
        <f t="shared" si="5"/>
        <v>117660</v>
      </c>
      <c r="Q16" s="124"/>
      <c r="R16" s="125"/>
      <c r="S16" s="360"/>
      <c r="T16" s="298"/>
      <c r="U16" s="126"/>
      <c r="V16" s="125"/>
      <c r="W16" s="360"/>
      <c r="X16" s="305"/>
      <c r="Y16" s="301"/>
      <c r="Z16" s="300"/>
    </row>
    <row r="17">
      <c r="A17" s="114"/>
      <c r="B17" s="115"/>
      <c r="C17" s="116">
        <f>I17/E190</f>
        <v>0</v>
      </c>
      <c r="D17" s="304" t="s">
        <v>558</v>
      </c>
      <c r="E17" s="304" t="s">
        <v>40</v>
      </c>
      <c r="F17" s="359">
        <v>7.7</v>
      </c>
      <c r="G17" s="119">
        <v>1500.0</v>
      </c>
      <c r="H17" s="300">
        <f t="shared" si="1"/>
        <v>86190</v>
      </c>
      <c r="I17" s="133">
        <v>0.0</v>
      </c>
      <c r="J17" s="141">
        <v>57.46</v>
      </c>
      <c r="K17" s="121">
        <f>IFERROR(__xludf.DUMMYFUNCTION("GOOGLEFINANCE(E17,""changepct"")"),-2.2)</f>
        <v>-2.2</v>
      </c>
      <c r="L17" s="302">
        <f>IFERROR(__xludf.DUMMYFUNCTION("googlefinance(E17,""price"")"),122.44)</f>
        <v>122.44</v>
      </c>
      <c r="M17" s="123">
        <v>60.23</v>
      </c>
      <c r="N17" s="301">
        <f t="shared" si="3"/>
        <v>64.98</v>
      </c>
      <c r="O17" s="139">
        <f t="shared" ref="O17:O19" si="11">M17/J17-1</f>
        <v>0.04820744866</v>
      </c>
      <c r="P17" s="300">
        <f t="shared" si="5"/>
        <v>4155</v>
      </c>
      <c r="Q17" s="124"/>
      <c r="R17" s="125"/>
      <c r="S17" s="127" t="s">
        <v>40</v>
      </c>
      <c r="T17" s="128">
        <v>44867.0</v>
      </c>
      <c r="U17" s="123">
        <v>60.23</v>
      </c>
      <c r="V17" s="129">
        <v>90345.0</v>
      </c>
      <c r="W17" s="117" t="s">
        <v>40</v>
      </c>
      <c r="X17" s="287">
        <v>44847.0</v>
      </c>
      <c r="Y17" s="141">
        <v>57.46</v>
      </c>
      <c r="Z17" s="133">
        <v>86190.0</v>
      </c>
    </row>
    <row r="18">
      <c r="A18" s="114"/>
      <c r="B18" s="115"/>
      <c r="C18" s="116">
        <f>I18/E190</f>
        <v>0</v>
      </c>
      <c r="D18" s="284" t="s">
        <v>581</v>
      </c>
      <c r="E18" s="284" t="s">
        <v>582</v>
      </c>
      <c r="F18" s="118">
        <v>7.6</v>
      </c>
      <c r="G18" s="119">
        <v>700.0</v>
      </c>
      <c r="H18" s="300">
        <f t="shared" si="1"/>
        <v>163653</v>
      </c>
      <c r="I18" s="133">
        <v>0.0</v>
      </c>
      <c r="J18" s="141">
        <v>233.79</v>
      </c>
      <c r="K18" s="121">
        <f>IFERROR(__xludf.DUMMYFUNCTION("GOOGLEFINANCE(E18,""changepct"")"),-0.78)</f>
        <v>-0.78</v>
      </c>
      <c r="L18" s="302">
        <f>IFERROR(__xludf.DUMMYFUNCTION("googlefinance(E18,""price"")"),900.43)</f>
        <v>900.43</v>
      </c>
      <c r="M18" s="123">
        <v>268.39</v>
      </c>
      <c r="N18" s="301">
        <f t="shared" si="3"/>
        <v>666.64</v>
      </c>
      <c r="O18" s="139">
        <f t="shared" si="11"/>
        <v>0.1479960648</v>
      </c>
      <c r="P18" s="300">
        <f t="shared" si="5"/>
        <v>24220</v>
      </c>
      <c r="Q18" s="124"/>
      <c r="R18" s="125"/>
      <c r="S18" s="127" t="s">
        <v>582</v>
      </c>
      <c r="T18" s="128">
        <v>44869.0</v>
      </c>
      <c r="U18" s="123">
        <v>268.39</v>
      </c>
      <c r="V18" s="129">
        <v>187873.0</v>
      </c>
      <c r="W18" s="284"/>
      <c r="X18" s="305"/>
      <c r="Y18" s="301"/>
      <c r="Z18" s="300"/>
    </row>
    <row r="19">
      <c r="A19" s="114"/>
      <c r="B19" s="115"/>
      <c r="C19" s="116">
        <f>I19/E190</f>
        <v>0</v>
      </c>
      <c r="D19" s="284" t="s">
        <v>583</v>
      </c>
      <c r="E19" s="284" t="s">
        <v>55</v>
      </c>
      <c r="F19" s="118">
        <v>7.5</v>
      </c>
      <c r="G19" s="119">
        <v>300.0</v>
      </c>
      <c r="H19" s="300">
        <f t="shared" si="1"/>
        <v>133203</v>
      </c>
      <c r="I19" s="133">
        <v>0.0</v>
      </c>
      <c r="J19" s="141">
        <v>444.01</v>
      </c>
      <c r="K19" s="121">
        <f>IFERROR(__xludf.DUMMYFUNCTION("GOOGLEFINANCE(E19,""changepct"")"),-2.55)</f>
        <v>-2.55</v>
      </c>
      <c r="L19" s="302">
        <f>IFERROR(__xludf.DUMMYFUNCTION("googlefinance(E19,""price"")"),235.58)</f>
        <v>235.58</v>
      </c>
      <c r="M19" s="141">
        <v>461.12</v>
      </c>
      <c r="N19" s="301">
        <f t="shared" si="3"/>
        <v>-208.43</v>
      </c>
      <c r="O19" s="139">
        <f t="shared" si="11"/>
        <v>0.03853516813</v>
      </c>
      <c r="P19" s="300">
        <f t="shared" si="5"/>
        <v>5133</v>
      </c>
      <c r="Q19" s="363">
        <v>0.033</v>
      </c>
      <c r="R19" s="125"/>
      <c r="S19" s="127" t="s">
        <v>55</v>
      </c>
      <c r="T19" s="287">
        <v>44841.0</v>
      </c>
      <c r="U19" s="141">
        <v>461.12</v>
      </c>
      <c r="V19" s="133">
        <v>138336.0</v>
      </c>
      <c r="W19" s="284"/>
      <c r="X19" s="298"/>
      <c r="Y19" s="126"/>
      <c r="Z19" s="125"/>
    </row>
    <row r="20">
      <c r="A20" s="114"/>
      <c r="B20" s="115"/>
      <c r="C20" s="116">
        <f>I20/E190</f>
        <v>0.03814856876</v>
      </c>
      <c r="D20" s="284" t="s">
        <v>527</v>
      </c>
      <c r="E20" s="284" t="s">
        <v>43</v>
      </c>
      <c r="F20" s="118">
        <v>7.8</v>
      </c>
      <c r="G20" s="119">
        <v>2000.0</v>
      </c>
      <c r="H20" s="300">
        <f t="shared" si="1"/>
        <v>178800</v>
      </c>
      <c r="I20" s="133">
        <f t="shared" ref="I20:I21" si="12">H20+P20</f>
        <v>442600</v>
      </c>
      <c r="J20" s="141">
        <v>89.4</v>
      </c>
      <c r="K20" s="121">
        <f>IFERROR(__xludf.DUMMYFUNCTION("GOOGLEFINANCE(E20,""changepct"")"),-1.09)</f>
        <v>-1.09</v>
      </c>
      <c r="L20" s="302">
        <f>IFERROR(__xludf.DUMMYFUNCTION("googlefinance(E20,""price"")"),221.3)</f>
        <v>221.3</v>
      </c>
      <c r="M20" s="141"/>
      <c r="N20" s="301">
        <f t="shared" si="3"/>
        <v>131.9</v>
      </c>
      <c r="O20" s="139">
        <f t="shared" ref="O20:O21" si="13">L20/J20-1</f>
        <v>1.475391499</v>
      </c>
      <c r="P20" s="300">
        <f t="shared" si="5"/>
        <v>263800</v>
      </c>
      <c r="Q20" s="124"/>
      <c r="R20" s="125"/>
      <c r="S20" s="127"/>
      <c r="T20" s="287"/>
      <c r="U20" s="141"/>
      <c r="V20" s="133"/>
      <c r="W20" s="117" t="s">
        <v>43</v>
      </c>
      <c r="X20" s="128">
        <v>44903.0</v>
      </c>
      <c r="Y20" s="123">
        <v>89.4</v>
      </c>
      <c r="Z20" s="129">
        <v>178800.0</v>
      </c>
    </row>
    <row r="21">
      <c r="A21" s="114"/>
      <c r="B21" s="115"/>
      <c r="C21" s="116">
        <f>I21/E190</f>
        <v>0.05722285315</v>
      </c>
      <c r="D21" s="284" t="s">
        <v>527</v>
      </c>
      <c r="E21" s="284" t="s">
        <v>43</v>
      </c>
      <c r="F21" s="118">
        <v>7.8</v>
      </c>
      <c r="G21" s="119">
        <v>3000.0</v>
      </c>
      <c r="H21" s="300">
        <f t="shared" si="1"/>
        <v>299580</v>
      </c>
      <c r="I21" s="133">
        <f t="shared" si="12"/>
        <v>663900</v>
      </c>
      <c r="J21" s="141">
        <v>99.86</v>
      </c>
      <c r="K21" s="121">
        <f>IFERROR(__xludf.DUMMYFUNCTION("GOOGLEFINANCE(E21,""changepct"")"),-1.09)</f>
        <v>-1.09</v>
      </c>
      <c r="L21" s="302">
        <f>IFERROR(__xludf.DUMMYFUNCTION("googlefinance(E21,""price"")"),221.3)</f>
        <v>221.3</v>
      </c>
      <c r="M21" s="141"/>
      <c r="N21" s="301">
        <f t="shared" si="3"/>
        <v>121.44</v>
      </c>
      <c r="O21" s="139">
        <f t="shared" si="13"/>
        <v>1.216102544</v>
      </c>
      <c r="P21" s="300">
        <f t="shared" si="5"/>
        <v>364320</v>
      </c>
      <c r="Q21" s="124"/>
      <c r="R21" s="125"/>
      <c r="S21" s="127"/>
      <c r="T21" s="287"/>
      <c r="U21" s="141"/>
      <c r="V21" s="133"/>
      <c r="W21" s="117" t="s">
        <v>43</v>
      </c>
      <c r="X21" s="128">
        <v>44862.0</v>
      </c>
      <c r="Y21" s="123">
        <v>99.86</v>
      </c>
      <c r="Z21" s="129">
        <v>299580.0</v>
      </c>
    </row>
    <row r="22">
      <c r="A22" s="114"/>
      <c r="B22" s="115"/>
      <c r="C22" s="116">
        <f>I22/E190</f>
        <v>0</v>
      </c>
      <c r="D22" s="284" t="s">
        <v>527</v>
      </c>
      <c r="E22" s="284" t="s">
        <v>43</v>
      </c>
      <c r="F22" s="118">
        <v>7.8</v>
      </c>
      <c r="G22" s="119">
        <v>1000.0</v>
      </c>
      <c r="H22" s="300">
        <f t="shared" si="1"/>
        <v>112570</v>
      </c>
      <c r="I22" s="133">
        <v>0.0</v>
      </c>
      <c r="J22" s="141">
        <v>112.57</v>
      </c>
      <c r="K22" s="121">
        <f>IFERROR(__xludf.DUMMYFUNCTION("GOOGLEFINANCE(E22,""changepct"")"),-1.09)</f>
        <v>-1.09</v>
      </c>
      <c r="L22" s="302">
        <f>IFERROR(__xludf.DUMMYFUNCTION("googlefinance(E22,""price"")"),221.3)</f>
        <v>221.3</v>
      </c>
      <c r="M22" s="141">
        <v>114.45</v>
      </c>
      <c r="N22" s="301">
        <f t="shared" si="3"/>
        <v>108.73</v>
      </c>
      <c r="O22" s="139">
        <f>M22/J22-1</f>
        <v>0.01670071955</v>
      </c>
      <c r="P22" s="300">
        <f t="shared" si="5"/>
        <v>1880</v>
      </c>
      <c r="Q22" s="124"/>
      <c r="R22" s="125"/>
      <c r="S22" s="127" t="s">
        <v>43</v>
      </c>
      <c r="T22" s="287">
        <v>44841.0</v>
      </c>
      <c r="U22" s="141">
        <v>114.45</v>
      </c>
      <c r="V22" s="133">
        <v>114450.0</v>
      </c>
      <c r="W22" s="284"/>
      <c r="X22" s="298"/>
      <c r="Y22" s="126"/>
      <c r="Z22" s="125"/>
    </row>
    <row r="23">
      <c r="A23" s="114"/>
      <c r="B23" s="115"/>
      <c r="C23" s="116">
        <f>I23/E190</f>
        <v>0.1330459348</v>
      </c>
      <c r="D23" s="284" t="s">
        <v>559</v>
      </c>
      <c r="E23" s="284" t="s">
        <v>46</v>
      </c>
      <c r="F23" s="118">
        <v>7.5</v>
      </c>
      <c r="G23" s="119">
        <v>20000.0</v>
      </c>
      <c r="H23" s="300">
        <f t="shared" si="1"/>
        <v>144400</v>
      </c>
      <c r="I23" s="300">
        <f t="shared" ref="I23:I24" si="14">H23+P23</f>
        <v>1543600</v>
      </c>
      <c r="J23" s="141">
        <v>7.22</v>
      </c>
      <c r="K23" s="121">
        <f>IFERROR(__xludf.DUMMYFUNCTION("GOOGLEFINANCE(E23,""changepct"")"),-2.4)</f>
        <v>-2.4</v>
      </c>
      <c r="L23" s="302">
        <f>IFERROR(__xludf.DUMMYFUNCTION("googlefinance(E23,""price"")"),77.18)</f>
        <v>77.18</v>
      </c>
      <c r="M23" s="126"/>
      <c r="N23" s="301">
        <f t="shared" si="3"/>
        <v>69.96</v>
      </c>
      <c r="O23" s="139">
        <f t="shared" ref="O23:O24" si="15">L23/J23-1</f>
        <v>9.689750693</v>
      </c>
      <c r="P23" s="300">
        <f t="shared" si="5"/>
        <v>1399200</v>
      </c>
      <c r="Q23" s="124"/>
      <c r="R23" s="125"/>
      <c r="S23" s="127"/>
      <c r="T23" s="298"/>
      <c r="U23" s="126"/>
      <c r="V23" s="125"/>
      <c r="W23" s="117" t="s">
        <v>46</v>
      </c>
      <c r="X23" s="287">
        <v>44888.0</v>
      </c>
      <c r="Y23" s="141">
        <v>7.22</v>
      </c>
      <c r="Z23" s="133">
        <v>144400.0</v>
      </c>
    </row>
    <row r="24">
      <c r="A24" s="114"/>
      <c r="B24" s="115"/>
      <c r="C24" s="116">
        <f>H24/E190</f>
        <v>0.01398033858</v>
      </c>
      <c r="D24" s="284" t="s">
        <v>559</v>
      </c>
      <c r="E24" s="284" t="s">
        <v>46</v>
      </c>
      <c r="F24" s="118">
        <v>7.5</v>
      </c>
      <c r="G24" s="119">
        <v>20000.0</v>
      </c>
      <c r="H24" s="300">
        <f t="shared" si="1"/>
        <v>162200</v>
      </c>
      <c r="I24" s="300">
        <f t="shared" si="14"/>
        <v>1543600</v>
      </c>
      <c r="J24" s="141">
        <v>8.11</v>
      </c>
      <c r="K24" s="121">
        <f>IFERROR(__xludf.DUMMYFUNCTION("GOOGLEFINANCE(E24,""changepct"")"),-2.4)</f>
        <v>-2.4</v>
      </c>
      <c r="L24" s="302">
        <f>IFERROR(__xludf.DUMMYFUNCTION("googlefinance(E24,""price"")"),77.18)</f>
        <v>77.18</v>
      </c>
      <c r="M24" s="126"/>
      <c r="N24" s="301">
        <f t="shared" si="3"/>
        <v>69.07</v>
      </c>
      <c r="O24" s="139">
        <f t="shared" si="15"/>
        <v>8.516646116</v>
      </c>
      <c r="P24" s="300">
        <f t="shared" si="5"/>
        <v>1381400</v>
      </c>
      <c r="Q24" s="124"/>
      <c r="R24" s="125"/>
      <c r="S24" s="360"/>
      <c r="T24" s="298"/>
      <c r="U24" s="126"/>
      <c r="V24" s="125"/>
      <c r="W24" s="284"/>
      <c r="X24" s="305"/>
      <c r="Y24" s="301"/>
      <c r="Z24" s="300"/>
    </row>
    <row r="25">
      <c r="A25" s="114"/>
      <c r="B25" s="115"/>
      <c r="C25" s="116">
        <f>I25/E190</f>
        <v>0</v>
      </c>
      <c r="D25" s="284" t="s">
        <v>559</v>
      </c>
      <c r="E25" s="284" t="s">
        <v>46</v>
      </c>
      <c r="F25" s="118">
        <v>7.5</v>
      </c>
      <c r="G25" s="119">
        <v>20000.0</v>
      </c>
      <c r="H25" s="300">
        <f t="shared" si="1"/>
        <v>159800</v>
      </c>
      <c r="I25" s="133">
        <v>0.0</v>
      </c>
      <c r="J25" s="141">
        <v>7.99</v>
      </c>
      <c r="K25" s="121">
        <f>IFERROR(__xludf.DUMMYFUNCTION("GOOGLEFINANCE(E25,""changepct"")"),-2.4)</f>
        <v>-2.4</v>
      </c>
      <c r="L25" s="302">
        <f>IFERROR(__xludf.DUMMYFUNCTION("googlefinance(E25,""price"")"),77.18)</f>
        <v>77.18</v>
      </c>
      <c r="M25" s="141">
        <v>8.21</v>
      </c>
      <c r="N25" s="301">
        <f t="shared" si="3"/>
        <v>69.19</v>
      </c>
      <c r="O25" s="139">
        <f>M25/J25-1</f>
        <v>0.02753441802</v>
      </c>
      <c r="P25" s="300">
        <f t="shared" si="5"/>
        <v>4400</v>
      </c>
      <c r="Q25" s="116"/>
      <c r="R25" s="125"/>
      <c r="S25" s="127" t="s">
        <v>46</v>
      </c>
      <c r="T25" s="287">
        <v>44881.0</v>
      </c>
      <c r="U25" s="141">
        <v>8.21</v>
      </c>
      <c r="V25" s="133">
        <v>164200.0</v>
      </c>
      <c r="W25" s="127" t="s">
        <v>46</v>
      </c>
      <c r="X25" s="287">
        <v>44869.0</v>
      </c>
      <c r="Y25" s="141">
        <v>7.99</v>
      </c>
      <c r="Z25" s="133">
        <v>159800.0</v>
      </c>
    </row>
    <row r="26">
      <c r="A26" s="114"/>
      <c r="B26" s="115"/>
      <c r="C26" s="116">
        <f>I26/E190</f>
        <v>0.01332355572</v>
      </c>
      <c r="D26" s="284" t="s">
        <v>440</v>
      </c>
      <c r="E26" s="284" t="s">
        <v>77</v>
      </c>
      <c r="F26" s="118">
        <v>7.4</v>
      </c>
      <c r="G26" s="119">
        <v>1000.0</v>
      </c>
      <c r="H26" s="300">
        <f t="shared" si="1"/>
        <v>124890</v>
      </c>
      <c r="I26" s="133">
        <f>H26+P26</f>
        <v>154580</v>
      </c>
      <c r="J26" s="141">
        <v>124.89</v>
      </c>
      <c r="K26" s="121">
        <f>IFERROR(__xludf.DUMMYFUNCTION("GOOGLEFINANCE(E26,""changepct"")"),-1.69)</f>
        <v>-1.69</v>
      </c>
      <c r="L26" s="302">
        <f>IFERROR(__xludf.DUMMYFUNCTION("googlefinance(E26,""price"")"),154.58)</f>
        <v>154.58</v>
      </c>
      <c r="M26" s="141"/>
      <c r="N26" s="301">
        <f t="shared" si="3"/>
        <v>29.69</v>
      </c>
      <c r="O26" s="139">
        <f>L26/J26-1</f>
        <v>0.2377292017</v>
      </c>
      <c r="P26" s="300">
        <f t="shared" si="5"/>
        <v>29690</v>
      </c>
      <c r="Q26" s="363">
        <v>0.0275</v>
      </c>
      <c r="R26" s="129">
        <v>756.0</v>
      </c>
      <c r="S26" s="127"/>
      <c r="T26" s="287"/>
      <c r="U26" s="141"/>
      <c r="V26" s="133"/>
      <c r="W26" s="127" t="s">
        <v>77</v>
      </c>
      <c r="X26" s="287">
        <v>44888.0</v>
      </c>
      <c r="Y26" s="141">
        <v>124.89</v>
      </c>
      <c r="Z26" s="133">
        <v>124890.0</v>
      </c>
    </row>
    <row r="27">
      <c r="A27" s="114"/>
      <c r="B27" s="115"/>
      <c r="C27" s="116">
        <f>I27/E190</f>
        <v>0</v>
      </c>
      <c r="D27" s="284" t="s">
        <v>440</v>
      </c>
      <c r="E27" s="284" t="s">
        <v>77</v>
      </c>
      <c r="F27" s="118">
        <v>7.4</v>
      </c>
      <c r="G27" s="299">
        <v>1000.0</v>
      </c>
      <c r="H27" s="300">
        <f t="shared" si="1"/>
        <v>112980</v>
      </c>
      <c r="I27" s="133">
        <v>0.0</v>
      </c>
      <c r="J27" s="141">
        <v>112.98</v>
      </c>
      <c r="K27" s="121">
        <f>IFERROR(__xludf.DUMMYFUNCTION("GOOGLEFINANCE(E27,""changepct"")"),-1.69)</f>
        <v>-1.69</v>
      </c>
      <c r="L27" s="302">
        <f>IFERROR(__xludf.DUMMYFUNCTION("googlefinance(E27,""price"")"),154.58)</f>
        <v>154.58</v>
      </c>
      <c r="M27" s="141">
        <v>120.9</v>
      </c>
      <c r="N27" s="301">
        <f t="shared" si="3"/>
        <v>41.6</v>
      </c>
      <c r="O27" s="139">
        <f t="shared" ref="O27:O31" si="16">M27/J27-1</f>
        <v>0.07010090281</v>
      </c>
      <c r="P27" s="300">
        <f t="shared" si="5"/>
        <v>7920</v>
      </c>
      <c r="Q27" s="363">
        <v>0.0275</v>
      </c>
      <c r="R27" s="125"/>
      <c r="S27" s="127" t="s">
        <v>77</v>
      </c>
      <c r="T27" s="287">
        <v>44841.0</v>
      </c>
      <c r="U27" s="141">
        <v>120.9</v>
      </c>
      <c r="V27" s="133">
        <v>120900.0</v>
      </c>
      <c r="W27" s="360"/>
      <c r="X27" s="305"/>
      <c r="Y27" s="301"/>
      <c r="Z27" s="300"/>
    </row>
    <row r="28">
      <c r="A28" s="114"/>
      <c r="B28" s="115"/>
      <c r="C28" s="116">
        <f>I28/E190</f>
        <v>0</v>
      </c>
      <c r="D28" s="284" t="s">
        <v>440</v>
      </c>
      <c r="E28" s="284" t="s">
        <v>77</v>
      </c>
      <c r="F28" s="118">
        <v>7.4</v>
      </c>
      <c r="G28" s="119">
        <v>1500.0</v>
      </c>
      <c r="H28" s="300">
        <f t="shared" si="1"/>
        <v>164430</v>
      </c>
      <c r="I28" s="133">
        <v>0.0</v>
      </c>
      <c r="J28" s="141">
        <v>109.62</v>
      </c>
      <c r="K28" s="121">
        <f>IFERROR(__xludf.DUMMYFUNCTION("GOOGLEFINANCE(E28,""changepct"")"),-1.69)</f>
        <v>-1.69</v>
      </c>
      <c r="L28" s="302">
        <f>IFERROR(__xludf.DUMMYFUNCTION("googlefinance(E28,""price"")"),154.58)</f>
        <v>154.58</v>
      </c>
      <c r="M28" s="141">
        <v>106.46</v>
      </c>
      <c r="N28" s="301">
        <f t="shared" si="3"/>
        <v>44.96</v>
      </c>
      <c r="O28" s="139">
        <f t="shared" si="16"/>
        <v>-0.02882685641</v>
      </c>
      <c r="P28" s="300">
        <f t="shared" si="5"/>
        <v>-4740</v>
      </c>
      <c r="Q28" s="383">
        <v>0.0275</v>
      </c>
      <c r="R28" s="125"/>
      <c r="S28" s="127" t="s">
        <v>77</v>
      </c>
      <c r="T28" s="287">
        <v>44869.0</v>
      </c>
      <c r="U28" s="141">
        <v>106.46</v>
      </c>
      <c r="V28" s="133">
        <v>159690.0</v>
      </c>
      <c r="W28" s="127" t="s">
        <v>77</v>
      </c>
      <c r="X28" s="128">
        <v>44847.0</v>
      </c>
      <c r="Y28" s="123">
        <v>109.62</v>
      </c>
      <c r="Z28" s="129">
        <v>164430.0</v>
      </c>
    </row>
    <row r="29">
      <c r="A29" s="114"/>
      <c r="B29" s="115"/>
      <c r="C29" s="116">
        <f>I29/E190</f>
        <v>0</v>
      </c>
      <c r="D29" s="284" t="s">
        <v>584</v>
      </c>
      <c r="E29" s="284" t="s">
        <v>585</v>
      </c>
      <c r="F29" s="118">
        <v>6.9</v>
      </c>
      <c r="G29" s="119">
        <v>20000.0</v>
      </c>
      <c r="H29" s="300">
        <f t="shared" si="1"/>
        <v>96600</v>
      </c>
      <c r="I29" s="133">
        <v>0.0</v>
      </c>
      <c r="J29" s="141">
        <v>4.83</v>
      </c>
      <c r="K29" s="121">
        <f>IFERROR(__xludf.DUMMYFUNCTION("GOOGLEFINANCE(E29,""changepct"")"),-2.19)</f>
        <v>-2.19</v>
      </c>
      <c r="L29" s="302">
        <f>IFERROR(__xludf.DUMMYFUNCTION("googlefinance(E29,""price"")"),15.63)</f>
        <v>15.63</v>
      </c>
      <c r="M29" s="141">
        <v>5.71</v>
      </c>
      <c r="N29" s="301">
        <f t="shared" si="3"/>
        <v>10.8</v>
      </c>
      <c r="O29" s="139">
        <f t="shared" si="16"/>
        <v>0.182194617</v>
      </c>
      <c r="P29" s="300">
        <f t="shared" si="5"/>
        <v>17600</v>
      </c>
      <c r="Q29" s="124"/>
      <c r="R29" s="125"/>
      <c r="S29" s="127" t="s">
        <v>585</v>
      </c>
      <c r="T29" s="287">
        <v>44881.0</v>
      </c>
      <c r="U29" s="141">
        <v>5.71</v>
      </c>
      <c r="V29" s="133">
        <v>114200.0</v>
      </c>
      <c r="W29" s="360"/>
      <c r="X29" s="298"/>
      <c r="Y29" s="126"/>
      <c r="Z29" s="125"/>
    </row>
    <row r="30">
      <c r="A30" s="114"/>
      <c r="B30" s="115"/>
      <c r="C30" s="116">
        <f>I30/E190</f>
        <v>0</v>
      </c>
      <c r="D30" s="284" t="s">
        <v>586</v>
      </c>
      <c r="E30" s="284" t="s">
        <v>587</v>
      </c>
      <c r="F30" s="118">
        <v>7.2</v>
      </c>
      <c r="G30" s="119">
        <v>2000.0</v>
      </c>
      <c r="H30" s="300">
        <f t="shared" si="1"/>
        <v>112800</v>
      </c>
      <c r="I30" s="133">
        <v>0.0</v>
      </c>
      <c r="J30" s="141">
        <v>56.4</v>
      </c>
      <c r="K30" s="121">
        <f>IFERROR(__xludf.DUMMYFUNCTION("GOOGLEFINANCE(E30,""changepct"")"),-2.78)</f>
        <v>-2.78</v>
      </c>
      <c r="L30" s="302">
        <f>IFERROR(__xludf.DUMMYFUNCTION("googlefinance(E30,""price"")"),74.89)</f>
        <v>74.89</v>
      </c>
      <c r="M30" s="141">
        <v>51.7</v>
      </c>
      <c r="N30" s="301">
        <f t="shared" si="3"/>
        <v>18.49</v>
      </c>
      <c r="O30" s="139">
        <f t="shared" si="16"/>
        <v>-0.08333333333</v>
      </c>
      <c r="P30" s="300">
        <f t="shared" si="5"/>
        <v>-9400</v>
      </c>
      <c r="Q30" s="124"/>
      <c r="R30" s="125"/>
      <c r="S30" s="127" t="s">
        <v>587</v>
      </c>
      <c r="T30" s="287">
        <v>44869.0</v>
      </c>
      <c r="U30" s="141">
        <v>51.7</v>
      </c>
      <c r="V30" s="133">
        <v>103400.0</v>
      </c>
      <c r="W30" s="360"/>
      <c r="X30" s="305"/>
      <c r="Y30" s="301"/>
      <c r="Z30" s="300"/>
    </row>
    <row r="31">
      <c r="A31" s="114"/>
      <c r="B31" s="115"/>
      <c r="C31" s="116">
        <f>I33/E190</f>
        <v>0</v>
      </c>
      <c r="D31" s="284" t="s">
        <v>586</v>
      </c>
      <c r="E31" s="284" t="s">
        <v>587</v>
      </c>
      <c r="F31" s="118">
        <v>7.2</v>
      </c>
      <c r="G31" s="119">
        <v>1500.0</v>
      </c>
      <c r="H31" s="300">
        <f t="shared" si="1"/>
        <v>75285</v>
      </c>
      <c r="I31" s="133">
        <v>0.0</v>
      </c>
      <c r="J31" s="141">
        <v>50.19</v>
      </c>
      <c r="K31" s="121">
        <f>IFERROR(__xludf.DUMMYFUNCTION("GOOGLEFINANCE(E31,""changepct"")"),-2.78)</f>
        <v>-2.78</v>
      </c>
      <c r="L31" s="302">
        <f>IFERROR(__xludf.DUMMYFUNCTION("googlefinance(E31,""price"")"),74.89)</f>
        <v>74.89</v>
      </c>
      <c r="M31" s="141">
        <v>56.74</v>
      </c>
      <c r="N31" s="301">
        <f t="shared" si="3"/>
        <v>24.7</v>
      </c>
      <c r="O31" s="139">
        <f t="shared" si="16"/>
        <v>0.1305040845</v>
      </c>
      <c r="P31" s="300">
        <f t="shared" si="5"/>
        <v>9825</v>
      </c>
      <c r="Q31" s="124"/>
      <c r="R31" s="125"/>
      <c r="S31" s="127" t="s">
        <v>587</v>
      </c>
      <c r="T31" s="287">
        <v>44867.0</v>
      </c>
      <c r="U31" s="141">
        <v>56.74</v>
      </c>
      <c r="V31" s="133">
        <v>85110.0</v>
      </c>
      <c r="W31" s="127" t="s">
        <v>587</v>
      </c>
      <c r="X31" s="128">
        <v>44847.0</v>
      </c>
      <c r="Y31" s="123">
        <v>50.19</v>
      </c>
      <c r="Z31" s="129">
        <v>75285.0</v>
      </c>
    </row>
    <row r="32">
      <c r="A32" s="114"/>
      <c r="B32" s="115"/>
      <c r="C32" s="116">
        <f>I32/E190</f>
        <v>0.01426132442</v>
      </c>
      <c r="D32" s="117" t="s">
        <v>441</v>
      </c>
      <c r="E32" s="117" t="s">
        <v>340</v>
      </c>
      <c r="F32" s="118">
        <v>7.3</v>
      </c>
      <c r="G32" s="119">
        <v>2000.0</v>
      </c>
      <c r="H32" s="300">
        <f t="shared" si="1"/>
        <v>151980</v>
      </c>
      <c r="I32" s="133">
        <f>H32+P32</f>
        <v>165460</v>
      </c>
      <c r="J32" s="141">
        <v>75.99</v>
      </c>
      <c r="K32" s="121">
        <f>IFERROR(__xludf.DUMMYFUNCTION("GOOGLEFINANCE(E32,""changepct"")"),-1.3)</f>
        <v>-1.3</v>
      </c>
      <c r="L32" s="302">
        <f>IFERROR(__xludf.DUMMYFUNCTION("googlefinance(E32,""price"")"),82.73)</f>
        <v>82.73</v>
      </c>
      <c r="M32" s="141"/>
      <c r="N32" s="301">
        <f t="shared" si="3"/>
        <v>6.74</v>
      </c>
      <c r="O32" s="139">
        <f>L32/J32-1</f>
        <v>0.08869588104</v>
      </c>
      <c r="P32" s="300">
        <f t="shared" si="5"/>
        <v>13480</v>
      </c>
      <c r="Q32" s="124"/>
      <c r="R32" s="125"/>
      <c r="S32" s="127"/>
      <c r="T32" s="287"/>
      <c r="U32" s="141"/>
      <c r="V32" s="133"/>
      <c r="W32" s="127" t="s">
        <v>340</v>
      </c>
      <c r="X32" s="128">
        <v>44888.0</v>
      </c>
      <c r="Y32" s="123">
        <v>75.99</v>
      </c>
      <c r="Z32" s="129">
        <v>151980.0</v>
      </c>
    </row>
    <row r="33">
      <c r="A33" s="114"/>
      <c r="B33" s="115"/>
      <c r="C33" s="116">
        <f>I33/E190</f>
        <v>0</v>
      </c>
      <c r="D33" s="117" t="s">
        <v>441</v>
      </c>
      <c r="E33" s="117" t="s">
        <v>340</v>
      </c>
      <c r="F33" s="118">
        <v>7.3</v>
      </c>
      <c r="G33" s="119">
        <v>2000.0</v>
      </c>
      <c r="H33" s="300">
        <f t="shared" si="1"/>
        <v>148880</v>
      </c>
      <c r="I33" s="133">
        <v>0.0</v>
      </c>
      <c r="J33" s="141">
        <v>74.44</v>
      </c>
      <c r="K33" s="121">
        <f>IFERROR(__xludf.DUMMYFUNCTION("GOOGLEFINANCE(E33,""changepct"")"),-1.3)</f>
        <v>-1.3</v>
      </c>
      <c r="L33" s="302">
        <f>IFERROR(__xludf.DUMMYFUNCTION("googlefinance(E33,""price"")"),82.73)</f>
        <v>82.73</v>
      </c>
      <c r="M33" s="141">
        <v>81.73</v>
      </c>
      <c r="N33" s="301">
        <f t="shared" si="3"/>
        <v>8.29</v>
      </c>
      <c r="O33" s="139">
        <f>M33/J33-1</f>
        <v>0.09793121977</v>
      </c>
      <c r="P33" s="300">
        <f t="shared" si="5"/>
        <v>14580</v>
      </c>
      <c r="Q33" s="124"/>
      <c r="R33" s="125"/>
      <c r="S33" s="127" t="s">
        <v>340</v>
      </c>
      <c r="T33" s="287">
        <v>44867.0</v>
      </c>
      <c r="U33" s="141">
        <v>81.73</v>
      </c>
      <c r="V33" s="133">
        <v>163460.0</v>
      </c>
      <c r="W33" s="127" t="s">
        <v>340</v>
      </c>
      <c r="X33" s="128">
        <v>44847.0</v>
      </c>
      <c r="Y33" s="123">
        <v>74.44</v>
      </c>
      <c r="Z33" s="129">
        <v>148880.0</v>
      </c>
    </row>
    <row r="34">
      <c r="A34" s="114"/>
      <c r="B34" s="115"/>
      <c r="C34" s="116">
        <f>I34/E190</f>
        <v>0.01185053484</v>
      </c>
      <c r="D34" s="284" t="s">
        <v>52</v>
      </c>
      <c r="E34" s="284" t="s">
        <v>53</v>
      </c>
      <c r="F34" s="118">
        <v>7.4</v>
      </c>
      <c r="G34" s="299">
        <v>1000.0</v>
      </c>
      <c r="H34" s="300">
        <f t="shared" si="1"/>
        <v>121390</v>
      </c>
      <c r="I34" s="300">
        <f t="shared" ref="I34:I36" si="17">H34+P34</f>
        <v>137490</v>
      </c>
      <c r="J34" s="141">
        <v>121.39</v>
      </c>
      <c r="K34" s="121">
        <f>IFERROR(__xludf.DUMMYFUNCTION("GOOGLEFINANCE(E34,""changepct"")"),0.35)</f>
        <v>0.35</v>
      </c>
      <c r="L34" s="302">
        <f>IFERROR(__xludf.DUMMYFUNCTION("googlefinance(E34,""price"")"),137.49)</f>
        <v>137.49</v>
      </c>
      <c r="M34" s="301"/>
      <c r="N34" s="301">
        <f t="shared" si="3"/>
        <v>16.1</v>
      </c>
      <c r="O34" s="139">
        <f t="shared" ref="O34:O36" si="18">L34/J34-1</f>
        <v>0.1326303649</v>
      </c>
      <c r="P34" s="300">
        <f t="shared" si="5"/>
        <v>16100</v>
      </c>
      <c r="Q34" s="124"/>
      <c r="R34" s="125"/>
      <c r="S34" s="360"/>
      <c r="T34" s="305"/>
      <c r="U34" s="301"/>
      <c r="V34" s="300"/>
      <c r="W34" s="360"/>
      <c r="X34" s="298"/>
      <c r="Y34" s="126"/>
      <c r="Z34" s="125"/>
    </row>
    <row r="35">
      <c r="A35" s="114"/>
      <c r="B35" s="115"/>
      <c r="C35" s="116">
        <f>I35/E190</f>
        <v>0.02031113924</v>
      </c>
      <c r="D35" s="286" t="s">
        <v>376</v>
      </c>
      <c r="E35" s="286" t="s">
        <v>377</v>
      </c>
      <c r="F35" s="359">
        <v>7.5</v>
      </c>
      <c r="G35" s="119">
        <v>3000.0</v>
      </c>
      <c r="H35" s="300">
        <f t="shared" si="1"/>
        <v>135990</v>
      </c>
      <c r="I35" s="300">
        <f t="shared" si="17"/>
        <v>235650</v>
      </c>
      <c r="J35" s="141">
        <v>45.33</v>
      </c>
      <c r="K35" s="121">
        <f>IFERROR(__xludf.DUMMYFUNCTION("GOOGLEFINANCE(E35,""changepct"")"),-2.29)</f>
        <v>-2.29</v>
      </c>
      <c r="L35" s="302">
        <f>IFERROR(__xludf.DUMMYFUNCTION("googlefinance(E35,""price"")"),78.55)</f>
        <v>78.55</v>
      </c>
      <c r="M35" s="123"/>
      <c r="N35" s="301">
        <f t="shared" si="3"/>
        <v>33.22</v>
      </c>
      <c r="O35" s="139">
        <f t="shared" si="18"/>
        <v>0.7328480035</v>
      </c>
      <c r="P35" s="300">
        <f t="shared" si="5"/>
        <v>99660</v>
      </c>
      <c r="Q35" s="363">
        <v>0.015</v>
      </c>
      <c r="R35" s="133">
        <v>469.0</v>
      </c>
      <c r="S35" s="127"/>
      <c r="T35" s="128"/>
      <c r="U35" s="123"/>
      <c r="V35" s="129"/>
      <c r="W35" s="127" t="s">
        <v>377</v>
      </c>
      <c r="X35" s="128">
        <v>44876.0</v>
      </c>
      <c r="Y35" s="123">
        <v>45.33</v>
      </c>
      <c r="Z35" s="129">
        <v>135990.0</v>
      </c>
    </row>
    <row r="36">
      <c r="A36" s="114"/>
      <c r="B36" s="115"/>
      <c r="C36" s="116">
        <f>I36/E190</f>
        <v>0.01737931917</v>
      </c>
      <c r="D36" s="286" t="s">
        <v>378</v>
      </c>
      <c r="E36" s="286" t="s">
        <v>379</v>
      </c>
      <c r="F36" s="359">
        <v>7.5</v>
      </c>
      <c r="G36" s="119">
        <v>3500.0</v>
      </c>
      <c r="H36" s="300">
        <f t="shared" si="1"/>
        <v>130445</v>
      </c>
      <c r="I36" s="300">
        <f t="shared" si="17"/>
        <v>201635</v>
      </c>
      <c r="J36" s="141">
        <v>37.27</v>
      </c>
      <c r="K36" s="121">
        <f>IFERROR(__xludf.DUMMYFUNCTION("GOOGLEFINANCE(E36,""changepct"")"),-2.8)</f>
        <v>-2.8</v>
      </c>
      <c r="L36" s="302">
        <f>IFERROR(__xludf.DUMMYFUNCTION("googlefinance(E36,""price"")"),57.61)</f>
        <v>57.61</v>
      </c>
      <c r="M36" s="123"/>
      <c r="N36" s="301">
        <f t="shared" si="3"/>
        <v>20.34</v>
      </c>
      <c r="O36" s="139">
        <f t="shared" si="18"/>
        <v>0.5457472498</v>
      </c>
      <c r="P36" s="300">
        <f t="shared" si="5"/>
        <v>71190</v>
      </c>
      <c r="Q36" s="363">
        <v>0.0255</v>
      </c>
      <c r="R36" s="133">
        <v>714.0</v>
      </c>
      <c r="S36" s="127"/>
      <c r="T36" s="128"/>
      <c r="U36" s="123"/>
      <c r="V36" s="129"/>
      <c r="W36" s="127" t="s">
        <v>379</v>
      </c>
      <c r="X36" s="128">
        <v>44876.0</v>
      </c>
      <c r="Y36" s="123">
        <v>37.27</v>
      </c>
      <c r="Z36" s="129">
        <v>130445.0</v>
      </c>
    </row>
    <row r="37">
      <c r="A37" s="114"/>
      <c r="B37" s="115"/>
      <c r="C37" s="116">
        <f>I37/E190</f>
        <v>0</v>
      </c>
      <c r="D37" s="364" t="s">
        <v>333</v>
      </c>
      <c r="E37" s="159" t="s">
        <v>334</v>
      </c>
      <c r="F37" s="365">
        <v>7.5</v>
      </c>
      <c r="G37" s="119">
        <v>3000.0</v>
      </c>
      <c r="H37" s="300">
        <f t="shared" si="1"/>
        <v>130890</v>
      </c>
      <c r="I37" s="133">
        <v>0.0</v>
      </c>
      <c r="J37" s="141">
        <v>43.63</v>
      </c>
      <c r="K37" s="121">
        <f>IFERROR(__xludf.DUMMYFUNCTION("GOOGLEFINANCE(E37,""changepct"")"),-1.76)</f>
        <v>-1.76</v>
      </c>
      <c r="L37" s="302">
        <f>IFERROR(__xludf.DUMMYFUNCTION("googlefinance(E37,""price"")"),109.71)</f>
        <v>109.71</v>
      </c>
      <c r="M37" s="123">
        <v>46.89</v>
      </c>
      <c r="N37" s="301">
        <f t="shared" si="3"/>
        <v>66.08</v>
      </c>
      <c r="O37" s="139">
        <f t="shared" ref="O37:O38" si="19">M37/J37-1</f>
        <v>0.07471922989</v>
      </c>
      <c r="P37" s="300">
        <f t="shared" si="5"/>
        <v>9780</v>
      </c>
      <c r="Q37" s="116"/>
      <c r="R37" s="300"/>
      <c r="S37" s="127" t="s">
        <v>334</v>
      </c>
      <c r="T37" s="128">
        <v>44881.0</v>
      </c>
      <c r="U37" s="123">
        <v>46.89</v>
      </c>
      <c r="V37" s="129">
        <v>140670.0</v>
      </c>
      <c r="W37" s="127" t="s">
        <v>334</v>
      </c>
      <c r="X37" s="128">
        <v>44876.0</v>
      </c>
      <c r="Y37" s="123">
        <v>43.63</v>
      </c>
      <c r="Z37" s="129">
        <v>130890.0</v>
      </c>
    </row>
    <row r="38">
      <c r="A38" s="114"/>
      <c r="B38" s="115"/>
      <c r="C38" s="116">
        <f>I38/E190</f>
        <v>0</v>
      </c>
      <c r="D38" s="364" t="s">
        <v>333</v>
      </c>
      <c r="E38" s="159" t="s">
        <v>334</v>
      </c>
      <c r="F38" s="365">
        <v>7.5</v>
      </c>
      <c r="G38" s="119">
        <v>3000.0</v>
      </c>
      <c r="H38" s="300">
        <f t="shared" si="1"/>
        <v>135600</v>
      </c>
      <c r="I38" s="133">
        <v>0.0</v>
      </c>
      <c r="J38" s="141">
        <v>45.2</v>
      </c>
      <c r="K38" s="121">
        <f>IFERROR(__xludf.DUMMYFUNCTION("GOOGLEFINANCE(E38,""changepct"")"),-1.76)</f>
        <v>-1.76</v>
      </c>
      <c r="L38" s="302">
        <f>IFERROR(__xludf.DUMMYFUNCTION("googlefinance(E38,""price"")"),109.71)</f>
        <v>109.71</v>
      </c>
      <c r="M38" s="123">
        <v>47.16</v>
      </c>
      <c r="N38" s="301">
        <f t="shared" si="3"/>
        <v>64.51</v>
      </c>
      <c r="O38" s="139">
        <f t="shared" si="19"/>
        <v>0.04336283186</v>
      </c>
      <c r="P38" s="300">
        <f t="shared" si="5"/>
        <v>5880</v>
      </c>
      <c r="Q38" s="116"/>
      <c r="R38" s="300"/>
      <c r="S38" s="127" t="s">
        <v>334</v>
      </c>
      <c r="T38" s="128">
        <v>44867.0</v>
      </c>
      <c r="U38" s="123">
        <v>47.16</v>
      </c>
      <c r="V38" s="129">
        <v>141480.0</v>
      </c>
      <c r="W38" s="127" t="s">
        <v>334</v>
      </c>
      <c r="X38" s="128">
        <v>44852.0</v>
      </c>
      <c r="Y38" s="123">
        <v>45.2</v>
      </c>
      <c r="Z38" s="129">
        <v>135600.0</v>
      </c>
    </row>
    <row r="39">
      <c r="A39" s="114"/>
      <c r="B39" s="115"/>
      <c r="C39" s="116">
        <f>I39/E190</f>
        <v>0.0283683652</v>
      </c>
      <c r="D39" s="364" t="s">
        <v>333</v>
      </c>
      <c r="E39" s="159" t="s">
        <v>334</v>
      </c>
      <c r="F39" s="365">
        <v>7.5</v>
      </c>
      <c r="G39" s="119">
        <v>3000.0</v>
      </c>
      <c r="H39" s="300">
        <f t="shared" si="1"/>
        <v>130050</v>
      </c>
      <c r="I39" s="300">
        <f t="shared" ref="I39:I41" si="20">H39+P39</f>
        <v>329130</v>
      </c>
      <c r="J39" s="141">
        <v>43.35</v>
      </c>
      <c r="K39" s="121">
        <f>IFERROR(__xludf.DUMMYFUNCTION("GOOGLEFINANCE(E39,""changepct"")"),-1.76)</f>
        <v>-1.76</v>
      </c>
      <c r="L39" s="302">
        <f>IFERROR(__xludf.DUMMYFUNCTION("googlefinance(E39,""price"")"),109.71)</f>
        <v>109.71</v>
      </c>
      <c r="M39" s="126"/>
      <c r="N39" s="301">
        <f t="shared" si="3"/>
        <v>66.36</v>
      </c>
      <c r="O39" s="139">
        <f t="shared" ref="O39:O41" si="21">L39/J39-1</f>
        <v>1.530795848</v>
      </c>
      <c r="P39" s="300">
        <f t="shared" si="5"/>
        <v>199080</v>
      </c>
      <c r="Q39" s="116"/>
      <c r="R39" s="300"/>
      <c r="S39" s="360"/>
      <c r="T39" s="298"/>
      <c r="U39" s="126"/>
      <c r="V39" s="125"/>
      <c r="W39" s="127" t="s">
        <v>334</v>
      </c>
      <c r="X39" s="128">
        <v>44888.0</v>
      </c>
      <c r="Y39" s="123">
        <v>43.35</v>
      </c>
      <c r="Z39" s="129">
        <v>130050.0</v>
      </c>
    </row>
    <row r="40">
      <c r="A40" s="114"/>
      <c r="B40" s="115"/>
      <c r="C40" s="116">
        <f>I40/E190</f>
        <v>0.01948800587</v>
      </c>
      <c r="D40" s="284" t="s">
        <v>483</v>
      </c>
      <c r="E40" s="284" t="s">
        <v>484</v>
      </c>
      <c r="F40" s="118">
        <v>7.5</v>
      </c>
      <c r="G40" s="299">
        <v>10000.0</v>
      </c>
      <c r="H40" s="300">
        <f t="shared" si="1"/>
        <v>153400</v>
      </c>
      <c r="I40" s="300">
        <f t="shared" si="20"/>
        <v>226100</v>
      </c>
      <c r="J40" s="141">
        <v>15.34</v>
      </c>
      <c r="K40" s="121">
        <f>IFERROR(__xludf.DUMMYFUNCTION("GOOGLEFINANCE(E40,""changepct"")"),-1.09)</f>
        <v>-1.09</v>
      </c>
      <c r="L40" s="302">
        <f>IFERROR(__xludf.DUMMYFUNCTION("googlefinance(E40,""price"")"),22.61)</f>
        <v>22.61</v>
      </c>
      <c r="M40" s="126"/>
      <c r="N40" s="301">
        <f t="shared" si="3"/>
        <v>7.27</v>
      </c>
      <c r="O40" s="139">
        <f t="shared" si="21"/>
        <v>0.4739243807</v>
      </c>
      <c r="P40" s="300">
        <f t="shared" si="5"/>
        <v>72700</v>
      </c>
      <c r="Q40" s="363">
        <v>0.06</v>
      </c>
      <c r="R40" s="133">
        <v>2775.0</v>
      </c>
      <c r="S40" s="360"/>
      <c r="T40" s="298"/>
      <c r="U40" s="126"/>
      <c r="V40" s="125"/>
      <c r="W40" s="360"/>
      <c r="X40" s="298"/>
      <c r="Y40" s="126"/>
      <c r="Z40" s="125"/>
    </row>
    <row r="41">
      <c r="A41" s="114"/>
      <c r="B41" s="115"/>
      <c r="C41" s="116">
        <f>I41/E190</f>
        <v>0.01358816508</v>
      </c>
      <c r="D41" s="284" t="s">
        <v>564</v>
      </c>
      <c r="E41" s="284" t="s">
        <v>443</v>
      </c>
      <c r="F41" s="118">
        <v>7.2</v>
      </c>
      <c r="G41" s="299">
        <v>15000.0</v>
      </c>
      <c r="H41" s="300">
        <f t="shared" si="1"/>
        <v>172500</v>
      </c>
      <c r="I41" s="300">
        <f t="shared" si="20"/>
        <v>157650</v>
      </c>
      <c r="J41" s="141">
        <v>11.5</v>
      </c>
      <c r="K41" s="121">
        <f>IFERROR(__xludf.DUMMYFUNCTION("GOOGLEFINANCE(E41,""changepct"")"),-0.94)</f>
        <v>-0.94</v>
      </c>
      <c r="L41" s="302">
        <f>IFERROR(__xludf.DUMMYFUNCTION("googlefinance(E41,""price"")"),10.51)</f>
        <v>10.51</v>
      </c>
      <c r="M41" s="126"/>
      <c r="N41" s="301">
        <f t="shared" si="3"/>
        <v>-0.99</v>
      </c>
      <c r="O41" s="139">
        <f t="shared" si="21"/>
        <v>-0.08608695652</v>
      </c>
      <c r="P41" s="300">
        <f t="shared" si="5"/>
        <v>-14850</v>
      </c>
      <c r="Q41" s="124"/>
      <c r="R41" s="125"/>
      <c r="S41" s="360"/>
      <c r="T41" s="298"/>
      <c r="U41" s="126"/>
      <c r="V41" s="125"/>
      <c r="W41" s="360"/>
      <c r="X41" s="298"/>
      <c r="Y41" s="126"/>
      <c r="Z41" s="125"/>
    </row>
    <row r="42">
      <c r="A42" s="351"/>
      <c r="B42" s="352"/>
      <c r="C42" s="352" t="s">
        <v>89</v>
      </c>
      <c r="D42" s="352"/>
      <c r="E42" s="352"/>
      <c r="F42" s="352"/>
      <c r="G42" s="356"/>
      <c r="H42" s="366">
        <f t="shared" ref="H42:I42" si="22">SUM(H3:H41)</f>
        <v>5394301</v>
      </c>
      <c r="I42" s="367">
        <f t="shared" si="22"/>
        <v>9168225</v>
      </c>
      <c r="J42" s="354"/>
      <c r="K42" s="354"/>
      <c r="L42" s="354"/>
      <c r="M42" s="355"/>
      <c r="N42" s="355"/>
      <c r="O42" s="491">
        <f>P42/I42</f>
        <v>-0.02661060347</v>
      </c>
      <c r="P42" s="369">
        <v>-243972.0</v>
      </c>
      <c r="Q42" s="370"/>
      <c r="R42" s="366">
        <f>SUM(R3:R41)</f>
        <v>4714</v>
      </c>
      <c r="S42" s="352" t="s">
        <v>89</v>
      </c>
      <c r="T42" s="371"/>
      <c r="U42" s="372"/>
      <c r="V42" s="366">
        <f>SUM(V3:V41)</f>
        <v>2099464</v>
      </c>
      <c r="W42" s="352" t="s">
        <v>89</v>
      </c>
      <c r="X42" s="371"/>
      <c r="Y42" s="372"/>
      <c r="Z42" s="366">
        <f>SUM(Z3:Z41)</f>
        <v>3389249</v>
      </c>
    </row>
    <row r="43">
      <c r="A43" s="373"/>
      <c r="B43" s="352" t="s">
        <v>342</v>
      </c>
      <c r="C43" s="352" t="s">
        <v>2</v>
      </c>
      <c r="D43" s="352" t="s">
        <v>3</v>
      </c>
      <c r="E43" s="352" t="s">
        <v>4</v>
      </c>
      <c r="F43" s="352" t="s">
        <v>5</v>
      </c>
      <c r="G43" s="374" t="s">
        <v>6</v>
      </c>
      <c r="H43" s="352" t="s">
        <v>7</v>
      </c>
      <c r="I43" s="353" t="s">
        <v>8</v>
      </c>
      <c r="J43" s="353" t="s">
        <v>9</v>
      </c>
      <c r="K43" s="354" t="s">
        <v>10</v>
      </c>
      <c r="L43" s="354" t="s">
        <v>11</v>
      </c>
      <c r="M43" s="354" t="s">
        <v>476</v>
      </c>
      <c r="N43" s="355" t="s">
        <v>13</v>
      </c>
      <c r="O43" s="352" t="s">
        <v>14</v>
      </c>
      <c r="P43" s="355" t="s">
        <v>15</v>
      </c>
      <c r="Q43" s="375" t="s">
        <v>16</v>
      </c>
      <c r="R43" s="356" t="s">
        <v>17</v>
      </c>
      <c r="S43" s="352" t="s">
        <v>21</v>
      </c>
      <c r="T43" s="376" t="s">
        <v>22</v>
      </c>
      <c r="U43" s="357" t="s">
        <v>23</v>
      </c>
      <c r="V43" s="357" t="s">
        <v>24</v>
      </c>
      <c r="W43" s="352" t="s">
        <v>25</v>
      </c>
      <c r="X43" s="352" t="s">
        <v>26</v>
      </c>
      <c r="Y43" s="357" t="s">
        <v>27</v>
      </c>
      <c r="Z43" s="356" t="s">
        <v>28</v>
      </c>
    </row>
    <row r="44">
      <c r="A44" s="377" t="s">
        <v>29</v>
      </c>
      <c r="B44" s="362">
        <f>I61/E190</f>
        <v>0.05889109885</v>
      </c>
      <c r="C44" s="116">
        <f>I44/E190</f>
        <v>0.01812832744</v>
      </c>
      <c r="D44" s="304" t="s">
        <v>346</v>
      </c>
      <c r="E44" s="304" t="s">
        <v>347</v>
      </c>
      <c r="F44" s="359">
        <v>7.7</v>
      </c>
      <c r="G44" s="299">
        <v>2500.0</v>
      </c>
      <c r="H44" s="300">
        <f t="shared" ref="H44:H60" si="23">G44*J44</f>
        <v>195800</v>
      </c>
      <c r="I44" s="300">
        <f t="shared" ref="I44:I45" si="24">H44+P44</f>
        <v>210325</v>
      </c>
      <c r="J44" s="141">
        <v>78.32</v>
      </c>
      <c r="K44" s="121">
        <f>IFERROR(__xludf.DUMMYFUNCTION("GOOGLEFINANCE(E44,""changepct"")"),-1.09)</f>
        <v>-1.09</v>
      </c>
      <c r="L44" s="302">
        <f>IFERROR(__xludf.DUMMYFUNCTION("googlefinance(E44,""price"")"),84.13)</f>
        <v>84.13</v>
      </c>
      <c r="M44" s="126"/>
      <c r="N44" s="301">
        <f t="shared" ref="N44:N60" si="25">L44-J44</f>
        <v>5.81</v>
      </c>
      <c r="O44" s="139">
        <f t="shared" ref="O44:O45" si="26">L44/J44-1</f>
        <v>0.07418283963</v>
      </c>
      <c r="P44" s="300">
        <f t="shared" ref="P44:P60" si="27">H44*O44</f>
        <v>14525</v>
      </c>
      <c r="Q44" s="124"/>
      <c r="R44" s="125"/>
      <c r="S44" s="360"/>
      <c r="T44" s="298"/>
      <c r="U44" s="126"/>
      <c r="V44" s="125"/>
      <c r="W44" s="360"/>
      <c r="X44" s="115"/>
      <c r="Y44" s="126"/>
      <c r="Z44" s="125"/>
    </row>
    <row r="45">
      <c r="A45" s="114"/>
      <c r="B45" s="115"/>
      <c r="C45" s="116">
        <f>I45/E190</f>
        <v>0.01087699646</v>
      </c>
      <c r="D45" s="304" t="s">
        <v>346</v>
      </c>
      <c r="E45" s="304" t="s">
        <v>347</v>
      </c>
      <c r="F45" s="359">
        <v>7.7</v>
      </c>
      <c r="G45" s="119">
        <v>1500.0</v>
      </c>
      <c r="H45" s="300">
        <f t="shared" si="23"/>
        <v>131760</v>
      </c>
      <c r="I45" s="300">
        <f t="shared" si="24"/>
        <v>126195</v>
      </c>
      <c r="J45" s="141">
        <v>87.84</v>
      </c>
      <c r="K45" s="121">
        <f>IFERROR(__xludf.DUMMYFUNCTION("GOOGLEFINANCE(E45,""changepct"")"),-1.09)</f>
        <v>-1.09</v>
      </c>
      <c r="L45" s="302">
        <f>IFERROR(__xludf.DUMMYFUNCTION("googlefinance(E45,""price"")"),84.13)</f>
        <v>84.13</v>
      </c>
      <c r="M45" s="123"/>
      <c r="N45" s="301">
        <f t="shared" si="25"/>
        <v>-3.71</v>
      </c>
      <c r="O45" s="139">
        <f t="shared" si="26"/>
        <v>-0.04223588342</v>
      </c>
      <c r="P45" s="300">
        <f t="shared" si="27"/>
        <v>-5565</v>
      </c>
      <c r="Q45" s="124"/>
      <c r="R45" s="125"/>
      <c r="S45" s="127"/>
      <c r="T45" s="128"/>
      <c r="U45" s="123"/>
      <c r="V45" s="129"/>
      <c r="W45" s="127" t="s">
        <v>347</v>
      </c>
      <c r="X45" s="128">
        <v>44917.0</v>
      </c>
      <c r="Y45" s="123">
        <v>87.84</v>
      </c>
      <c r="Z45" s="129">
        <v>131760.0</v>
      </c>
    </row>
    <row r="46">
      <c r="A46" s="114"/>
      <c r="B46" s="115"/>
      <c r="C46" s="116">
        <f>I46/E190</f>
        <v>0</v>
      </c>
      <c r="D46" s="304" t="s">
        <v>346</v>
      </c>
      <c r="E46" s="304" t="s">
        <v>347</v>
      </c>
      <c r="F46" s="359">
        <v>7.7</v>
      </c>
      <c r="G46" s="119">
        <v>2000.0</v>
      </c>
      <c r="H46" s="300">
        <f t="shared" si="23"/>
        <v>154800</v>
      </c>
      <c r="I46" s="133">
        <v>0.0</v>
      </c>
      <c r="J46" s="141">
        <v>77.4</v>
      </c>
      <c r="K46" s="121">
        <f>IFERROR(__xludf.DUMMYFUNCTION("GOOGLEFINANCE(E46,""changepct"")"),-1.09)</f>
        <v>-1.09</v>
      </c>
      <c r="L46" s="302">
        <f>IFERROR(__xludf.DUMMYFUNCTION("googlefinance(E46,""price"")"),84.13)</f>
        <v>84.13</v>
      </c>
      <c r="M46" s="123">
        <v>91.53</v>
      </c>
      <c r="N46" s="301">
        <f t="shared" si="25"/>
        <v>6.73</v>
      </c>
      <c r="O46" s="139">
        <f t="shared" ref="O46:O48" si="28">M46/J46-1</f>
        <v>0.1825581395</v>
      </c>
      <c r="P46" s="300">
        <f t="shared" si="27"/>
        <v>28260</v>
      </c>
      <c r="Q46" s="124"/>
      <c r="R46" s="125"/>
      <c r="S46" s="127" t="s">
        <v>347</v>
      </c>
      <c r="T46" s="128">
        <v>44901.0</v>
      </c>
      <c r="U46" s="123">
        <v>91.53</v>
      </c>
      <c r="V46" s="129">
        <v>183060.0</v>
      </c>
      <c r="W46" s="127" t="s">
        <v>347</v>
      </c>
      <c r="X46" s="128">
        <v>44888.0</v>
      </c>
      <c r="Y46" s="123">
        <v>77.4</v>
      </c>
      <c r="Z46" s="129">
        <v>154800.0</v>
      </c>
    </row>
    <row r="47">
      <c r="A47" s="114"/>
      <c r="B47" s="115"/>
      <c r="C47" s="116">
        <f>I47/E190</f>
        <v>0</v>
      </c>
      <c r="D47" s="304" t="s">
        <v>346</v>
      </c>
      <c r="E47" s="304" t="s">
        <v>347</v>
      </c>
      <c r="F47" s="359">
        <v>7.8</v>
      </c>
      <c r="G47" s="119">
        <v>2500.0</v>
      </c>
      <c r="H47" s="300">
        <f t="shared" si="23"/>
        <v>149975</v>
      </c>
      <c r="I47" s="133">
        <v>0.0</v>
      </c>
      <c r="J47" s="141">
        <v>59.99</v>
      </c>
      <c r="K47" s="121">
        <f>IFERROR(__xludf.DUMMYFUNCTION("GOOGLEFINANCE(E47,""changepct"")"),-1.09)</f>
        <v>-1.09</v>
      </c>
      <c r="L47" s="302">
        <f>IFERROR(__xludf.DUMMYFUNCTION("googlefinance(E47,""price"")"),84.13)</f>
        <v>84.13</v>
      </c>
      <c r="M47" s="123">
        <v>80.08</v>
      </c>
      <c r="N47" s="301">
        <f t="shared" si="25"/>
        <v>24.14</v>
      </c>
      <c r="O47" s="139">
        <f t="shared" si="28"/>
        <v>0.3348891482</v>
      </c>
      <c r="P47" s="300">
        <f t="shared" si="27"/>
        <v>50225</v>
      </c>
      <c r="Q47" s="124"/>
      <c r="R47" s="125"/>
      <c r="S47" s="127" t="s">
        <v>347</v>
      </c>
      <c r="T47" s="128">
        <v>44881.0</v>
      </c>
      <c r="U47" s="123">
        <v>80.08</v>
      </c>
      <c r="V47" s="129">
        <v>200200.0</v>
      </c>
      <c r="W47" s="127" t="s">
        <v>347</v>
      </c>
      <c r="X47" s="128">
        <v>44858.0</v>
      </c>
      <c r="Y47" s="123">
        <v>59.99</v>
      </c>
      <c r="Z47" s="129">
        <v>149975.0</v>
      </c>
    </row>
    <row r="48">
      <c r="A48" s="114"/>
      <c r="B48" s="115"/>
      <c r="C48" s="116">
        <f>I48/E190</f>
        <v>0</v>
      </c>
      <c r="D48" s="304" t="s">
        <v>530</v>
      </c>
      <c r="E48" s="304" t="s">
        <v>34</v>
      </c>
      <c r="F48" s="359">
        <v>7.8</v>
      </c>
      <c r="G48" s="119">
        <v>1300.0</v>
      </c>
      <c r="H48" s="300">
        <f t="shared" si="23"/>
        <v>125684</v>
      </c>
      <c r="I48" s="133">
        <v>0.0</v>
      </c>
      <c r="J48" s="141">
        <v>96.68</v>
      </c>
      <c r="K48" s="121">
        <f>IFERROR(__xludf.DUMMYFUNCTION("GOOGLEFINANCE(E48,""changepct"")"),-2.94)</f>
        <v>-2.94</v>
      </c>
      <c r="L48" s="302">
        <f>IFERROR(__xludf.DUMMYFUNCTION("googlefinance(E48,""price"")"),84.05)</f>
        <v>84.05</v>
      </c>
      <c r="M48" s="123">
        <v>118.71</v>
      </c>
      <c r="N48" s="301">
        <f t="shared" si="25"/>
        <v>-12.63</v>
      </c>
      <c r="O48" s="139">
        <f t="shared" si="28"/>
        <v>0.2278651221</v>
      </c>
      <c r="P48" s="300">
        <f t="shared" si="27"/>
        <v>28639</v>
      </c>
      <c r="Q48" s="124"/>
      <c r="R48" s="125"/>
      <c r="S48" s="127" t="s">
        <v>34</v>
      </c>
      <c r="T48" s="128">
        <v>44901.0</v>
      </c>
      <c r="U48" s="123">
        <v>118.71</v>
      </c>
      <c r="V48" s="129">
        <v>154323.0</v>
      </c>
      <c r="W48" s="127" t="s">
        <v>34</v>
      </c>
      <c r="X48" s="128">
        <v>44888.0</v>
      </c>
      <c r="Y48" s="123">
        <v>96.68</v>
      </c>
      <c r="Z48" s="129">
        <v>125684.0</v>
      </c>
    </row>
    <row r="49">
      <c r="A49" s="114"/>
      <c r="B49" s="115"/>
      <c r="C49" s="116">
        <f>I49/E190</f>
        <v>0.01086665343</v>
      </c>
      <c r="D49" s="304" t="s">
        <v>530</v>
      </c>
      <c r="E49" s="304" t="s">
        <v>34</v>
      </c>
      <c r="F49" s="359">
        <v>7.8</v>
      </c>
      <c r="G49" s="119">
        <v>1500.0</v>
      </c>
      <c r="H49" s="300">
        <f t="shared" si="23"/>
        <v>166950</v>
      </c>
      <c r="I49" s="300">
        <f t="shared" ref="I49:I50" si="29">H49+P49</f>
        <v>126075</v>
      </c>
      <c r="J49" s="141">
        <v>111.3</v>
      </c>
      <c r="K49" s="121">
        <f>IFERROR(__xludf.DUMMYFUNCTION("GOOGLEFINANCE(E49,""changepct"")"),-2.94)</f>
        <v>-2.94</v>
      </c>
      <c r="L49" s="302">
        <f>IFERROR(__xludf.DUMMYFUNCTION("googlefinance(E49,""price"")"),84.05)</f>
        <v>84.05</v>
      </c>
      <c r="M49" s="126"/>
      <c r="N49" s="301">
        <f t="shared" si="25"/>
        <v>-27.25</v>
      </c>
      <c r="O49" s="139">
        <f t="shared" ref="O49:O50" si="30">L49/J49-1</f>
        <v>-0.2448337826</v>
      </c>
      <c r="P49" s="300">
        <f t="shared" si="27"/>
        <v>-40875</v>
      </c>
      <c r="Q49" s="124"/>
      <c r="R49" s="125"/>
      <c r="S49" s="360"/>
      <c r="T49" s="298"/>
      <c r="U49" s="126"/>
      <c r="V49" s="125"/>
      <c r="W49" s="127" t="s">
        <v>34</v>
      </c>
      <c r="X49" s="128">
        <v>44917.0</v>
      </c>
      <c r="Y49" s="123">
        <v>111.3</v>
      </c>
      <c r="Z49" s="129">
        <v>166950.0</v>
      </c>
    </row>
    <row r="50">
      <c r="A50" s="114"/>
      <c r="B50" s="115"/>
      <c r="C50" s="116">
        <f>I50/E190</f>
        <v>0.01448887124</v>
      </c>
      <c r="D50" s="304" t="s">
        <v>530</v>
      </c>
      <c r="E50" s="304" t="s">
        <v>34</v>
      </c>
      <c r="F50" s="359">
        <v>7.8</v>
      </c>
      <c r="G50" s="299">
        <v>2000.0</v>
      </c>
      <c r="H50" s="300">
        <f t="shared" si="23"/>
        <v>235160</v>
      </c>
      <c r="I50" s="300">
        <f t="shared" si="29"/>
        <v>168100</v>
      </c>
      <c r="J50" s="141">
        <v>117.58</v>
      </c>
      <c r="K50" s="121">
        <f>IFERROR(__xludf.DUMMYFUNCTION("GOOGLEFINANCE(E50,""changepct"")"),-2.94)</f>
        <v>-2.94</v>
      </c>
      <c r="L50" s="302">
        <f>IFERROR(__xludf.DUMMYFUNCTION("googlefinance(E50,""price"")"),84.05)</f>
        <v>84.05</v>
      </c>
      <c r="M50" s="126"/>
      <c r="N50" s="301">
        <f t="shared" si="25"/>
        <v>-33.53</v>
      </c>
      <c r="O50" s="139">
        <f t="shared" si="30"/>
        <v>-0.2851675455</v>
      </c>
      <c r="P50" s="300">
        <f t="shared" si="27"/>
        <v>-67060</v>
      </c>
      <c r="Q50" s="124"/>
      <c r="R50" s="125"/>
      <c r="S50" s="360"/>
      <c r="T50" s="298"/>
      <c r="U50" s="126"/>
      <c r="V50" s="125"/>
      <c r="W50" s="360"/>
      <c r="X50" s="115"/>
      <c r="Y50" s="126"/>
      <c r="Z50" s="125"/>
    </row>
    <row r="51">
      <c r="A51" s="114"/>
      <c r="B51" s="115"/>
      <c r="C51" s="116">
        <f>I51/E190</f>
        <v>0</v>
      </c>
      <c r="D51" s="304" t="s">
        <v>530</v>
      </c>
      <c r="E51" s="304" t="s">
        <v>34</v>
      </c>
      <c r="F51" s="359">
        <v>7.8</v>
      </c>
      <c r="G51" s="299">
        <v>2000.0</v>
      </c>
      <c r="H51" s="300">
        <f t="shared" si="23"/>
        <v>184740</v>
      </c>
      <c r="I51" s="133">
        <v>0.0</v>
      </c>
      <c r="J51" s="141">
        <v>92.37</v>
      </c>
      <c r="K51" s="121">
        <f>IFERROR(__xludf.DUMMYFUNCTION("GOOGLEFINANCE(E51,""changepct"")"),-2.94)</f>
        <v>-2.94</v>
      </c>
      <c r="L51" s="302">
        <f>IFERROR(__xludf.DUMMYFUNCTION("googlefinance(E51,""price"")"),84.05)</f>
        <v>84.05</v>
      </c>
      <c r="M51" s="123">
        <v>98.05</v>
      </c>
      <c r="N51" s="301">
        <f t="shared" si="25"/>
        <v>-8.32</v>
      </c>
      <c r="O51" s="139">
        <f t="shared" ref="O51:O57" si="31">M51/J51-1</f>
        <v>0.06149182635</v>
      </c>
      <c r="P51" s="300">
        <f t="shared" si="27"/>
        <v>11360</v>
      </c>
      <c r="Q51" s="124"/>
      <c r="R51" s="125"/>
      <c r="S51" s="127" t="s">
        <v>34</v>
      </c>
      <c r="T51" s="128">
        <v>44881.0</v>
      </c>
      <c r="U51" s="123">
        <v>98.05</v>
      </c>
      <c r="V51" s="129">
        <v>196100.0</v>
      </c>
      <c r="W51" s="127" t="s">
        <v>34</v>
      </c>
      <c r="X51" s="128">
        <v>44854.0</v>
      </c>
      <c r="Y51" s="123">
        <v>92.37</v>
      </c>
      <c r="Z51" s="129">
        <v>184740.0</v>
      </c>
    </row>
    <row r="52">
      <c r="A52" s="114"/>
      <c r="B52" s="115"/>
      <c r="C52" s="116">
        <f>I52/E190</f>
        <v>0</v>
      </c>
      <c r="D52" s="304" t="s">
        <v>530</v>
      </c>
      <c r="E52" s="304" t="s">
        <v>34</v>
      </c>
      <c r="F52" s="359">
        <v>7.8</v>
      </c>
      <c r="G52" s="119">
        <v>2000.0</v>
      </c>
      <c r="H52" s="300">
        <f t="shared" si="23"/>
        <v>149040</v>
      </c>
      <c r="I52" s="133">
        <v>0.0</v>
      </c>
      <c r="J52" s="141">
        <v>74.52</v>
      </c>
      <c r="K52" s="121">
        <f>IFERROR(__xludf.DUMMYFUNCTION("GOOGLEFINANCE(E52,""changepct"")"),-2.94)</f>
        <v>-2.94</v>
      </c>
      <c r="L52" s="302">
        <f>IFERROR(__xludf.DUMMYFUNCTION("googlefinance(E52,""price"")"),84.05)</f>
        <v>84.05</v>
      </c>
      <c r="M52" s="123">
        <v>79.15</v>
      </c>
      <c r="N52" s="301">
        <f t="shared" si="25"/>
        <v>9.53</v>
      </c>
      <c r="O52" s="139">
        <f t="shared" si="31"/>
        <v>0.06213097155</v>
      </c>
      <c r="P52" s="300">
        <f t="shared" si="27"/>
        <v>9260</v>
      </c>
      <c r="Q52" s="124"/>
      <c r="R52" s="125"/>
      <c r="S52" s="127" t="s">
        <v>34</v>
      </c>
      <c r="T52" s="128">
        <v>44867.0</v>
      </c>
      <c r="U52" s="123">
        <v>79.15</v>
      </c>
      <c r="V52" s="129">
        <v>158300.0</v>
      </c>
      <c r="W52" s="127" t="s">
        <v>34</v>
      </c>
      <c r="X52" s="128">
        <v>44858.0</v>
      </c>
      <c r="Y52" s="123">
        <v>74.52</v>
      </c>
      <c r="Z52" s="129">
        <v>149040.0</v>
      </c>
    </row>
    <row r="53">
      <c r="A53" s="114"/>
      <c r="B53" s="115"/>
      <c r="C53" s="116">
        <f>I53/E190</f>
        <v>0</v>
      </c>
      <c r="D53" s="284" t="s">
        <v>343</v>
      </c>
      <c r="E53" s="284" t="s">
        <v>301</v>
      </c>
      <c r="F53" s="118">
        <v>7.5</v>
      </c>
      <c r="G53" s="299">
        <v>2000.0</v>
      </c>
      <c r="H53" s="300">
        <f t="shared" si="23"/>
        <v>121880</v>
      </c>
      <c r="I53" s="133">
        <v>0.0</v>
      </c>
      <c r="J53" s="141">
        <v>60.94</v>
      </c>
      <c r="K53" s="121">
        <f>IFERROR(__xludf.DUMMYFUNCTION("GOOGLEFINANCE(E53,""changepct"")"),-3.14)</f>
        <v>-3.14</v>
      </c>
      <c r="L53" s="302">
        <f>IFERROR(__xludf.DUMMYFUNCTION("googlefinance(E53,""price"")"),94.39)</f>
        <v>94.39</v>
      </c>
      <c r="M53" s="123">
        <v>68.74</v>
      </c>
      <c r="N53" s="301">
        <f t="shared" si="25"/>
        <v>33.45</v>
      </c>
      <c r="O53" s="139">
        <f t="shared" si="31"/>
        <v>0.1279947489</v>
      </c>
      <c r="P53" s="300">
        <f t="shared" si="27"/>
        <v>15600</v>
      </c>
      <c r="Q53" s="124"/>
      <c r="R53" s="125"/>
      <c r="S53" s="127" t="s">
        <v>301</v>
      </c>
      <c r="T53" s="128">
        <v>44881.0</v>
      </c>
      <c r="U53" s="123">
        <v>68.74</v>
      </c>
      <c r="V53" s="129">
        <v>137480.0</v>
      </c>
      <c r="W53" s="360"/>
      <c r="X53" s="298"/>
      <c r="Y53" s="126"/>
      <c r="Z53" s="125"/>
    </row>
    <row r="54">
      <c r="A54" s="114"/>
      <c r="B54" s="115"/>
      <c r="C54" s="116">
        <f>I54/E190</f>
        <v>0</v>
      </c>
      <c r="D54" s="284" t="s">
        <v>343</v>
      </c>
      <c r="E54" s="284" t="s">
        <v>301</v>
      </c>
      <c r="F54" s="118">
        <v>7.5</v>
      </c>
      <c r="G54" s="119">
        <v>2000.0</v>
      </c>
      <c r="H54" s="300">
        <f t="shared" si="23"/>
        <v>84220</v>
      </c>
      <c r="I54" s="133">
        <v>0.0</v>
      </c>
      <c r="J54" s="141">
        <v>42.11</v>
      </c>
      <c r="K54" s="121">
        <f>IFERROR(__xludf.DUMMYFUNCTION("GOOGLEFINANCE(E54,""changepct"")"),-3.14)</f>
        <v>-3.14</v>
      </c>
      <c r="L54" s="302">
        <f>IFERROR(__xludf.DUMMYFUNCTION("googlefinance(E54,""price"")"),94.39)</f>
        <v>94.39</v>
      </c>
      <c r="M54" s="123">
        <v>54.57</v>
      </c>
      <c r="N54" s="301">
        <f t="shared" si="25"/>
        <v>52.28</v>
      </c>
      <c r="O54" s="139">
        <f t="shared" si="31"/>
        <v>0.2958917122</v>
      </c>
      <c r="P54" s="300">
        <f t="shared" si="27"/>
        <v>24920</v>
      </c>
      <c r="Q54" s="124"/>
      <c r="R54" s="125"/>
      <c r="S54" s="127" t="s">
        <v>301</v>
      </c>
      <c r="T54" s="128">
        <v>44867.0</v>
      </c>
      <c r="U54" s="123">
        <v>54.57</v>
      </c>
      <c r="V54" s="129">
        <v>109140.0</v>
      </c>
      <c r="W54" s="127" t="s">
        <v>301</v>
      </c>
      <c r="X54" s="287">
        <v>44858.0</v>
      </c>
      <c r="Y54" s="141">
        <v>42.11</v>
      </c>
      <c r="Z54" s="133">
        <v>84220.0</v>
      </c>
    </row>
    <row r="55">
      <c r="A55" s="114"/>
      <c r="B55" s="115"/>
      <c r="C55" s="116">
        <f>I55/E190</f>
        <v>0</v>
      </c>
      <c r="D55" s="117" t="s">
        <v>487</v>
      </c>
      <c r="E55" s="117" t="s">
        <v>302</v>
      </c>
      <c r="F55" s="118">
        <v>7.5</v>
      </c>
      <c r="G55" s="119">
        <v>3000.0</v>
      </c>
      <c r="H55" s="300">
        <f t="shared" si="23"/>
        <v>104820</v>
      </c>
      <c r="I55" s="133">
        <v>0.0</v>
      </c>
      <c r="J55" s="141">
        <v>34.94</v>
      </c>
      <c r="K55" s="121">
        <f>IFERROR(__xludf.DUMMYFUNCTION("GOOGLEFINANCE(E55,""changepct"")"),-2.06)</f>
        <v>-2.06</v>
      </c>
      <c r="L55" s="302">
        <f>IFERROR(__xludf.DUMMYFUNCTION("googlefinance(E55,""price"")"),34.26)</f>
        <v>34.26</v>
      </c>
      <c r="M55" s="123">
        <v>53.36</v>
      </c>
      <c r="N55" s="301">
        <f t="shared" si="25"/>
        <v>-0.68</v>
      </c>
      <c r="O55" s="139">
        <f t="shared" si="31"/>
        <v>0.5271894677</v>
      </c>
      <c r="P55" s="300">
        <f t="shared" si="27"/>
        <v>55260</v>
      </c>
      <c r="Q55" s="124"/>
      <c r="R55" s="125"/>
      <c r="S55" s="127" t="s">
        <v>302</v>
      </c>
      <c r="T55" s="128">
        <v>44881.0</v>
      </c>
      <c r="U55" s="123">
        <v>53.36</v>
      </c>
      <c r="V55" s="129">
        <v>160080.0</v>
      </c>
      <c r="W55" s="127" t="s">
        <v>302</v>
      </c>
      <c r="X55" s="287">
        <v>44858.0</v>
      </c>
      <c r="Y55" s="141">
        <v>34.94</v>
      </c>
      <c r="Z55" s="133">
        <v>104820.0</v>
      </c>
    </row>
    <row r="56">
      <c r="A56" s="114"/>
      <c r="B56" s="115"/>
      <c r="C56" s="116">
        <f>I56/E190</f>
        <v>0</v>
      </c>
      <c r="D56" s="117" t="s">
        <v>446</v>
      </c>
      <c r="E56" s="117" t="s">
        <v>447</v>
      </c>
      <c r="F56" s="118">
        <v>7.2</v>
      </c>
      <c r="G56" s="119">
        <v>17000.0</v>
      </c>
      <c r="H56" s="300">
        <f t="shared" si="23"/>
        <v>111350</v>
      </c>
      <c r="I56" s="133">
        <v>0.0</v>
      </c>
      <c r="J56" s="141">
        <v>6.55</v>
      </c>
      <c r="K56" s="121">
        <f>IFERROR(__xludf.DUMMYFUNCTION("GOOGLEFINANCE(E56,""changepct"")"),-6.02)</f>
        <v>-6.02</v>
      </c>
      <c r="L56" s="302">
        <f>IFERROR(__xludf.DUMMYFUNCTION("googlefinance(E56,""price"")"),11.87)</f>
        <v>11.87</v>
      </c>
      <c r="M56" s="123">
        <v>8.63</v>
      </c>
      <c r="N56" s="301">
        <f t="shared" si="25"/>
        <v>5.32</v>
      </c>
      <c r="O56" s="139">
        <f t="shared" si="31"/>
        <v>0.3175572519</v>
      </c>
      <c r="P56" s="300">
        <f t="shared" si="27"/>
        <v>35360</v>
      </c>
      <c r="Q56" s="124"/>
      <c r="R56" s="125"/>
      <c r="S56" s="127" t="s">
        <v>447</v>
      </c>
      <c r="T56" s="128">
        <v>44881.0</v>
      </c>
      <c r="U56" s="123">
        <v>8.63</v>
      </c>
      <c r="V56" s="129">
        <v>146710.0</v>
      </c>
      <c r="W56" s="127" t="s">
        <v>447</v>
      </c>
      <c r="X56" s="287">
        <v>44858.0</v>
      </c>
      <c r="Y56" s="141">
        <v>6.55</v>
      </c>
      <c r="Z56" s="133">
        <v>111350.0</v>
      </c>
    </row>
    <row r="57">
      <c r="A57" s="114"/>
      <c r="B57" s="115"/>
      <c r="C57" s="116">
        <f>I57/E190</f>
        <v>0</v>
      </c>
      <c r="D57" s="117" t="s">
        <v>446</v>
      </c>
      <c r="E57" s="117" t="s">
        <v>447</v>
      </c>
      <c r="F57" s="118">
        <v>7.2</v>
      </c>
      <c r="G57" s="119">
        <v>13000.0</v>
      </c>
      <c r="H57" s="300">
        <f t="shared" si="23"/>
        <v>116350</v>
      </c>
      <c r="I57" s="133">
        <v>0.0</v>
      </c>
      <c r="J57" s="141">
        <v>8.95</v>
      </c>
      <c r="K57" s="121">
        <f>IFERROR(__xludf.DUMMYFUNCTION("GOOGLEFINANCE(E57,""changepct"")"),-6.02)</f>
        <v>-6.02</v>
      </c>
      <c r="L57" s="302">
        <f>IFERROR(__xludf.DUMMYFUNCTION("googlefinance(E57,""price"")"),11.87)</f>
        <v>11.87</v>
      </c>
      <c r="M57" s="123">
        <v>6.78</v>
      </c>
      <c r="N57" s="301">
        <f t="shared" si="25"/>
        <v>2.92</v>
      </c>
      <c r="O57" s="139">
        <f t="shared" si="31"/>
        <v>-0.2424581006</v>
      </c>
      <c r="P57" s="300">
        <f t="shared" si="27"/>
        <v>-28210</v>
      </c>
      <c r="Q57" s="124"/>
      <c r="R57" s="125"/>
      <c r="S57" s="127" t="s">
        <v>447</v>
      </c>
      <c r="T57" s="128">
        <v>44867.0</v>
      </c>
      <c r="U57" s="123">
        <v>6.78</v>
      </c>
      <c r="V57" s="129">
        <v>88140.0</v>
      </c>
      <c r="W57" s="127" t="s">
        <v>447</v>
      </c>
      <c r="X57" s="287">
        <v>44847.0</v>
      </c>
      <c r="Y57" s="141">
        <v>8.95</v>
      </c>
      <c r="Z57" s="133">
        <v>116350.0</v>
      </c>
    </row>
    <row r="58">
      <c r="A58" s="114"/>
      <c r="B58" s="115"/>
      <c r="C58" s="116">
        <f>I58/E190</f>
        <v>0.001887604284</v>
      </c>
      <c r="D58" s="284" t="s">
        <v>490</v>
      </c>
      <c r="E58" s="284" t="s">
        <v>349</v>
      </c>
      <c r="F58" s="118">
        <v>7.4</v>
      </c>
      <c r="G58" s="119">
        <v>5000.0</v>
      </c>
      <c r="H58" s="300">
        <f t="shared" si="23"/>
        <v>62600</v>
      </c>
      <c r="I58" s="300">
        <f>H58+P58</f>
        <v>21900</v>
      </c>
      <c r="J58" s="141">
        <v>12.52</v>
      </c>
      <c r="K58" s="121">
        <f>IFERROR(__xludf.DUMMYFUNCTION("GOOGLEFINANCE(E58,""changepct"")"),-2.23)</f>
        <v>-2.23</v>
      </c>
      <c r="L58" s="302">
        <f>IFERROR(__xludf.DUMMYFUNCTION("googlefinance(E58,""price"")"),4.38)</f>
        <v>4.38</v>
      </c>
      <c r="M58" s="126"/>
      <c r="N58" s="301">
        <f t="shared" si="25"/>
        <v>-8.14</v>
      </c>
      <c r="O58" s="139">
        <f>L58/J58-1</f>
        <v>-0.6501597444</v>
      </c>
      <c r="P58" s="300">
        <f t="shared" si="27"/>
        <v>-40700</v>
      </c>
      <c r="Q58" s="124"/>
      <c r="R58" s="125"/>
      <c r="S58" s="360"/>
      <c r="T58" s="298"/>
      <c r="U58" s="126"/>
      <c r="V58" s="125"/>
      <c r="W58" s="127" t="s">
        <v>349</v>
      </c>
      <c r="X58" s="287">
        <v>44847.0</v>
      </c>
      <c r="Y58" s="141">
        <v>12.52</v>
      </c>
      <c r="Z58" s="133">
        <v>62600.0</v>
      </c>
    </row>
    <row r="59">
      <c r="A59" s="114"/>
      <c r="B59" s="115"/>
      <c r="C59" s="116">
        <f>I59/E190</f>
        <v>0</v>
      </c>
      <c r="D59" s="284" t="s">
        <v>490</v>
      </c>
      <c r="E59" s="284" t="s">
        <v>349</v>
      </c>
      <c r="F59" s="118">
        <v>7.4</v>
      </c>
      <c r="G59" s="119">
        <v>5000.0</v>
      </c>
      <c r="H59" s="300">
        <f t="shared" si="23"/>
        <v>54800</v>
      </c>
      <c r="I59" s="133">
        <v>0.0</v>
      </c>
      <c r="J59" s="141">
        <v>10.96</v>
      </c>
      <c r="K59" s="121">
        <f>IFERROR(__xludf.DUMMYFUNCTION("GOOGLEFINANCE(E59,""changepct"")"),-2.23)</f>
        <v>-2.23</v>
      </c>
      <c r="L59" s="302">
        <f>IFERROR(__xludf.DUMMYFUNCTION("googlefinance(E59,""price"")"),4.38)</f>
        <v>4.38</v>
      </c>
      <c r="M59" s="123">
        <v>11.07</v>
      </c>
      <c r="N59" s="301">
        <f t="shared" si="25"/>
        <v>-6.58</v>
      </c>
      <c r="O59" s="139">
        <f>M59/J59-1</f>
        <v>0.01003649635</v>
      </c>
      <c r="P59" s="300">
        <f t="shared" si="27"/>
        <v>550</v>
      </c>
      <c r="Q59" s="124"/>
      <c r="R59" s="125"/>
      <c r="S59" s="127" t="s">
        <v>349</v>
      </c>
      <c r="T59" s="128">
        <v>44869.0</v>
      </c>
      <c r="U59" s="123">
        <v>11.07</v>
      </c>
      <c r="V59" s="129">
        <v>55350.0</v>
      </c>
      <c r="W59" s="127" t="s">
        <v>349</v>
      </c>
      <c r="X59" s="287">
        <v>44854.0</v>
      </c>
      <c r="Y59" s="141">
        <v>10.96</v>
      </c>
      <c r="Z59" s="133">
        <v>54800.0</v>
      </c>
    </row>
    <row r="60">
      <c r="A60" s="114"/>
      <c r="B60" s="115"/>
      <c r="C60" s="116">
        <f>I60/E190</f>
        <v>0.002642645997</v>
      </c>
      <c r="D60" s="284" t="s">
        <v>490</v>
      </c>
      <c r="E60" s="284" t="s">
        <v>349</v>
      </c>
      <c r="F60" s="118">
        <v>7.4</v>
      </c>
      <c r="G60" s="119">
        <v>7000.0</v>
      </c>
      <c r="H60" s="300">
        <f t="shared" si="23"/>
        <v>107170</v>
      </c>
      <c r="I60" s="300">
        <f>H60+P60</f>
        <v>30660</v>
      </c>
      <c r="J60" s="141">
        <v>15.31</v>
      </c>
      <c r="K60" s="121">
        <f>IFERROR(__xludf.DUMMYFUNCTION("GOOGLEFINANCE(E60,""changepct"")"),-2.23)</f>
        <v>-2.23</v>
      </c>
      <c r="L60" s="302">
        <f>IFERROR(__xludf.DUMMYFUNCTION("googlefinance(E60,""price"")"),4.38)</f>
        <v>4.38</v>
      </c>
      <c r="M60" s="126"/>
      <c r="N60" s="301">
        <f t="shared" si="25"/>
        <v>-10.93</v>
      </c>
      <c r="O60" s="139">
        <f>L60/J60-1</f>
        <v>-0.7139124755</v>
      </c>
      <c r="P60" s="300">
        <f t="shared" si="27"/>
        <v>-76510</v>
      </c>
      <c r="Q60" s="124"/>
      <c r="R60" s="125"/>
      <c r="S60" s="360"/>
      <c r="T60" s="298"/>
      <c r="U60" s="126"/>
      <c r="V60" s="125"/>
      <c r="W60" s="360"/>
      <c r="X60" s="305"/>
      <c r="Y60" s="301"/>
      <c r="Z60" s="300"/>
    </row>
    <row r="61">
      <c r="A61" s="351"/>
      <c r="B61" s="352"/>
      <c r="C61" s="352" t="s">
        <v>89</v>
      </c>
      <c r="D61" s="352"/>
      <c r="E61" s="352"/>
      <c r="F61" s="352"/>
      <c r="G61" s="378"/>
      <c r="H61" s="366">
        <f t="shared" ref="H61:I61" si="32">SUM(H44:H60)</f>
        <v>2257099</v>
      </c>
      <c r="I61" s="367">
        <f t="shared" si="32"/>
        <v>683255</v>
      </c>
      <c r="J61" s="354"/>
      <c r="K61" s="354"/>
      <c r="L61" s="354"/>
      <c r="M61" s="355"/>
      <c r="N61" s="355"/>
      <c r="O61" s="491">
        <f>P61/I61</f>
        <v>0.2948738026</v>
      </c>
      <c r="P61" s="369">
        <v>201474.0</v>
      </c>
      <c r="Q61" s="352"/>
      <c r="R61" s="366">
        <v>0.0</v>
      </c>
      <c r="S61" s="352" t="s">
        <v>89</v>
      </c>
      <c r="T61" s="371"/>
      <c r="U61" s="371"/>
      <c r="V61" s="366">
        <f>SUM(V44:V60)</f>
        <v>1588883</v>
      </c>
      <c r="W61" s="352" t="s">
        <v>89</v>
      </c>
      <c r="X61" s="371"/>
      <c r="Y61" s="372"/>
      <c r="Z61" s="366">
        <f>SUM(Z44:Z60)</f>
        <v>1597089</v>
      </c>
    </row>
    <row r="62">
      <c r="A62" s="373"/>
      <c r="B62" s="352" t="s">
        <v>588</v>
      </c>
      <c r="C62" s="352" t="s">
        <v>2</v>
      </c>
      <c r="D62" s="352" t="s">
        <v>3</v>
      </c>
      <c r="E62" s="352" t="s">
        <v>4</v>
      </c>
      <c r="F62" s="352" t="s">
        <v>5</v>
      </c>
      <c r="G62" s="352" t="s">
        <v>6</v>
      </c>
      <c r="H62" s="352" t="s">
        <v>7</v>
      </c>
      <c r="I62" s="353" t="s">
        <v>8</v>
      </c>
      <c r="J62" s="353" t="s">
        <v>9</v>
      </c>
      <c r="K62" s="354" t="s">
        <v>10</v>
      </c>
      <c r="L62" s="354" t="s">
        <v>11</v>
      </c>
      <c r="M62" s="355" t="s">
        <v>476</v>
      </c>
      <c r="N62" s="355" t="s">
        <v>13</v>
      </c>
      <c r="O62" s="352" t="s">
        <v>14</v>
      </c>
      <c r="P62" s="355" t="s">
        <v>15</v>
      </c>
      <c r="Q62" s="352" t="s">
        <v>16</v>
      </c>
      <c r="R62" s="352" t="s">
        <v>17</v>
      </c>
      <c r="S62" s="352" t="s">
        <v>21</v>
      </c>
      <c r="T62" s="352" t="s">
        <v>22</v>
      </c>
      <c r="U62" s="357" t="s">
        <v>23</v>
      </c>
      <c r="V62" s="357" t="s">
        <v>24</v>
      </c>
      <c r="W62" s="352" t="s">
        <v>25</v>
      </c>
      <c r="X62" s="352" t="s">
        <v>26</v>
      </c>
      <c r="Y62" s="352" t="s">
        <v>27</v>
      </c>
      <c r="Z62" s="352" t="s">
        <v>28</v>
      </c>
    </row>
    <row r="63">
      <c r="A63" s="377" t="s">
        <v>29</v>
      </c>
      <c r="B63" s="362">
        <f>I67/E190</f>
        <v>0</v>
      </c>
      <c r="C63" s="116">
        <f>I63/E190</f>
        <v>0</v>
      </c>
      <c r="D63" s="379" t="s">
        <v>589</v>
      </c>
      <c r="E63" s="304" t="s">
        <v>315</v>
      </c>
      <c r="F63" s="359">
        <v>7.6</v>
      </c>
      <c r="G63" s="119">
        <v>2000.0</v>
      </c>
      <c r="H63" s="300">
        <f t="shared" ref="H63:H66" si="33">J63*G63</f>
        <v>123100</v>
      </c>
      <c r="I63" s="133">
        <v>0.0</v>
      </c>
      <c r="J63" s="141">
        <v>61.55</v>
      </c>
      <c r="K63" s="391">
        <f>IFERROR(__xludf.DUMMYFUNCTION("GOOGLEFINANCE(E63,""changepct"")"),-2.23)</f>
        <v>-2.23</v>
      </c>
      <c r="L63" s="302">
        <f>IFERROR(__xludf.DUMMYFUNCTION("googlefinance(E63,""price"")"),92.01)</f>
        <v>92.01</v>
      </c>
      <c r="M63" s="123">
        <v>68.87</v>
      </c>
      <c r="N63" s="301">
        <f t="shared" ref="N63:N66" si="34">L63-J63</f>
        <v>30.46</v>
      </c>
      <c r="O63" s="139">
        <f t="shared" ref="O63:O66" si="35">M63/J63-1</f>
        <v>0.1189277011</v>
      </c>
      <c r="P63" s="382">
        <f t="shared" ref="P63:P66" si="36">H63*O63</f>
        <v>14640</v>
      </c>
      <c r="Q63" s="116">
        <v>0.047</v>
      </c>
      <c r="R63" s="300"/>
      <c r="S63" s="127" t="s">
        <v>315</v>
      </c>
      <c r="T63" s="128">
        <v>44858.0</v>
      </c>
      <c r="U63" s="123">
        <v>68.87</v>
      </c>
      <c r="V63" s="129">
        <v>137740.0</v>
      </c>
      <c r="W63" s="115"/>
      <c r="X63" s="298"/>
      <c r="Y63" s="126"/>
      <c r="Z63" s="125"/>
    </row>
    <row r="64">
      <c r="A64" s="114"/>
      <c r="B64" s="115"/>
      <c r="C64" s="116">
        <f>I64/E190</f>
        <v>0</v>
      </c>
      <c r="D64" s="379" t="s">
        <v>590</v>
      </c>
      <c r="E64" s="304" t="s">
        <v>104</v>
      </c>
      <c r="F64" s="359">
        <v>7.5</v>
      </c>
      <c r="G64" s="299">
        <v>500.0</v>
      </c>
      <c r="H64" s="300">
        <f t="shared" si="33"/>
        <v>112700</v>
      </c>
      <c r="I64" s="133">
        <v>0.0</v>
      </c>
      <c r="J64" s="141">
        <v>225.4</v>
      </c>
      <c r="K64" s="391">
        <f>IFERROR(__xludf.DUMMYFUNCTION("GOOGLEFINANCE(E64,""changepct"")"),-1.28)</f>
        <v>-1.28</v>
      </c>
      <c r="L64" s="302">
        <f>IFERROR(__xludf.DUMMYFUNCTION("googlefinance(E64,""price"")"),259.3)</f>
        <v>259.3</v>
      </c>
      <c r="M64" s="123">
        <v>229.57</v>
      </c>
      <c r="N64" s="301">
        <f t="shared" si="34"/>
        <v>33.9</v>
      </c>
      <c r="O64" s="139">
        <f t="shared" si="35"/>
        <v>0.01850044366</v>
      </c>
      <c r="P64" s="300">
        <f t="shared" si="36"/>
        <v>2085</v>
      </c>
      <c r="Q64" s="116">
        <v>0.032</v>
      </c>
      <c r="R64" s="300"/>
      <c r="S64" s="127" t="s">
        <v>104</v>
      </c>
      <c r="T64" s="128">
        <v>44841.0</v>
      </c>
      <c r="U64" s="123">
        <v>229.75</v>
      </c>
      <c r="V64" s="129">
        <v>114785.0</v>
      </c>
      <c r="W64" s="115"/>
      <c r="X64" s="298"/>
      <c r="Y64" s="126"/>
      <c r="Z64" s="125"/>
    </row>
    <row r="65">
      <c r="A65" s="114"/>
      <c r="B65" s="115"/>
      <c r="C65" s="116">
        <f>I65/E190</f>
        <v>0</v>
      </c>
      <c r="D65" s="379" t="s">
        <v>111</v>
      </c>
      <c r="E65" s="304" t="s">
        <v>112</v>
      </c>
      <c r="F65" s="359">
        <v>7.5</v>
      </c>
      <c r="G65" s="299">
        <v>1000.0</v>
      </c>
      <c r="H65" s="300">
        <f t="shared" si="33"/>
        <v>134210</v>
      </c>
      <c r="I65" s="133">
        <v>0.0</v>
      </c>
      <c r="J65" s="141">
        <v>134.21</v>
      </c>
      <c r="K65" s="391">
        <f>IFERROR(__xludf.DUMMYFUNCTION("GOOGLEFINANCE(E65,""changepct"")"),-1.02)</f>
        <v>-1.02</v>
      </c>
      <c r="L65" s="302">
        <f>IFERROR(__xludf.DUMMYFUNCTION("googlefinance(E65,""price"")"),176.2)</f>
        <v>176.2</v>
      </c>
      <c r="M65" s="141">
        <v>150.42</v>
      </c>
      <c r="N65" s="301">
        <f t="shared" si="34"/>
        <v>41.99</v>
      </c>
      <c r="O65" s="139">
        <f t="shared" si="35"/>
        <v>0.1207808658</v>
      </c>
      <c r="P65" s="300">
        <f t="shared" si="36"/>
        <v>16210</v>
      </c>
      <c r="Q65" s="116">
        <v>0.042</v>
      </c>
      <c r="R65" s="125"/>
      <c r="S65" s="127" t="s">
        <v>112</v>
      </c>
      <c r="T65" s="287">
        <v>44858.0</v>
      </c>
      <c r="U65" s="141">
        <v>150.42</v>
      </c>
      <c r="V65" s="133">
        <v>150420.0</v>
      </c>
      <c r="W65" s="115"/>
      <c r="X65" s="298"/>
      <c r="Y65" s="126"/>
      <c r="Z65" s="125"/>
    </row>
    <row r="66">
      <c r="A66" s="114"/>
      <c r="B66" s="115"/>
      <c r="C66" s="116">
        <f>I66/E190</f>
        <v>0</v>
      </c>
      <c r="D66" s="304" t="s">
        <v>591</v>
      </c>
      <c r="E66" s="304" t="s">
        <v>592</v>
      </c>
      <c r="F66" s="359">
        <v>7.5</v>
      </c>
      <c r="G66" s="119">
        <v>2000.0</v>
      </c>
      <c r="H66" s="300">
        <f t="shared" si="33"/>
        <v>109680</v>
      </c>
      <c r="I66" s="133">
        <v>0.0</v>
      </c>
      <c r="J66" s="141">
        <v>54.84</v>
      </c>
      <c r="K66" s="391">
        <f>IFERROR(__xludf.DUMMYFUNCTION("GOOGLEFINANCE(E66,""changepct"")"),-1.04)</f>
        <v>-1.04</v>
      </c>
      <c r="L66" s="302">
        <f>IFERROR(__xludf.DUMMYFUNCTION("googlefinance(E66,""price"")"),65.57)</f>
        <v>65.57</v>
      </c>
      <c r="M66" s="141">
        <v>55.44</v>
      </c>
      <c r="N66" s="301">
        <f t="shared" si="34"/>
        <v>10.73</v>
      </c>
      <c r="O66" s="139">
        <f t="shared" si="35"/>
        <v>0.01094091904</v>
      </c>
      <c r="P66" s="300">
        <f t="shared" si="36"/>
        <v>1200</v>
      </c>
      <c r="Q66" s="116">
        <v>0.024</v>
      </c>
      <c r="R66" s="125"/>
      <c r="S66" s="127" t="s">
        <v>592</v>
      </c>
      <c r="T66" s="287">
        <v>44841.0</v>
      </c>
      <c r="U66" s="141">
        <v>55.44</v>
      </c>
      <c r="V66" s="133">
        <v>110880.0</v>
      </c>
      <c r="W66" s="115"/>
      <c r="X66" s="298"/>
      <c r="Y66" s="126"/>
      <c r="Z66" s="125"/>
    </row>
    <row r="67">
      <c r="A67" s="351"/>
      <c r="B67" s="352"/>
      <c r="C67" s="352" t="s">
        <v>89</v>
      </c>
      <c r="D67" s="352"/>
      <c r="E67" s="352"/>
      <c r="F67" s="352"/>
      <c r="G67" s="378"/>
      <c r="H67" s="366">
        <f t="shared" ref="H67:I67" si="37">SUM(H63:H66)</f>
        <v>479690</v>
      </c>
      <c r="I67" s="367">
        <f t="shared" si="37"/>
        <v>0</v>
      </c>
      <c r="J67" s="354"/>
      <c r="K67" s="354"/>
      <c r="L67" s="354"/>
      <c r="M67" s="355"/>
      <c r="N67" s="355"/>
      <c r="O67" s="491">
        <f>P67/H67</f>
        <v>0.07116054118</v>
      </c>
      <c r="P67" s="369">
        <v>34135.0</v>
      </c>
      <c r="Q67" s="352"/>
      <c r="R67" s="366">
        <f>SUM(R63:R66)</f>
        <v>0</v>
      </c>
      <c r="S67" s="352" t="s">
        <v>89</v>
      </c>
      <c r="T67" s="371"/>
      <c r="U67" s="371"/>
      <c r="V67" s="366">
        <f>SUM(V63:V66)</f>
        <v>513825</v>
      </c>
      <c r="W67" s="352" t="s">
        <v>89</v>
      </c>
      <c r="X67" s="371"/>
      <c r="Y67" s="372"/>
      <c r="Z67" s="366">
        <f>SUM(Z63:Z66)</f>
        <v>0</v>
      </c>
    </row>
    <row r="68">
      <c r="A68" s="373"/>
      <c r="B68" s="352" t="s">
        <v>593</v>
      </c>
      <c r="C68" s="352" t="s">
        <v>2</v>
      </c>
      <c r="D68" s="352" t="s">
        <v>3</v>
      </c>
      <c r="E68" s="352" t="s">
        <v>4</v>
      </c>
      <c r="F68" s="352" t="s">
        <v>5</v>
      </c>
      <c r="G68" s="352" t="s">
        <v>6</v>
      </c>
      <c r="H68" s="352" t="s">
        <v>7</v>
      </c>
      <c r="I68" s="353" t="s">
        <v>8</v>
      </c>
      <c r="J68" s="353" t="s">
        <v>9</v>
      </c>
      <c r="K68" s="354" t="s">
        <v>10</v>
      </c>
      <c r="L68" s="354" t="s">
        <v>11</v>
      </c>
      <c r="M68" s="355" t="s">
        <v>476</v>
      </c>
      <c r="N68" s="355" t="s">
        <v>13</v>
      </c>
      <c r="O68" s="352" t="s">
        <v>14</v>
      </c>
      <c r="P68" s="355" t="s">
        <v>15</v>
      </c>
      <c r="Q68" s="352" t="s">
        <v>16</v>
      </c>
      <c r="R68" s="352" t="s">
        <v>17</v>
      </c>
      <c r="S68" s="352" t="s">
        <v>21</v>
      </c>
      <c r="T68" s="352" t="s">
        <v>22</v>
      </c>
      <c r="U68" s="357" t="s">
        <v>23</v>
      </c>
      <c r="V68" s="357" t="s">
        <v>24</v>
      </c>
      <c r="W68" s="352" t="s">
        <v>25</v>
      </c>
      <c r="X68" s="352" t="s">
        <v>26</v>
      </c>
      <c r="Y68" s="352" t="s">
        <v>27</v>
      </c>
      <c r="Z68" s="352" t="s">
        <v>28</v>
      </c>
    </row>
    <row r="69">
      <c r="A69" s="377" t="s">
        <v>29</v>
      </c>
      <c r="B69" s="362">
        <f>I76/E190</f>
        <v>0.02399713912</v>
      </c>
      <c r="C69" s="116">
        <f>I69/E190</f>
        <v>0.005795548495</v>
      </c>
      <c r="D69" s="304" t="s">
        <v>304</v>
      </c>
      <c r="E69" s="304" t="s">
        <v>305</v>
      </c>
      <c r="F69" s="359">
        <v>7.4</v>
      </c>
      <c r="G69" s="299">
        <v>2000.0</v>
      </c>
      <c r="H69" s="300">
        <f t="shared" ref="H69:H75" si="38">J69*G69</f>
        <v>147220</v>
      </c>
      <c r="I69" s="300">
        <f t="shared" ref="I69:I72" si="39">H69+P69</f>
        <v>67240</v>
      </c>
      <c r="J69" s="141">
        <v>73.61</v>
      </c>
      <c r="K69" s="121">
        <f>IFERROR(__xludf.DUMMYFUNCTION("GOOGLEFINANCE(E69,""changepct"")"),-0.97)</f>
        <v>-0.97</v>
      </c>
      <c r="L69" s="301">
        <f>IFERROR(__xludf.DUMMYFUNCTION("googlefinance(E69,""price"")"),33.62)</f>
        <v>33.62</v>
      </c>
      <c r="M69" s="301"/>
      <c r="N69" s="301">
        <f t="shared" ref="N69:N75" si="40">L69-J69</f>
        <v>-39.99</v>
      </c>
      <c r="O69" s="139">
        <f t="shared" ref="O69:O72" si="41">L69/J69-1</f>
        <v>-0.5432685776</v>
      </c>
      <c r="P69" s="300">
        <f t="shared" ref="P69:P75" si="42">H69*O69</f>
        <v>-79980</v>
      </c>
      <c r="Q69" s="124"/>
      <c r="R69" s="125"/>
      <c r="S69" s="360"/>
      <c r="T69" s="305"/>
      <c r="U69" s="301"/>
      <c r="V69" s="300"/>
      <c r="W69" s="360"/>
      <c r="X69" s="115"/>
      <c r="Y69" s="126"/>
      <c r="Z69" s="125"/>
    </row>
    <row r="70">
      <c r="A70" s="114"/>
      <c r="B70" s="115"/>
      <c r="C70" s="116">
        <f>I70/E190</f>
        <v>0.007388807179</v>
      </c>
      <c r="D70" s="379" t="s">
        <v>306</v>
      </c>
      <c r="E70" s="379" t="s">
        <v>307</v>
      </c>
      <c r="F70" s="359">
        <v>7.5</v>
      </c>
      <c r="G70" s="299">
        <v>7500.0</v>
      </c>
      <c r="H70" s="300">
        <f t="shared" si="38"/>
        <v>143175</v>
      </c>
      <c r="I70" s="300">
        <f t="shared" si="39"/>
        <v>85725</v>
      </c>
      <c r="J70" s="141">
        <v>19.09</v>
      </c>
      <c r="K70" s="121">
        <f>IFERROR(__xludf.DUMMYFUNCTION("GOOGLEFINANCE(E70,""changepct"")"),-0.87)</f>
        <v>-0.87</v>
      </c>
      <c r="L70" s="301">
        <f>IFERROR(__xludf.DUMMYFUNCTION("googlefinance(E70,""price"")"),11.43)</f>
        <v>11.43</v>
      </c>
      <c r="M70" s="126"/>
      <c r="N70" s="301">
        <f t="shared" si="40"/>
        <v>-7.66</v>
      </c>
      <c r="O70" s="139">
        <f t="shared" si="41"/>
        <v>-0.4012572027</v>
      </c>
      <c r="P70" s="300">
        <f t="shared" si="42"/>
        <v>-57450</v>
      </c>
      <c r="Q70" s="116">
        <v>0.015</v>
      </c>
      <c r="R70" s="133">
        <v>555.0</v>
      </c>
      <c r="S70" s="360"/>
      <c r="T70" s="298"/>
      <c r="U70" s="126"/>
      <c r="V70" s="125"/>
      <c r="W70" s="360"/>
      <c r="X70" s="298"/>
      <c r="Y70" s="126"/>
      <c r="Z70" s="125"/>
    </row>
    <row r="71">
      <c r="A71" s="114"/>
      <c r="B71" s="115"/>
      <c r="C71" s="116">
        <f>I71/E190</f>
        <v>0.002903807686</v>
      </c>
      <c r="D71" s="380" t="s">
        <v>389</v>
      </c>
      <c r="E71" s="381" t="s">
        <v>390</v>
      </c>
      <c r="F71" s="365">
        <v>7.3</v>
      </c>
      <c r="G71" s="119">
        <v>3000.0</v>
      </c>
      <c r="H71" s="300">
        <f t="shared" si="38"/>
        <v>93420</v>
      </c>
      <c r="I71" s="300">
        <f t="shared" si="39"/>
        <v>33690</v>
      </c>
      <c r="J71" s="141">
        <v>31.14</v>
      </c>
      <c r="K71" s="121">
        <f>IFERROR(__xludf.DUMMYFUNCTION("GOOGLEFINANCE(E71,""changepct"")"),-1.32)</f>
        <v>-1.32</v>
      </c>
      <c r="L71" s="301">
        <f>IFERROR(__xludf.DUMMYFUNCTION("googlefinance(E71,""price"")"),11.23)</f>
        <v>11.23</v>
      </c>
      <c r="M71" s="141"/>
      <c r="N71" s="301">
        <f t="shared" si="40"/>
        <v>-19.91</v>
      </c>
      <c r="O71" s="139">
        <f t="shared" si="41"/>
        <v>-0.6393705845</v>
      </c>
      <c r="P71" s="300">
        <f t="shared" si="42"/>
        <v>-59730</v>
      </c>
      <c r="Q71" s="116"/>
      <c r="R71" s="125"/>
      <c r="S71" s="127"/>
      <c r="T71" s="287"/>
      <c r="U71" s="141"/>
      <c r="V71" s="133"/>
      <c r="W71" s="127" t="s">
        <v>390</v>
      </c>
      <c r="X71" s="128">
        <v>44852.0</v>
      </c>
      <c r="Y71" s="123">
        <v>31.14</v>
      </c>
      <c r="Z71" s="129">
        <v>93420.0</v>
      </c>
    </row>
    <row r="72">
      <c r="A72" s="114"/>
      <c r="B72" s="115"/>
      <c r="C72" s="116">
        <f>I72/E190</f>
        <v>0.007908975757</v>
      </c>
      <c r="D72" s="231" t="s">
        <v>391</v>
      </c>
      <c r="E72" s="159" t="s">
        <v>392</v>
      </c>
      <c r="F72" s="365">
        <v>7.2</v>
      </c>
      <c r="G72" s="119">
        <v>4000.0</v>
      </c>
      <c r="H72" s="300">
        <f t="shared" si="38"/>
        <v>117360</v>
      </c>
      <c r="I72" s="300">
        <f t="shared" si="39"/>
        <v>91760</v>
      </c>
      <c r="J72" s="141">
        <v>29.34</v>
      </c>
      <c r="K72" s="121">
        <f>IFERROR(__xludf.DUMMYFUNCTION("GOOGLEFINANCE(E72,""changepct"")"),-0.52)</f>
        <v>-0.52</v>
      </c>
      <c r="L72" s="301">
        <f>IFERROR(__xludf.DUMMYFUNCTION("googlefinance(E72,""price"")"),22.94)</f>
        <v>22.94</v>
      </c>
      <c r="M72" s="141"/>
      <c r="N72" s="301">
        <f t="shared" si="40"/>
        <v>-6.4</v>
      </c>
      <c r="O72" s="139">
        <f t="shared" si="41"/>
        <v>-0.2181322427</v>
      </c>
      <c r="P72" s="300">
        <f t="shared" si="42"/>
        <v>-25600</v>
      </c>
      <c r="Q72" s="116"/>
      <c r="R72" s="125"/>
      <c r="S72" s="127"/>
      <c r="T72" s="287"/>
      <c r="U72" s="141"/>
      <c r="V72" s="133"/>
      <c r="W72" s="127" t="s">
        <v>392</v>
      </c>
      <c r="X72" s="128">
        <v>44852.0</v>
      </c>
      <c r="Y72" s="123">
        <v>29.34</v>
      </c>
      <c r="Z72" s="129">
        <v>117360.0</v>
      </c>
    </row>
    <row r="73">
      <c r="A73" s="114"/>
      <c r="B73" s="115"/>
      <c r="C73" s="116">
        <f>I73/E190</f>
        <v>0</v>
      </c>
      <c r="D73" s="379" t="s">
        <v>566</v>
      </c>
      <c r="E73" s="379" t="s">
        <v>567</v>
      </c>
      <c r="F73" s="444">
        <v>7.3</v>
      </c>
      <c r="G73" s="299">
        <v>1500.0</v>
      </c>
      <c r="H73" s="300">
        <f t="shared" si="38"/>
        <v>160275</v>
      </c>
      <c r="I73" s="133">
        <v>0.0</v>
      </c>
      <c r="J73" s="141">
        <v>106.85</v>
      </c>
      <c r="K73" s="121">
        <f>IFERROR(__xludf.DUMMYFUNCTION("GOOGLEFINANCE(E73,""changepct"")"),0.01)</f>
        <v>0.01</v>
      </c>
      <c r="L73" s="301">
        <f>IFERROR(__xludf.DUMMYFUNCTION("googlefinance(E73,""price"")"),119.59)</f>
        <v>119.59</v>
      </c>
      <c r="M73" s="141">
        <v>114.29</v>
      </c>
      <c r="N73" s="301">
        <f t="shared" si="40"/>
        <v>12.74</v>
      </c>
      <c r="O73" s="139">
        <f t="shared" ref="O73:O75" si="43">M73/J73-1</f>
        <v>0.06963032288</v>
      </c>
      <c r="P73" s="300">
        <f t="shared" si="42"/>
        <v>11160</v>
      </c>
      <c r="Q73" s="116">
        <v>0.055</v>
      </c>
      <c r="R73" s="125"/>
      <c r="S73" s="127" t="s">
        <v>567</v>
      </c>
      <c r="T73" s="287">
        <v>44841.0</v>
      </c>
      <c r="U73" s="141">
        <v>114.29</v>
      </c>
      <c r="V73" s="133">
        <v>171435.0</v>
      </c>
      <c r="W73" s="360"/>
      <c r="X73" s="298"/>
      <c r="Y73" s="126"/>
      <c r="Z73" s="125"/>
    </row>
    <row r="74">
      <c r="A74" s="114"/>
      <c r="B74" s="115"/>
      <c r="C74" s="116">
        <f>I74/E190</f>
        <v>0</v>
      </c>
      <c r="D74" s="379" t="s">
        <v>491</v>
      </c>
      <c r="E74" s="379" t="s">
        <v>492</v>
      </c>
      <c r="F74" s="359">
        <v>7.4</v>
      </c>
      <c r="G74" s="119">
        <v>2000.0</v>
      </c>
      <c r="H74" s="300">
        <f t="shared" si="38"/>
        <v>174620</v>
      </c>
      <c r="I74" s="133">
        <v>0.0</v>
      </c>
      <c r="J74" s="141">
        <v>87.31</v>
      </c>
      <c r="K74" s="121">
        <f>IFERROR(__xludf.DUMMYFUNCTION("GOOGLEFINANCE(E74,""changepct"")"),-0.68)</f>
        <v>-0.68</v>
      </c>
      <c r="L74" s="301">
        <f>IFERROR(__xludf.DUMMYFUNCTION("googlefinance(E74,""price"")"),105.76)</f>
        <v>105.76</v>
      </c>
      <c r="M74" s="123">
        <v>107.45</v>
      </c>
      <c r="N74" s="301">
        <f t="shared" si="40"/>
        <v>18.45</v>
      </c>
      <c r="O74" s="139">
        <f t="shared" si="43"/>
        <v>0.230672317</v>
      </c>
      <c r="P74" s="300">
        <f t="shared" si="42"/>
        <v>40280</v>
      </c>
      <c r="Q74" s="116">
        <v>0.054</v>
      </c>
      <c r="R74" s="300"/>
      <c r="S74" s="127" t="s">
        <v>492</v>
      </c>
      <c r="T74" s="128">
        <v>44858.0</v>
      </c>
      <c r="U74" s="123">
        <v>107.45</v>
      </c>
      <c r="V74" s="129">
        <v>214900.0</v>
      </c>
      <c r="W74" s="360"/>
      <c r="X74" s="298"/>
      <c r="Y74" s="126"/>
      <c r="Z74" s="125"/>
    </row>
    <row r="75">
      <c r="A75" s="114"/>
      <c r="B75" s="115"/>
      <c r="C75" s="116">
        <f>I75/E190</f>
        <v>0</v>
      </c>
      <c r="D75" s="304" t="s">
        <v>352</v>
      </c>
      <c r="E75" s="304" t="s">
        <v>97</v>
      </c>
      <c r="F75" s="359">
        <v>7.2</v>
      </c>
      <c r="G75" s="299">
        <v>3000.0</v>
      </c>
      <c r="H75" s="300">
        <f t="shared" si="38"/>
        <v>102780</v>
      </c>
      <c r="I75" s="133">
        <v>0.0</v>
      </c>
      <c r="J75" s="141">
        <v>34.26</v>
      </c>
      <c r="K75" s="121">
        <f>IFERROR(__xludf.DUMMYFUNCTION("GOOGLEFINANCE(E75,""changepct"")"),1.49)</f>
        <v>1.49</v>
      </c>
      <c r="L75" s="301">
        <f>IFERROR(__xludf.DUMMYFUNCTION("googlefinance(E75,""price"")"),22.42)</f>
        <v>22.42</v>
      </c>
      <c r="M75" s="123">
        <v>42.54</v>
      </c>
      <c r="N75" s="301">
        <f t="shared" si="40"/>
        <v>-11.84</v>
      </c>
      <c r="O75" s="139">
        <f t="shared" si="43"/>
        <v>0.2416812609</v>
      </c>
      <c r="P75" s="300">
        <f t="shared" si="42"/>
        <v>24840</v>
      </c>
      <c r="Q75" s="116">
        <v>0.014</v>
      </c>
      <c r="R75" s="300"/>
      <c r="S75" s="127" t="s">
        <v>97</v>
      </c>
      <c r="T75" s="128">
        <v>44844.0</v>
      </c>
      <c r="U75" s="123">
        <v>42.54</v>
      </c>
      <c r="V75" s="129">
        <v>127620.0</v>
      </c>
      <c r="W75" s="360"/>
      <c r="X75" s="305"/>
      <c r="Y75" s="301"/>
      <c r="Z75" s="300"/>
    </row>
    <row r="76">
      <c r="A76" s="351"/>
      <c r="B76" s="352"/>
      <c r="C76" s="352" t="s">
        <v>89</v>
      </c>
      <c r="D76" s="352"/>
      <c r="E76" s="352"/>
      <c r="F76" s="352"/>
      <c r="G76" s="378"/>
      <c r="H76" s="366">
        <f t="shared" ref="H76:I76" si="44">SUM(H69:H75)</f>
        <v>938850</v>
      </c>
      <c r="I76" s="367">
        <f t="shared" si="44"/>
        <v>278415</v>
      </c>
      <c r="J76" s="354"/>
      <c r="K76" s="354"/>
      <c r="L76" s="354"/>
      <c r="M76" s="355"/>
      <c r="N76" s="355"/>
      <c r="O76" s="491">
        <f>P76/I76</f>
        <v>0.2295853313</v>
      </c>
      <c r="P76" s="369">
        <v>63920.0</v>
      </c>
      <c r="Q76" s="352"/>
      <c r="R76" s="366">
        <f>SUM(R69:R75)</f>
        <v>555</v>
      </c>
      <c r="S76" s="352" t="s">
        <v>89</v>
      </c>
      <c r="T76" s="371"/>
      <c r="U76" s="372"/>
      <c r="V76" s="366">
        <f>SUM(V69:V75)</f>
        <v>513955</v>
      </c>
      <c r="W76" s="352" t="s">
        <v>89</v>
      </c>
      <c r="X76" s="371"/>
      <c r="Y76" s="372"/>
      <c r="Z76" s="366">
        <f>SUM(Z69:Z75)</f>
        <v>210780</v>
      </c>
    </row>
    <row r="77">
      <c r="A77" s="373"/>
      <c r="B77" s="352" t="s">
        <v>594</v>
      </c>
      <c r="C77" s="352" t="s">
        <v>2</v>
      </c>
      <c r="D77" s="352" t="s">
        <v>3</v>
      </c>
      <c r="E77" s="352" t="s">
        <v>4</v>
      </c>
      <c r="F77" s="352" t="s">
        <v>5</v>
      </c>
      <c r="G77" s="352" t="s">
        <v>6</v>
      </c>
      <c r="H77" s="352" t="s">
        <v>7</v>
      </c>
      <c r="I77" s="353" t="s">
        <v>8</v>
      </c>
      <c r="J77" s="353" t="s">
        <v>9</v>
      </c>
      <c r="K77" s="354" t="s">
        <v>10</v>
      </c>
      <c r="L77" s="354" t="s">
        <v>11</v>
      </c>
      <c r="M77" s="355" t="s">
        <v>476</v>
      </c>
      <c r="N77" s="355" t="s">
        <v>13</v>
      </c>
      <c r="O77" s="352" t="s">
        <v>14</v>
      </c>
      <c r="P77" s="355" t="s">
        <v>15</v>
      </c>
      <c r="Q77" s="352" t="s">
        <v>16</v>
      </c>
      <c r="R77" s="352" t="s">
        <v>17</v>
      </c>
      <c r="S77" s="352" t="s">
        <v>21</v>
      </c>
      <c r="T77" s="352" t="s">
        <v>22</v>
      </c>
      <c r="U77" s="357" t="s">
        <v>23</v>
      </c>
      <c r="V77" s="357" t="s">
        <v>24</v>
      </c>
      <c r="W77" s="352" t="s">
        <v>25</v>
      </c>
      <c r="X77" s="352" t="s">
        <v>26</v>
      </c>
      <c r="Y77" s="352" t="s">
        <v>27</v>
      </c>
      <c r="Z77" s="352" t="s">
        <v>28</v>
      </c>
    </row>
    <row r="78">
      <c r="A78" s="377" t="s">
        <v>29</v>
      </c>
      <c r="B78" s="362">
        <f>I94/E190</f>
        <v>0.05558167172</v>
      </c>
      <c r="C78" s="116">
        <f>I78/E190</f>
        <v>0</v>
      </c>
      <c r="D78" s="385" t="s">
        <v>595</v>
      </c>
      <c r="E78" s="304" t="s">
        <v>130</v>
      </c>
      <c r="F78" s="359">
        <v>7.5</v>
      </c>
      <c r="G78" s="299">
        <v>2500.0</v>
      </c>
      <c r="H78" s="300">
        <f t="shared" ref="H78:H93" si="45">G78*J78</f>
        <v>137650</v>
      </c>
      <c r="I78" s="133">
        <v>0.0</v>
      </c>
      <c r="J78" s="141">
        <v>55.06</v>
      </c>
      <c r="K78" s="121">
        <f>IFERROR(__xludf.DUMMYFUNCTION("GOOGLEFINANCE(E78,""changepct"")"),-0.71)</f>
        <v>-0.71</v>
      </c>
      <c r="L78" s="301">
        <f>IFERROR(__xludf.DUMMYFUNCTION("googlefinance(E78,""price"")"),58.59)</f>
        <v>58.59</v>
      </c>
      <c r="M78" s="123">
        <v>57.36</v>
      </c>
      <c r="N78" s="301">
        <f t="shared" ref="N78:N93" si="46">L78-J78</f>
        <v>3.53</v>
      </c>
      <c r="O78" s="139">
        <f t="shared" ref="O78:O80" si="47">M78/J78-1</f>
        <v>0.0417726117</v>
      </c>
      <c r="P78" s="382">
        <f t="shared" ref="P78:P93" si="48">H78*O78</f>
        <v>5750</v>
      </c>
      <c r="Q78" s="116">
        <v>0.137</v>
      </c>
      <c r="R78" s="300"/>
      <c r="S78" s="127" t="s">
        <v>130</v>
      </c>
      <c r="T78" s="128">
        <v>44841.0</v>
      </c>
      <c r="U78" s="123">
        <v>57.36</v>
      </c>
      <c r="V78" s="129">
        <v>143400.0</v>
      </c>
      <c r="W78" s="360"/>
      <c r="X78" s="298"/>
      <c r="Y78" s="126"/>
      <c r="Z78" s="125"/>
    </row>
    <row r="79">
      <c r="A79" s="114"/>
      <c r="B79" s="115"/>
      <c r="C79" s="116">
        <f>I79/E190</f>
        <v>0</v>
      </c>
      <c r="D79" s="385" t="s">
        <v>596</v>
      </c>
      <c r="E79" s="304" t="s">
        <v>597</v>
      </c>
      <c r="F79" s="359">
        <v>7.7</v>
      </c>
      <c r="G79" s="299">
        <v>2500.0</v>
      </c>
      <c r="H79" s="300">
        <f t="shared" si="45"/>
        <v>112100</v>
      </c>
      <c r="I79" s="133">
        <v>0.0</v>
      </c>
      <c r="J79" s="141">
        <v>44.84</v>
      </c>
      <c r="K79" s="121">
        <f>IFERROR(__xludf.DUMMYFUNCTION("GOOGLEFINANCE(E79,""changepct"")"),-1.89)</f>
        <v>-1.89</v>
      </c>
      <c r="L79" s="301">
        <f>IFERROR(__xludf.DUMMYFUNCTION("googlefinance(E79,""price"")"),91.45)</f>
        <v>91.45</v>
      </c>
      <c r="M79" s="123">
        <v>47.95</v>
      </c>
      <c r="N79" s="301">
        <f t="shared" si="46"/>
        <v>46.61</v>
      </c>
      <c r="O79" s="139">
        <f t="shared" si="47"/>
        <v>0.06935771632</v>
      </c>
      <c r="P79" s="382">
        <f t="shared" si="48"/>
        <v>7775</v>
      </c>
      <c r="Q79" s="116">
        <v>0.067</v>
      </c>
      <c r="R79" s="300"/>
      <c r="S79" s="127" t="s">
        <v>597</v>
      </c>
      <c r="T79" s="128">
        <v>44841.0</v>
      </c>
      <c r="U79" s="123">
        <v>47.95</v>
      </c>
      <c r="V79" s="129">
        <v>119875.0</v>
      </c>
      <c r="W79" s="360"/>
      <c r="X79" s="305"/>
      <c r="Y79" s="301"/>
      <c r="Z79" s="300"/>
    </row>
    <row r="80">
      <c r="A80" s="114"/>
      <c r="B80" s="115"/>
      <c r="C80" s="116">
        <f>I80/E190</f>
        <v>0</v>
      </c>
      <c r="D80" s="384" t="s">
        <v>598</v>
      </c>
      <c r="E80" s="286" t="s">
        <v>599</v>
      </c>
      <c r="F80" s="359">
        <v>7.6</v>
      </c>
      <c r="G80" s="119">
        <v>8000.0</v>
      </c>
      <c r="H80" s="300">
        <f t="shared" si="45"/>
        <v>121200</v>
      </c>
      <c r="I80" s="133">
        <v>0.0</v>
      </c>
      <c r="J80" s="141">
        <v>15.15</v>
      </c>
      <c r="K80" s="121">
        <f>IFERROR(__xludf.DUMMYFUNCTION("GOOGLEFINANCE(E80,""changepct"")"),0.65)</f>
        <v>0.65</v>
      </c>
      <c r="L80" s="301">
        <f>IFERROR(__xludf.DUMMYFUNCTION("googlefinance(E80,""price"")"),9.3)</f>
        <v>9.3</v>
      </c>
      <c r="M80" s="141">
        <v>12.6</v>
      </c>
      <c r="N80" s="301">
        <f t="shared" si="46"/>
        <v>-5.85</v>
      </c>
      <c r="O80" s="139">
        <f t="shared" si="47"/>
        <v>-0.1683168317</v>
      </c>
      <c r="P80" s="382">
        <f t="shared" si="48"/>
        <v>-20400</v>
      </c>
      <c r="Q80" s="115"/>
      <c r="R80" s="125"/>
      <c r="S80" s="127" t="s">
        <v>599</v>
      </c>
      <c r="T80" s="287">
        <v>44867.0</v>
      </c>
      <c r="U80" s="141">
        <v>12.6</v>
      </c>
      <c r="V80" s="133">
        <v>100800.0</v>
      </c>
      <c r="W80" s="127" t="s">
        <v>599</v>
      </c>
      <c r="X80" s="287">
        <v>44852.0</v>
      </c>
      <c r="Y80" s="141">
        <v>15.15</v>
      </c>
      <c r="Z80" s="133">
        <v>121200.0</v>
      </c>
    </row>
    <row r="81">
      <c r="A81" s="114"/>
      <c r="B81" s="115"/>
      <c r="C81" s="116">
        <f>I81/E190</f>
        <v>0.001034303717</v>
      </c>
      <c r="D81" s="385" t="s">
        <v>143</v>
      </c>
      <c r="E81" s="304" t="s">
        <v>144</v>
      </c>
      <c r="F81" s="359">
        <v>7.5</v>
      </c>
      <c r="G81" s="119">
        <v>4000.0</v>
      </c>
      <c r="H81" s="300">
        <f t="shared" si="45"/>
        <v>104680</v>
      </c>
      <c r="I81" s="300">
        <f t="shared" ref="I81:I82" si="49">H81+P81</f>
        <v>12000</v>
      </c>
      <c r="J81" s="141">
        <v>26.17</v>
      </c>
      <c r="K81" s="121">
        <f>IFERROR(__xludf.DUMMYFUNCTION("GOOGLEFINANCE(E81,""changepct"")"),-2.91)</f>
        <v>-2.91</v>
      </c>
      <c r="L81" s="301">
        <f>IFERROR(__xludf.DUMMYFUNCTION("googlefinance(E81,""price"")"),3.0)</f>
        <v>3</v>
      </c>
      <c r="M81" s="301"/>
      <c r="N81" s="301">
        <f t="shared" si="46"/>
        <v>-23.17</v>
      </c>
      <c r="O81" s="139">
        <f t="shared" ref="O81:O82" si="50">L81/J81-1</f>
        <v>-0.8853649217</v>
      </c>
      <c r="P81" s="382">
        <f t="shared" si="48"/>
        <v>-92680</v>
      </c>
      <c r="Q81" s="115"/>
      <c r="R81" s="125"/>
      <c r="S81" s="360"/>
      <c r="T81" s="305"/>
      <c r="U81" s="301"/>
      <c r="V81" s="300"/>
      <c r="W81" s="360"/>
      <c r="X81" s="305"/>
      <c r="Y81" s="301"/>
      <c r="Z81" s="300"/>
    </row>
    <row r="82">
      <c r="A82" s="114"/>
      <c r="B82" s="115"/>
      <c r="C82" s="116">
        <f>I82/E190</f>
        <v>0.001551455576</v>
      </c>
      <c r="D82" s="385" t="s">
        <v>143</v>
      </c>
      <c r="E82" s="304" t="s">
        <v>144</v>
      </c>
      <c r="F82" s="359">
        <v>7.5</v>
      </c>
      <c r="G82" s="119">
        <v>6000.0</v>
      </c>
      <c r="H82" s="300">
        <f t="shared" si="45"/>
        <v>126120</v>
      </c>
      <c r="I82" s="300">
        <f t="shared" si="49"/>
        <v>18000</v>
      </c>
      <c r="J82" s="141">
        <v>21.02</v>
      </c>
      <c r="K82" s="121">
        <f>IFERROR(__xludf.DUMMYFUNCTION("GOOGLEFINANCE(E82,""changepct"")"),-2.91)</f>
        <v>-2.91</v>
      </c>
      <c r="L82" s="301">
        <f>IFERROR(__xludf.DUMMYFUNCTION("googlefinance(E82,""price"")"),3.0)</f>
        <v>3</v>
      </c>
      <c r="M82" s="141"/>
      <c r="N82" s="301">
        <f t="shared" si="46"/>
        <v>-18.02</v>
      </c>
      <c r="O82" s="139">
        <f t="shared" si="50"/>
        <v>-0.8572787821</v>
      </c>
      <c r="P82" s="382">
        <f t="shared" si="48"/>
        <v>-108120</v>
      </c>
      <c r="Q82" s="115"/>
      <c r="R82" s="125"/>
      <c r="S82" s="127"/>
      <c r="T82" s="287"/>
      <c r="U82" s="141"/>
      <c r="V82" s="133"/>
      <c r="W82" s="127" t="s">
        <v>144</v>
      </c>
      <c r="X82" s="128">
        <v>44917.0</v>
      </c>
      <c r="Y82" s="123">
        <v>21.02</v>
      </c>
      <c r="Z82" s="129">
        <v>126120.0</v>
      </c>
    </row>
    <row r="83">
      <c r="A83" s="114"/>
      <c r="B83" s="115"/>
      <c r="C83" s="116">
        <f>I83/E190</f>
        <v>0</v>
      </c>
      <c r="D83" s="385" t="s">
        <v>143</v>
      </c>
      <c r="E83" s="304" t="s">
        <v>144</v>
      </c>
      <c r="F83" s="359">
        <v>7.5</v>
      </c>
      <c r="G83" s="119">
        <v>4000.0</v>
      </c>
      <c r="H83" s="300">
        <f t="shared" si="45"/>
        <v>87400</v>
      </c>
      <c r="I83" s="133">
        <v>0.0</v>
      </c>
      <c r="J83" s="141">
        <v>21.85</v>
      </c>
      <c r="K83" s="121">
        <f>IFERROR(__xludf.DUMMYFUNCTION("GOOGLEFINANCE(E83,""changepct"")"),-2.91)</f>
        <v>-2.91</v>
      </c>
      <c r="L83" s="301">
        <f>IFERROR(__xludf.DUMMYFUNCTION("googlefinance(E83,""price"")"),3.0)</f>
        <v>3</v>
      </c>
      <c r="M83" s="141">
        <v>24.69</v>
      </c>
      <c r="N83" s="301">
        <f t="shared" si="46"/>
        <v>-18.85</v>
      </c>
      <c r="O83" s="139">
        <f>M83/J83-1</f>
        <v>0.1299771167</v>
      </c>
      <c r="P83" s="382">
        <f t="shared" si="48"/>
        <v>11360</v>
      </c>
      <c r="Q83" s="115"/>
      <c r="R83" s="125"/>
      <c r="S83" s="127" t="s">
        <v>144</v>
      </c>
      <c r="T83" s="287">
        <v>44867.0</v>
      </c>
      <c r="U83" s="141">
        <v>24.69</v>
      </c>
      <c r="V83" s="133">
        <v>98760.0</v>
      </c>
      <c r="W83" s="127" t="s">
        <v>144</v>
      </c>
      <c r="X83" s="128">
        <v>44847.0</v>
      </c>
      <c r="Y83" s="123">
        <v>21.85</v>
      </c>
      <c r="Z83" s="129">
        <v>87400.0</v>
      </c>
    </row>
    <row r="84">
      <c r="A84" s="114"/>
      <c r="B84" s="115"/>
      <c r="C84" s="116">
        <f>I84/E190</f>
        <v>0.01990905367</v>
      </c>
      <c r="D84" s="384" t="s">
        <v>536</v>
      </c>
      <c r="E84" s="286" t="s">
        <v>136</v>
      </c>
      <c r="F84" s="359">
        <v>7.7</v>
      </c>
      <c r="G84" s="119">
        <v>4500.0</v>
      </c>
      <c r="H84" s="300">
        <f t="shared" si="45"/>
        <v>119250</v>
      </c>
      <c r="I84" s="300">
        <f t="shared" ref="I84:I86" si="51">H84+P84</f>
        <v>230985</v>
      </c>
      <c r="J84" s="141">
        <v>26.5</v>
      </c>
      <c r="K84" s="121">
        <f>IFERROR(__xludf.DUMMYFUNCTION("GOOGLEFINANCE(E84,""changepct"")"),-2.21)</f>
        <v>-2.21</v>
      </c>
      <c r="L84" s="301">
        <f>IFERROR(__xludf.DUMMYFUNCTION("googlefinance(E84,""price"")"),51.33)</f>
        <v>51.33</v>
      </c>
      <c r="M84" s="301"/>
      <c r="N84" s="301">
        <f t="shared" si="46"/>
        <v>24.83</v>
      </c>
      <c r="O84" s="139">
        <f t="shared" ref="O84:O86" si="52">L84/J84-1</f>
        <v>0.9369811321</v>
      </c>
      <c r="P84" s="382">
        <f t="shared" si="48"/>
        <v>111735</v>
      </c>
      <c r="Q84" s="383">
        <v>0.004</v>
      </c>
      <c r="R84" s="129">
        <v>105.0</v>
      </c>
      <c r="S84" s="360"/>
      <c r="T84" s="305"/>
      <c r="U84" s="301"/>
      <c r="V84" s="300"/>
      <c r="W84" s="360"/>
      <c r="X84" s="298"/>
      <c r="Y84" s="126"/>
      <c r="Z84" s="125"/>
    </row>
    <row r="85">
      <c r="A85" s="114"/>
      <c r="B85" s="115"/>
      <c r="C85" s="116">
        <f>I85/E190</f>
        <v>0.003772105656</v>
      </c>
      <c r="D85" s="385" t="s">
        <v>145</v>
      </c>
      <c r="E85" s="304" t="s">
        <v>146</v>
      </c>
      <c r="F85" s="359">
        <v>7.5</v>
      </c>
      <c r="G85" s="119">
        <v>1200.0</v>
      </c>
      <c r="H85" s="300">
        <f t="shared" si="45"/>
        <v>108900</v>
      </c>
      <c r="I85" s="300">
        <f t="shared" si="51"/>
        <v>43764</v>
      </c>
      <c r="J85" s="141">
        <v>90.75</v>
      </c>
      <c r="K85" s="121">
        <f>IFERROR(__xludf.DUMMYFUNCTION("GOOGLEFINANCE(E85,""changepct"")"),-2.33)</f>
        <v>-2.33</v>
      </c>
      <c r="L85" s="301">
        <f>IFERROR(__xludf.DUMMYFUNCTION("googlefinance(E85,""price"")"),36.47)</f>
        <v>36.47</v>
      </c>
      <c r="M85" s="126"/>
      <c r="N85" s="301">
        <f t="shared" si="46"/>
        <v>-54.28</v>
      </c>
      <c r="O85" s="139">
        <f t="shared" si="52"/>
        <v>-0.5981267218</v>
      </c>
      <c r="P85" s="382">
        <f t="shared" si="48"/>
        <v>-65136</v>
      </c>
      <c r="Q85" s="116">
        <v>0.009</v>
      </c>
      <c r="R85" s="133">
        <v>229.0</v>
      </c>
      <c r="S85" s="360"/>
      <c r="T85" s="298"/>
      <c r="U85" s="126"/>
      <c r="V85" s="125"/>
      <c r="W85" s="360"/>
      <c r="X85" s="305"/>
      <c r="Y85" s="301"/>
      <c r="Z85" s="300"/>
    </row>
    <row r="86">
      <c r="A86" s="114"/>
      <c r="B86" s="115"/>
      <c r="C86" s="116">
        <f>I86/E190</f>
        <v>0.005479223941</v>
      </c>
      <c r="D86" s="286" t="s">
        <v>500</v>
      </c>
      <c r="E86" s="286" t="s">
        <v>134</v>
      </c>
      <c r="F86" s="359">
        <v>7.5</v>
      </c>
      <c r="G86" s="119">
        <v>3000.0</v>
      </c>
      <c r="H86" s="300">
        <f t="shared" si="45"/>
        <v>106590</v>
      </c>
      <c r="I86" s="133">
        <f t="shared" si="51"/>
        <v>63570</v>
      </c>
      <c r="J86" s="141">
        <v>35.53</v>
      </c>
      <c r="K86" s="121">
        <f>IFERROR(__xludf.DUMMYFUNCTION("GOOGLEFINANCE(E86,""changepct"")"),-2.75)</f>
        <v>-2.75</v>
      </c>
      <c r="L86" s="301">
        <f>IFERROR(__xludf.DUMMYFUNCTION("googlefinance(E86,""price"")"),21.19)</f>
        <v>21.19</v>
      </c>
      <c r="M86" s="141"/>
      <c r="N86" s="301">
        <f t="shared" si="46"/>
        <v>-14.34</v>
      </c>
      <c r="O86" s="139">
        <f t="shared" si="52"/>
        <v>-0.4036025894</v>
      </c>
      <c r="P86" s="382">
        <f t="shared" si="48"/>
        <v>-43020</v>
      </c>
      <c r="Q86" s="116"/>
      <c r="R86" s="125"/>
      <c r="S86" s="127"/>
      <c r="T86" s="287"/>
      <c r="U86" s="141"/>
      <c r="V86" s="133"/>
      <c r="W86" s="127" t="s">
        <v>134</v>
      </c>
      <c r="X86" s="128">
        <v>44888.0</v>
      </c>
      <c r="Y86" s="123">
        <v>35.53</v>
      </c>
      <c r="Z86" s="129">
        <v>106590.0</v>
      </c>
    </row>
    <row r="87">
      <c r="A87" s="114"/>
      <c r="B87" s="115"/>
      <c r="C87" s="116">
        <f>I87/E190</f>
        <v>0</v>
      </c>
      <c r="D87" s="286" t="s">
        <v>500</v>
      </c>
      <c r="E87" s="286" t="s">
        <v>134</v>
      </c>
      <c r="F87" s="359">
        <v>7.5</v>
      </c>
      <c r="G87" s="119">
        <v>2500.0</v>
      </c>
      <c r="H87" s="300">
        <f t="shared" si="45"/>
        <v>114600</v>
      </c>
      <c r="I87" s="133">
        <v>0.0</v>
      </c>
      <c r="J87" s="141">
        <v>45.84</v>
      </c>
      <c r="K87" s="121">
        <f>IFERROR(__xludf.DUMMYFUNCTION("GOOGLEFINANCE(E87,""changepct"")"),-2.75)</f>
        <v>-2.75</v>
      </c>
      <c r="L87" s="301">
        <f>IFERROR(__xludf.DUMMYFUNCTION("googlefinance(E87,""price"")"),21.19)</f>
        <v>21.19</v>
      </c>
      <c r="M87" s="141">
        <v>43.89</v>
      </c>
      <c r="N87" s="301">
        <f t="shared" si="46"/>
        <v>-24.65</v>
      </c>
      <c r="O87" s="139">
        <f>M87/J87-1</f>
        <v>-0.04253926702</v>
      </c>
      <c r="P87" s="382">
        <f t="shared" si="48"/>
        <v>-4875</v>
      </c>
      <c r="Q87" s="116"/>
      <c r="R87" s="125"/>
      <c r="S87" s="127" t="s">
        <v>134</v>
      </c>
      <c r="T87" s="287">
        <v>44867.0</v>
      </c>
      <c r="U87" s="141">
        <v>43.89</v>
      </c>
      <c r="V87" s="133">
        <v>109725.0</v>
      </c>
      <c r="W87" s="127" t="s">
        <v>134</v>
      </c>
      <c r="X87" s="128">
        <v>44865.0</v>
      </c>
      <c r="Y87" s="123">
        <v>45.84</v>
      </c>
      <c r="Z87" s="129">
        <v>114600.0</v>
      </c>
    </row>
    <row r="88">
      <c r="A88" s="114"/>
      <c r="B88" s="115"/>
      <c r="C88" s="116">
        <f>I88/E190</f>
        <v>0.006649538597</v>
      </c>
      <c r="D88" s="304" t="s">
        <v>498</v>
      </c>
      <c r="E88" s="304" t="s">
        <v>499</v>
      </c>
      <c r="F88" s="359">
        <v>7.8</v>
      </c>
      <c r="G88" s="119">
        <v>1200.0</v>
      </c>
      <c r="H88" s="300">
        <f t="shared" si="45"/>
        <v>106140</v>
      </c>
      <c r="I88" s="300">
        <f>H88+P88</f>
        <v>77148</v>
      </c>
      <c r="J88" s="141">
        <v>88.45</v>
      </c>
      <c r="K88" s="121">
        <f>IFERROR(__xludf.DUMMYFUNCTION("GOOGLEFINANCE(E88,""changepct"")"),-0.97)</f>
        <v>-0.97</v>
      </c>
      <c r="L88" s="301">
        <f>IFERROR(__xludf.DUMMYFUNCTION("googlefinance(E88,""price"")"),64.29)</f>
        <v>64.29</v>
      </c>
      <c r="M88" s="301"/>
      <c r="N88" s="301">
        <f t="shared" si="46"/>
        <v>-24.16</v>
      </c>
      <c r="O88" s="139">
        <f>L88/J88-1</f>
        <v>-0.2731486716</v>
      </c>
      <c r="P88" s="382">
        <f t="shared" si="48"/>
        <v>-28992</v>
      </c>
      <c r="Q88" s="363">
        <v>0.0125</v>
      </c>
      <c r="R88" s="129">
        <v>328.0</v>
      </c>
      <c r="S88" s="360"/>
      <c r="T88" s="305"/>
      <c r="U88" s="301"/>
      <c r="V88" s="300"/>
      <c r="W88" s="127" t="s">
        <v>499</v>
      </c>
      <c r="X88" s="128">
        <v>44865.0</v>
      </c>
      <c r="Y88" s="123">
        <v>88.45</v>
      </c>
      <c r="Z88" s="129">
        <v>106140.0</v>
      </c>
    </row>
    <row r="89">
      <c r="A89" s="114"/>
      <c r="B89" s="115"/>
      <c r="C89" s="116">
        <f>I89/E190</f>
        <v>0</v>
      </c>
      <c r="D89" s="304" t="s">
        <v>498</v>
      </c>
      <c r="E89" s="304" t="s">
        <v>499</v>
      </c>
      <c r="F89" s="359">
        <v>7.8</v>
      </c>
      <c r="G89" s="299">
        <v>1500.0</v>
      </c>
      <c r="H89" s="300">
        <f t="shared" si="45"/>
        <v>121020</v>
      </c>
      <c r="I89" s="133">
        <v>0.0</v>
      </c>
      <c r="J89" s="141">
        <v>80.68</v>
      </c>
      <c r="K89" s="121">
        <f>IFERROR(__xludf.DUMMYFUNCTION("GOOGLEFINANCE(E89,""changepct"")"),-0.97)</f>
        <v>-0.97</v>
      </c>
      <c r="L89" s="301">
        <f>IFERROR(__xludf.DUMMYFUNCTION("googlefinance(E89,""price"")"),64.29)</f>
        <v>64.29</v>
      </c>
      <c r="M89" s="141">
        <v>87.99</v>
      </c>
      <c r="N89" s="301">
        <f t="shared" si="46"/>
        <v>-16.39</v>
      </c>
      <c r="O89" s="139">
        <f>M89/J89-1</f>
        <v>0.0906048587</v>
      </c>
      <c r="P89" s="382">
        <f t="shared" si="48"/>
        <v>10965</v>
      </c>
      <c r="Q89" s="116">
        <v>0.0125</v>
      </c>
      <c r="R89" s="125"/>
      <c r="S89" s="127" t="s">
        <v>499</v>
      </c>
      <c r="T89" s="287">
        <v>44869.0</v>
      </c>
      <c r="U89" s="141">
        <v>87.99</v>
      </c>
      <c r="V89" s="133">
        <v>131985.0</v>
      </c>
      <c r="W89" s="360"/>
      <c r="X89" s="298"/>
      <c r="Y89" s="126"/>
      <c r="Z89" s="125"/>
    </row>
    <row r="90">
      <c r="A90" s="114"/>
      <c r="B90" s="115"/>
      <c r="C90" s="116">
        <f>I90/E190</f>
        <v>0.01098016826</v>
      </c>
      <c r="D90" s="286" t="s">
        <v>600</v>
      </c>
      <c r="E90" s="286" t="s">
        <v>601</v>
      </c>
      <c r="F90" s="359">
        <v>7.7</v>
      </c>
      <c r="G90" s="119">
        <v>300.0</v>
      </c>
      <c r="H90" s="300">
        <f t="shared" si="45"/>
        <v>132009</v>
      </c>
      <c r="I90" s="133">
        <f t="shared" ref="I90:I91" si="53">H90+P90</f>
        <v>127392</v>
      </c>
      <c r="J90" s="141">
        <v>440.03</v>
      </c>
      <c r="K90" s="121">
        <f>IFERROR(__xludf.DUMMYFUNCTION("GOOGLEFINANCE(E90,""changepct"")"),-1.26)</f>
        <v>-1.26</v>
      </c>
      <c r="L90" s="301">
        <f>IFERROR(__xludf.DUMMYFUNCTION("googlefinance(E90,""price"")"),424.64)</f>
        <v>424.64</v>
      </c>
      <c r="M90" s="123"/>
      <c r="N90" s="301">
        <f t="shared" si="46"/>
        <v>-15.39</v>
      </c>
      <c r="O90" s="139">
        <f t="shared" ref="O90:O91" si="54">L90/J90-1</f>
        <v>-0.03497488808</v>
      </c>
      <c r="P90" s="382">
        <f t="shared" si="48"/>
        <v>-4617</v>
      </c>
      <c r="Q90" s="363">
        <v>0.0112</v>
      </c>
      <c r="R90" s="133">
        <v>364.0</v>
      </c>
      <c r="S90" s="127"/>
      <c r="T90" s="128"/>
      <c r="U90" s="123"/>
      <c r="V90" s="129"/>
      <c r="W90" s="127" t="s">
        <v>601</v>
      </c>
      <c r="X90" s="287">
        <v>44888.0</v>
      </c>
      <c r="Y90" s="141">
        <v>440.03</v>
      </c>
      <c r="Z90" s="133">
        <v>132009.0</v>
      </c>
    </row>
    <row r="91">
      <c r="A91" s="114"/>
      <c r="B91" s="115"/>
      <c r="C91" s="116">
        <f>I91/E190</f>
        <v>0.006205822302</v>
      </c>
      <c r="D91" s="304" t="s">
        <v>454</v>
      </c>
      <c r="E91" s="304" t="s">
        <v>132</v>
      </c>
      <c r="F91" s="359">
        <v>7.7</v>
      </c>
      <c r="G91" s="119">
        <v>3000.0</v>
      </c>
      <c r="H91" s="300">
        <f t="shared" si="45"/>
        <v>149070</v>
      </c>
      <c r="I91" s="133">
        <f t="shared" si="53"/>
        <v>72000</v>
      </c>
      <c r="J91" s="141">
        <v>49.69</v>
      </c>
      <c r="K91" s="121">
        <f>IFERROR(__xludf.DUMMYFUNCTION("GOOGLEFINANCE(E91,""changepct"")"),0.54)</f>
        <v>0.54</v>
      </c>
      <c r="L91" s="301">
        <f>IFERROR(__xludf.DUMMYFUNCTION("googlefinance(E91,""price"")"),24.0)</f>
        <v>24</v>
      </c>
      <c r="M91" s="123"/>
      <c r="N91" s="301">
        <f t="shared" si="46"/>
        <v>-25.69</v>
      </c>
      <c r="O91" s="139">
        <f t="shared" si="54"/>
        <v>-0.5170054337</v>
      </c>
      <c r="P91" s="382">
        <f t="shared" si="48"/>
        <v>-77070</v>
      </c>
      <c r="Q91" s="363">
        <v>0.018</v>
      </c>
      <c r="R91" s="133">
        <v>594.0</v>
      </c>
      <c r="S91" s="127"/>
      <c r="T91" s="128"/>
      <c r="U91" s="123"/>
      <c r="V91" s="129"/>
      <c r="W91" s="127" t="s">
        <v>132</v>
      </c>
      <c r="X91" s="287">
        <v>44888.0</v>
      </c>
      <c r="Y91" s="141">
        <v>49.69</v>
      </c>
      <c r="Z91" s="133">
        <v>149070.0</v>
      </c>
    </row>
    <row r="92">
      <c r="A92" s="114"/>
      <c r="B92" s="115"/>
      <c r="C92" s="116">
        <f>I92/E190</f>
        <v>0</v>
      </c>
      <c r="D92" s="304" t="s">
        <v>454</v>
      </c>
      <c r="E92" s="304" t="s">
        <v>132</v>
      </c>
      <c r="F92" s="359">
        <v>7.7</v>
      </c>
      <c r="G92" s="119">
        <v>2000.0</v>
      </c>
      <c r="H92" s="300">
        <f t="shared" si="45"/>
        <v>107480</v>
      </c>
      <c r="I92" s="133">
        <v>0.0</v>
      </c>
      <c r="J92" s="141">
        <v>53.74</v>
      </c>
      <c r="K92" s="121">
        <f>IFERROR(__xludf.DUMMYFUNCTION("GOOGLEFINANCE(E92,""changepct"")"),0.54)</f>
        <v>0.54</v>
      </c>
      <c r="L92" s="301">
        <f>IFERROR(__xludf.DUMMYFUNCTION("googlefinance(E92,""price"")"),24.0)</f>
        <v>24</v>
      </c>
      <c r="M92" s="123">
        <v>49.93</v>
      </c>
      <c r="N92" s="301">
        <f t="shared" si="46"/>
        <v>-29.74</v>
      </c>
      <c r="O92" s="139">
        <f t="shared" ref="O92:O93" si="55">M92/J92-1</f>
        <v>-0.07089691105</v>
      </c>
      <c r="P92" s="382">
        <f t="shared" si="48"/>
        <v>-7620</v>
      </c>
      <c r="Q92" s="363">
        <v>0.018</v>
      </c>
      <c r="R92" s="300"/>
      <c r="S92" s="127" t="s">
        <v>132</v>
      </c>
      <c r="T92" s="128">
        <v>44869.0</v>
      </c>
      <c r="U92" s="123">
        <v>49.93</v>
      </c>
      <c r="V92" s="129">
        <v>99860.0</v>
      </c>
      <c r="W92" s="127" t="s">
        <v>132</v>
      </c>
      <c r="X92" s="287">
        <v>44865.0</v>
      </c>
      <c r="Y92" s="141">
        <v>53.74</v>
      </c>
      <c r="Z92" s="133">
        <v>107480.0</v>
      </c>
    </row>
    <row r="93">
      <c r="A93" s="114"/>
      <c r="B93" s="115"/>
      <c r="C93" s="116">
        <f>I93/E190</f>
        <v>0</v>
      </c>
      <c r="D93" s="304" t="s">
        <v>454</v>
      </c>
      <c r="E93" s="304" t="s">
        <v>132</v>
      </c>
      <c r="F93" s="359">
        <v>7.7</v>
      </c>
      <c r="G93" s="119">
        <v>2500.0</v>
      </c>
      <c r="H93" s="300">
        <f t="shared" si="45"/>
        <v>120775</v>
      </c>
      <c r="I93" s="133">
        <v>0.0</v>
      </c>
      <c r="J93" s="141">
        <v>48.31</v>
      </c>
      <c r="K93" s="121">
        <f>IFERROR(__xludf.DUMMYFUNCTION("GOOGLEFINANCE(E93,""changepct"")"),0.54)</f>
        <v>0.54</v>
      </c>
      <c r="L93" s="301">
        <f>IFERROR(__xludf.DUMMYFUNCTION("googlefinance(E93,""price"")"),24.0)</f>
        <v>24</v>
      </c>
      <c r="M93" s="123">
        <v>52.94</v>
      </c>
      <c r="N93" s="301">
        <f t="shared" si="46"/>
        <v>-24.31</v>
      </c>
      <c r="O93" s="139">
        <f t="shared" si="55"/>
        <v>0.09583937073</v>
      </c>
      <c r="P93" s="382">
        <f t="shared" si="48"/>
        <v>11575</v>
      </c>
      <c r="Q93" s="363">
        <v>0.018</v>
      </c>
      <c r="R93" s="300"/>
      <c r="S93" s="127" t="s">
        <v>132</v>
      </c>
      <c r="T93" s="128">
        <v>44867.0</v>
      </c>
      <c r="U93" s="123">
        <v>52.94</v>
      </c>
      <c r="V93" s="129">
        <v>132350.0</v>
      </c>
      <c r="W93" s="360"/>
      <c r="X93" s="305"/>
      <c r="Y93" s="301"/>
      <c r="Z93" s="300"/>
    </row>
    <row r="94">
      <c r="A94" s="351"/>
      <c r="B94" s="352"/>
      <c r="C94" s="352" t="s">
        <v>89</v>
      </c>
      <c r="D94" s="352"/>
      <c r="E94" s="352"/>
      <c r="F94" s="352"/>
      <c r="G94" s="378"/>
      <c r="H94" s="366">
        <f t="shared" ref="H94:I94" si="56">SUM(H78:H93)</f>
        <v>1874984</v>
      </c>
      <c r="I94" s="367">
        <f t="shared" si="56"/>
        <v>644859</v>
      </c>
      <c r="J94" s="354"/>
      <c r="K94" s="354"/>
      <c r="L94" s="354"/>
      <c r="M94" s="355"/>
      <c r="N94" s="355"/>
      <c r="O94" s="491">
        <f>P94/I94</f>
        <v>-0.1567009222</v>
      </c>
      <c r="P94" s="369">
        <v>-101050.0</v>
      </c>
      <c r="Q94" s="352"/>
      <c r="R94" s="366">
        <f>SUM(R78:R93)</f>
        <v>1620</v>
      </c>
      <c r="S94" s="352" t="s">
        <v>89</v>
      </c>
      <c r="T94" s="371"/>
      <c r="U94" s="372"/>
      <c r="V94" s="366">
        <f>SUM(V78:V93)</f>
        <v>936755</v>
      </c>
      <c r="W94" s="352" t="s">
        <v>89</v>
      </c>
      <c r="X94" s="371"/>
      <c r="Y94" s="372"/>
      <c r="Z94" s="366">
        <f>SUM(Z78:Z93)</f>
        <v>1050609</v>
      </c>
    </row>
    <row r="95">
      <c r="A95" s="351"/>
      <c r="B95" s="352" t="s">
        <v>602</v>
      </c>
      <c r="C95" s="352" t="s">
        <v>2</v>
      </c>
      <c r="D95" s="352" t="s">
        <v>150</v>
      </c>
      <c r="E95" s="352" t="s">
        <v>4</v>
      </c>
      <c r="F95" s="352" t="s">
        <v>5</v>
      </c>
      <c r="G95" s="352" t="s">
        <v>6</v>
      </c>
      <c r="H95" s="352" t="s">
        <v>7</v>
      </c>
      <c r="I95" s="353" t="s">
        <v>8</v>
      </c>
      <c r="J95" s="353" t="s">
        <v>9</v>
      </c>
      <c r="K95" s="354" t="s">
        <v>10</v>
      </c>
      <c r="L95" s="354" t="s">
        <v>11</v>
      </c>
      <c r="M95" s="355" t="s">
        <v>476</v>
      </c>
      <c r="N95" s="355" t="s">
        <v>13</v>
      </c>
      <c r="O95" s="352" t="s">
        <v>14</v>
      </c>
      <c r="P95" s="355" t="s">
        <v>15</v>
      </c>
      <c r="Q95" s="352" t="s">
        <v>16</v>
      </c>
      <c r="R95" s="352" t="s">
        <v>17</v>
      </c>
      <c r="S95" s="352" t="s">
        <v>21</v>
      </c>
      <c r="T95" s="352" t="s">
        <v>22</v>
      </c>
      <c r="U95" s="357" t="s">
        <v>23</v>
      </c>
      <c r="V95" s="357" t="s">
        <v>24</v>
      </c>
      <c r="W95" s="352" t="s">
        <v>25</v>
      </c>
      <c r="X95" s="352" t="s">
        <v>26</v>
      </c>
      <c r="Y95" s="352" t="s">
        <v>27</v>
      </c>
      <c r="Z95" s="352" t="s">
        <v>28</v>
      </c>
    </row>
    <row r="96">
      <c r="A96" s="377" t="s">
        <v>29</v>
      </c>
      <c r="B96" s="362">
        <f>I107/E190</f>
        <v>0.09594442617</v>
      </c>
      <c r="C96" s="386">
        <f>I96/E190</f>
        <v>0</v>
      </c>
      <c r="D96" s="385" t="s">
        <v>503</v>
      </c>
      <c r="E96" s="304" t="s">
        <v>118</v>
      </c>
      <c r="F96" s="359">
        <v>8.0</v>
      </c>
      <c r="G96" s="387">
        <v>500.0</v>
      </c>
      <c r="H96" s="388">
        <f t="shared" ref="H96:H106" si="57">G96*J96</f>
        <v>193145</v>
      </c>
      <c r="I96" s="404">
        <v>0.0</v>
      </c>
      <c r="J96" s="390">
        <v>386.29</v>
      </c>
      <c r="K96" s="391">
        <f>IFERROR(__xludf.DUMMYFUNCTION("GOOGLEFINANCE(E96,""changepct"")"),-1.15)</f>
        <v>-1.15</v>
      </c>
      <c r="L96" s="302">
        <f>IFERROR(__xludf.DUMMYFUNCTION("googlefinance(E96,""price"")"),483.37)</f>
        <v>483.37</v>
      </c>
      <c r="M96" s="392">
        <v>465.89</v>
      </c>
      <c r="N96" s="301">
        <f t="shared" ref="N96:N106" si="58">L96-J96</f>
        <v>97.08</v>
      </c>
      <c r="O96" s="393">
        <f t="shared" ref="O96:O100" si="59">M96/J96-1</f>
        <v>0.2060628026</v>
      </c>
      <c r="P96" s="394">
        <f t="shared" ref="P96:P106" si="60">H96*O96</f>
        <v>39800</v>
      </c>
      <c r="Q96" s="386">
        <v>0.026</v>
      </c>
      <c r="R96" s="388"/>
      <c r="S96" s="396" t="s">
        <v>118</v>
      </c>
      <c r="T96" s="397">
        <v>44860.0</v>
      </c>
      <c r="U96" s="392">
        <v>465.98</v>
      </c>
      <c r="V96" s="398">
        <v>232945.0</v>
      </c>
      <c r="W96" s="399"/>
      <c r="X96" s="400"/>
      <c r="Y96" s="401"/>
      <c r="Z96" s="402"/>
    </row>
    <row r="97">
      <c r="A97" s="403"/>
      <c r="B97" s="284"/>
      <c r="C97" s="386">
        <f>I97/E190</f>
        <v>0</v>
      </c>
      <c r="D97" s="385" t="s">
        <v>354</v>
      </c>
      <c r="E97" s="304" t="s">
        <v>355</v>
      </c>
      <c r="F97" s="444">
        <v>7.9</v>
      </c>
      <c r="G97" s="387">
        <v>1000.0</v>
      </c>
      <c r="H97" s="388">
        <f t="shared" si="57"/>
        <v>121080</v>
      </c>
      <c r="I97" s="404">
        <v>0.0</v>
      </c>
      <c r="J97" s="390">
        <v>121.08</v>
      </c>
      <c r="K97" s="391">
        <f>IFERROR(__xludf.DUMMYFUNCTION("GOOGLEFINANCE(E97,""changepct"")"),-2.31)</f>
        <v>-2.31</v>
      </c>
      <c r="L97" s="302">
        <f>IFERROR(__xludf.DUMMYFUNCTION("googlefinance(E97,""price"")"),176.55)</f>
        <v>176.55</v>
      </c>
      <c r="M97" s="390">
        <v>143.41</v>
      </c>
      <c r="N97" s="301">
        <f t="shared" si="58"/>
        <v>55.47</v>
      </c>
      <c r="O97" s="393">
        <f t="shared" si="59"/>
        <v>0.1844235216</v>
      </c>
      <c r="P97" s="394">
        <f t="shared" si="60"/>
        <v>22330</v>
      </c>
      <c r="Q97" s="400"/>
      <c r="R97" s="402"/>
      <c r="S97" s="396" t="s">
        <v>355</v>
      </c>
      <c r="T97" s="405">
        <v>44860.0</v>
      </c>
      <c r="U97" s="406">
        <v>143.41</v>
      </c>
      <c r="V97" s="407">
        <v>143410.0</v>
      </c>
      <c r="W97" s="399"/>
      <c r="X97" s="400"/>
      <c r="Y97" s="401"/>
      <c r="Z97" s="402"/>
    </row>
    <row r="98">
      <c r="A98" s="403"/>
      <c r="B98" s="284"/>
      <c r="C98" s="386">
        <f>I98/E190</f>
        <v>0</v>
      </c>
      <c r="D98" s="385" t="s">
        <v>401</v>
      </c>
      <c r="E98" s="304" t="s">
        <v>402</v>
      </c>
      <c r="F98" s="359">
        <v>7.9</v>
      </c>
      <c r="G98" s="387">
        <v>1500.0</v>
      </c>
      <c r="H98" s="388">
        <f t="shared" si="57"/>
        <v>122790</v>
      </c>
      <c r="I98" s="404">
        <v>0.0</v>
      </c>
      <c r="J98" s="390">
        <v>81.86</v>
      </c>
      <c r="K98" s="391">
        <f>IFERROR(__xludf.DUMMYFUNCTION("GOOGLEFINANCE(E98,""changepct"")"),-1.28)</f>
        <v>-1.28</v>
      </c>
      <c r="L98" s="302">
        <f>IFERROR(__xludf.DUMMYFUNCTION("googlefinance(E98,""price"")"),115.22)</f>
        <v>115.22</v>
      </c>
      <c r="M98" s="390">
        <v>83.92</v>
      </c>
      <c r="N98" s="301">
        <f t="shared" si="58"/>
        <v>33.36</v>
      </c>
      <c r="O98" s="393">
        <f t="shared" si="59"/>
        <v>0.02516491571</v>
      </c>
      <c r="P98" s="394">
        <f t="shared" si="60"/>
        <v>3090</v>
      </c>
      <c r="Q98" s="395">
        <v>0.022</v>
      </c>
      <c r="R98" s="402"/>
      <c r="S98" s="396" t="s">
        <v>402</v>
      </c>
      <c r="T98" s="405">
        <v>44841.0</v>
      </c>
      <c r="U98" s="406">
        <v>83.92</v>
      </c>
      <c r="V98" s="407">
        <v>125880.0</v>
      </c>
      <c r="W98" s="399"/>
      <c r="X98" s="400"/>
      <c r="Y98" s="401"/>
      <c r="Z98" s="402"/>
    </row>
    <row r="99">
      <c r="A99" s="403"/>
      <c r="B99" s="284"/>
      <c r="C99" s="386">
        <f>I99/E190</f>
        <v>0</v>
      </c>
      <c r="D99" s="385" t="s">
        <v>537</v>
      </c>
      <c r="E99" s="304" t="s">
        <v>538</v>
      </c>
      <c r="F99" s="359">
        <v>7.9</v>
      </c>
      <c r="G99" s="387">
        <v>5000.0</v>
      </c>
      <c r="H99" s="388">
        <f t="shared" si="57"/>
        <v>108750</v>
      </c>
      <c r="I99" s="404">
        <v>0.0</v>
      </c>
      <c r="J99" s="390">
        <v>21.75</v>
      </c>
      <c r="K99" s="391">
        <f>IFERROR(__xludf.DUMMYFUNCTION("GOOGLEFINANCE(E99,""changepct"")"),-0.32)</f>
        <v>-0.32</v>
      </c>
      <c r="L99" s="302">
        <f>IFERROR(__xludf.DUMMYFUNCTION("googlefinance(E99,""price"")"),33.87)</f>
        <v>33.87</v>
      </c>
      <c r="M99" s="390">
        <v>26.97</v>
      </c>
      <c r="N99" s="301">
        <f t="shared" si="58"/>
        <v>12.12</v>
      </c>
      <c r="O99" s="393">
        <f t="shared" si="59"/>
        <v>0.24</v>
      </c>
      <c r="P99" s="394">
        <f t="shared" si="60"/>
        <v>26100</v>
      </c>
      <c r="Q99" s="492">
        <v>0.001</v>
      </c>
      <c r="R99" s="402"/>
      <c r="S99" s="396" t="s">
        <v>538</v>
      </c>
      <c r="T99" s="405">
        <v>44873.0</v>
      </c>
      <c r="U99" s="406">
        <v>26.97</v>
      </c>
      <c r="V99" s="407">
        <v>134850.0</v>
      </c>
      <c r="W99" s="396"/>
      <c r="X99" s="405"/>
      <c r="Y99" s="409"/>
      <c r="Z99" s="388"/>
    </row>
    <row r="100">
      <c r="A100" s="403"/>
      <c r="B100" s="284"/>
      <c r="C100" s="386">
        <f>I100/E190</f>
        <v>0</v>
      </c>
      <c r="D100" s="385" t="s">
        <v>537</v>
      </c>
      <c r="E100" s="304" t="s">
        <v>538</v>
      </c>
      <c r="F100" s="359">
        <v>7.9</v>
      </c>
      <c r="G100" s="387">
        <v>5000.0</v>
      </c>
      <c r="H100" s="388">
        <f t="shared" si="57"/>
        <v>116950</v>
      </c>
      <c r="I100" s="404">
        <v>0.0</v>
      </c>
      <c r="J100" s="390">
        <v>23.39</v>
      </c>
      <c r="K100" s="391">
        <f>IFERROR(__xludf.DUMMYFUNCTION("GOOGLEFINANCE(E100,""changepct"")"),-0.32)</f>
        <v>-0.32</v>
      </c>
      <c r="L100" s="302">
        <f>IFERROR(__xludf.DUMMYFUNCTION("googlefinance(E100,""price"")"),33.87)</f>
        <v>33.87</v>
      </c>
      <c r="M100" s="392">
        <v>28.94</v>
      </c>
      <c r="N100" s="301">
        <f t="shared" si="58"/>
        <v>10.48</v>
      </c>
      <c r="O100" s="393">
        <f t="shared" si="59"/>
        <v>0.2372808893</v>
      </c>
      <c r="P100" s="394">
        <f t="shared" si="60"/>
        <v>27750</v>
      </c>
      <c r="Q100" s="395">
        <v>0.001</v>
      </c>
      <c r="R100" s="388"/>
      <c r="S100" s="396" t="s">
        <v>538</v>
      </c>
      <c r="T100" s="397">
        <v>44876.0</v>
      </c>
      <c r="U100" s="392">
        <v>28.94</v>
      </c>
      <c r="V100" s="398">
        <v>144700.0</v>
      </c>
      <c r="W100" s="396" t="s">
        <v>538</v>
      </c>
      <c r="X100" s="405">
        <v>44869.0</v>
      </c>
      <c r="Y100" s="406">
        <v>23.39</v>
      </c>
      <c r="Z100" s="407">
        <v>116950.0</v>
      </c>
    </row>
    <row r="101">
      <c r="A101" s="403"/>
      <c r="B101" s="284"/>
      <c r="C101" s="386">
        <f>I101/E190</f>
        <v>0.01459661121</v>
      </c>
      <c r="D101" s="385" t="s">
        <v>537</v>
      </c>
      <c r="E101" s="304" t="s">
        <v>538</v>
      </c>
      <c r="F101" s="359">
        <v>7.9</v>
      </c>
      <c r="G101" s="387">
        <v>5000.0</v>
      </c>
      <c r="H101" s="388">
        <f t="shared" si="57"/>
        <v>143500</v>
      </c>
      <c r="I101" s="389">
        <f t="shared" ref="I101:I106" si="61">H101+P101</f>
        <v>169350</v>
      </c>
      <c r="J101" s="390">
        <v>28.7</v>
      </c>
      <c r="K101" s="391">
        <f>IFERROR(__xludf.DUMMYFUNCTION("GOOGLEFINANCE(E101,""changepct"")"),-0.32)</f>
        <v>-0.32</v>
      </c>
      <c r="L101" s="302">
        <f>IFERROR(__xludf.DUMMYFUNCTION("googlefinance(E101,""price"")"),33.87)</f>
        <v>33.87</v>
      </c>
      <c r="M101" s="401"/>
      <c r="N101" s="301">
        <f t="shared" si="58"/>
        <v>5.17</v>
      </c>
      <c r="O101" s="393">
        <f t="shared" ref="O101:O106" si="62">L101/J101-1</f>
        <v>0.1801393728</v>
      </c>
      <c r="P101" s="394">
        <f t="shared" si="60"/>
        <v>25850</v>
      </c>
      <c r="Q101" s="395">
        <v>0.001</v>
      </c>
      <c r="R101" s="407">
        <v>37.0</v>
      </c>
      <c r="S101" s="399"/>
      <c r="T101" s="410"/>
      <c r="U101" s="401"/>
      <c r="V101" s="402"/>
      <c r="W101" s="396" t="s">
        <v>538</v>
      </c>
      <c r="X101" s="405">
        <v>44907.0</v>
      </c>
      <c r="Y101" s="406">
        <v>28.7</v>
      </c>
      <c r="Z101" s="407">
        <v>143500.0</v>
      </c>
    </row>
    <row r="102">
      <c r="A102" s="403"/>
      <c r="B102" s="284"/>
      <c r="C102" s="386">
        <f>I102/E190</f>
        <v>0.01459661121</v>
      </c>
      <c r="D102" s="385" t="s">
        <v>537</v>
      </c>
      <c r="E102" s="304" t="s">
        <v>538</v>
      </c>
      <c r="F102" s="359">
        <v>7.9</v>
      </c>
      <c r="G102" s="387">
        <v>5000.0</v>
      </c>
      <c r="H102" s="388">
        <f t="shared" si="57"/>
        <v>145900</v>
      </c>
      <c r="I102" s="389">
        <f t="shared" si="61"/>
        <v>169350</v>
      </c>
      <c r="J102" s="390">
        <v>29.18</v>
      </c>
      <c r="K102" s="391">
        <f>IFERROR(__xludf.DUMMYFUNCTION("GOOGLEFINANCE(E102,""changepct"")"),-0.32)</f>
        <v>-0.32</v>
      </c>
      <c r="L102" s="302">
        <f>IFERROR(__xludf.DUMMYFUNCTION("googlefinance(E102,""price"")"),33.87)</f>
        <v>33.87</v>
      </c>
      <c r="M102" s="401"/>
      <c r="N102" s="301">
        <f t="shared" si="58"/>
        <v>4.69</v>
      </c>
      <c r="O102" s="393">
        <f t="shared" si="62"/>
        <v>0.160726525</v>
      </c>
      <c r="P102" s="394">
        <f t="shared" si="60"/>
        <v>23450</v>
      </c>
      <c r="Q102" s="395">
        <v>0.001</v>
      </c>
      <c r="R102" s="407">
        <v>37.0</v>
      </c>
      <c r="S102" s="399"/>
      <c r="T102" s="410"/>
      <c r="U102" s="401"/>
      <c r="V102" s="402"/>
      <c r="W102" s="396" t="s">
        <v>538</v>
      </c>
      <c r="X102" s="405">
        <v>44917.0</v>
      </c>
      <c r="Y102" s="406">
        <v>29.18</v>
      </c>
      <c r="Z102" s="407">
        <v>145900.0</v>
      </c>
    </row>
    <row r="103">
      <c r="A103" s="403"/>
      <c r="B103" s="284"/>
      <c r="C103" s="386">
        <f>I103/E190</f>
        <v>0.01986207905</v>
      </c>
      <c r="D103" s="385" t="s">
        <v>401</v>
      </c>
      <c r="E103" s="304" t="s">
        <v>402</v>
      </c>
      <c r="F103" s="359">
        <v>7.9</v>
      </c>
      <c r="G103" s="387">
        <v>2000.0</v>
      </c>
      <c r="H103" s="388">
        <f t="shared" si="57"/>
        <v>189660</v>
      </c>
      <c r="I103" s="389">
        <f t="shared" si="61"/>
        <v>230440</v>
      </c>
      <c r="J103" s="390">
        <v>94.83</v>
      </c>
      <c r="K103" s="391">
        <f>IFERROR(__xludf.DUMMYFUNCTION("GOOGLEFINANCE(E103,""changepct"")"),-1.28)</f>
        <v>-1.28</v>
      </c>
      <c r="L103" s="302">
        <f>IFERROR(__xludf.DUMMYFUNCTION("googlefinance(E103,""price"")"),115.22)</f>
        <v>115.22</v>
      </c>
      <c r="M103" s="401"/>
      <c r="N103" s="301">
        <f t="shared" si="58"/>
        <v>20.39</v>
      </c>
      <c r="O103" s="393">
        <f t="shared" si="62"/>
        <v>0.215016345</v>
      </c>
      <c r="P103" s="394">
        <f t="shared" si="60"/>
        <v>40780</v>
      </c>
      <c r="Q103" s="395">
        <v>0.022</v>
      </c>
      <c r="R103" s="407">
        <v>1106.0</v>
      </c>
      <c r="S103" s="399"/>
      <c r="T103" s="410"/>
      <c r="U103" s="401"/>
      <c r="V103" s="402"/>
      <c r="W103" s="396" t="s">
        <v>402</v>
      </c>
      <c r="X103" s="405">
        <v>44876.0</v>
      </c>
      <c r="Y103" s="406">
        <v>94.83</v>
      </c>
      <c r="Z103" s="407">
        <v>189660.0</v>
      </c>
    </row>
    <row r="104">
      <c r="A104" s="403"/>
      <c r="B104" s="284"/>
      <c r="C104" s="386">
        <f>I104/E190</f>
        <v>0.01666504626</v>
      </c>
      <c r="D104" s="385" t="s">
        <v>503</v>
      </c>
      <c r="E104" s="304" t="s">
        <v>118</v>
      </c>
      <c r="F104" s="359">
        <v>8.0</v>
      </c>
      <c r="G104" s="387">
        <v>400.0</v>
      </c>
      <c r="H104" s="388">
        <f t="shared" si="57"/>
        <v>188316</v>
      </c>
      <c r="I104" s="389">
        <f t="shared" si="61"/>
        <v>193348</v>
      </c>
      <c r="J104" s="390">
        <v>470.79</v>
      </c>
      <c r="K104" s="391">
        <f>IFERROR(__xludf.DUMMYFUNCTION("GOOGLEFINANCE(E104,""changepct"")"),-1.15)</f>
        <v>-1.15</v>
      </c>
      <c r="L104" s="302">
        <f>IFERROR(__xludf.DUMMYFUNCTION("googlefinance(E104,""price"")"),483.37)</f>
        <v>483.37</v>
      </c>
      <c r="M104" s="401"/>
      <c r="N104" s="301">
        <f t="shared" si="58"/>
        <v>12.58</v>
      </c>
      <c r="O104" s="393">
        <f t="shared" si="62"/>
        <v>0.02672104335</v>
      </c>
      <c r="P104" s="394">
        <f t="shared" si="60"/>
        <v>5032</v>
      </c>
      <c r="Q104" s="395">
        <v>0.026</v>
      </c>
      <c r="R104" s="407">
        <v>1268.0</v>
      </c>
      <c r="S104" s="399"/>
      <c r="T104" s="410"/>
      <c r="U104" s="401"/>
      <c r="V104" s="402"/>
      <c r="W104" s="396" t="s">
        <v>118</v>
      </c>
      <c r="X104" s="405">
        <v>44876.0</v>
      </c>
      <c r="Y104" s="406">
        <v>470.79</v>
      </c>
      <c r="Z104" s="407">
        <v>188316.0</v>
      </c>
    </row>
    <row r="105">
      <c r="A105" s="403"/>
      <c r="B105" s="284"/>
      <c r="C105" s="386">
        <f>I105/E190</f>
        <v>0.0181609942</v>
      </c>
      <c r="D105" s="384" t="s">
        <v>115</v>
      </c>
      <c r="E105" s="286" t="s">
        <v>116</v>
      </c>
      <c r="F105" s="359">
        <v>7.9</v>
      </c>
      <c r="G105" s="387">
        <v>800.0</v>
      </c>
      <c r="H105" s="388">
        <f t="shared" si="57"/>
        <v>195648</v>
      </c>
      <c r="I105" s="389">
        <f t="shared" si="61"/>
        <v>210704</v>
      </c>
      <c r="J105" s="390">
        <v>244.56</v>
      </c>
      <c r="K105" s="391">
        <f>IFERROR(__xludf.DUMMYFUNCTION("GOOGLEFINANCE(E105,""changepct"")"),-1.04)</f>
        <v>-1.04</v>
      </c>
      <c r="L105" s="302">
        <f>IFERROR(__xludf.DUMMYFUNCTION("googlefinance(E105,""price"")"),263.38)</f>
        <v>263.38</v>
      </c>
      <c r="M105" s="401"/>
      <c r="N105" s="301">
        <f t="shared" si="58"/>
        <v>18.82</v>
      </c>
      <c r="O105" s="393">
        <f t="shared" si="62"/>
        <v>0.07695453059</v>
      </c>
      <c r="P105" s="394">
        <f t="shared" si="60"/>
        <v>15056</v>
      </c>
      <c r="Q105" s="395">
        <v>0.02</v>
      </c>
      <c r="R105" s="407">
        <v>994.0</v>
      </c>
      <c r="S105" s="399"/>
      <c r="T105" s="410"/>
      <c r="U105" s="401"/>
      <c r="V105" s="402"/>
      <c r="W105" s="396" t="s">
        <v>116</v>
      </c>
      <c r="X105" s="405">
        <v>44876.0</v>
      </c>
      <c r="Y105" s="406">
        <v>244.56</v>
      </c>
      <c r="Z105" s="407">
        <v>195648.0</v>
      </c>
    </row>
    <row r="106">
      <c r="A106" s="403"/>
      <c r="B106" s="284"/>
      <c r="C106" s="386">
        <f>I106/E190</f>
        <v>0.01206308425</v>
      </c>
      <c r="D106" s="385" t="s">
        <v>504</v>
      </c>
      <c r="E106" s="304" t="s">
        <v>120</v>
      </c>
      <c r="F106" s="444">
        <v>8.2</v>
      </c>
      <c r="G106" s="493">
        <v>300.0</v>
      </c>
      <c r="H106" s="388">
        <f t="shared" si="57"/>
        <v>146118</v>
      </c>
      <c r="I106" s="389">
        <f t="shared" si="61"/>
        <v>139956</v>
      </c>
      <c r="J106" s="434">
        <v>487.06</v>
      </c>
      <c r="K106" s="391">
        <f>IFERROR(__xludf.DUMMYFUNCTION("GOOGLEFINANCE(E106,""changepct"")"),-1.02)</f>
        <v>-1.02</v>
      </c>
      <c r="L106" s="302">
        <f>IFERROR(__xludf.DUMMYFUNCTION("googlefinance(E106,""price"")"),466.52)</f>
        <v>466.52</v>
      </c>
      <c r="M106" s="401"/>
      <c r="N106" s="301">
        <f t="shared" si="58"/>
        <v>-20.54</v>
      </c>
      <c r="O106" s="393">
        <f t="shared" si="62"/>
        <v>-0.04217139572</v>
      </c>
      <c r="P106" s="394">
        <f t="shared" si="60"/>
        <v>-6162</v>
      </c>
      <c r="Q106" s="386">
        <v>0.0142</v>
      </c>
      <c r="R106" s="407">
        <v>582.0</v>
      </c>
      <c r="S106" s="399"/>
      <c r="T106" s="410"/>
      <c r="U106" s="401"/>
      <c r="V106" s="402"/>
      <c r="W106" s="399"/>
      <c r="X106" s="411"/>
      <c r="Y106" s="409"/>
      <c r="Z106" s="388"/>
    </row>
    <row r="107">
      <c r="A107" s="351"/>
      <c r="B107" s="352"/>
      <c r="C107" s="352" t="s">
        <v>89</v>
      </c>
      <c r="D107" s="352"/>
      <c r="E107" s="352"/>
      <c r="F107" s="352"/>
      <c r="G107" s="378"/>
      <c r="H107" s="366">
        <f t="shared" ref="H107:I107" si="63">SUM(H96:H106)</f>
        <v>1671857</v>
      </c>
      <c r="I107" s="367">
        <f t="shared" si="63"/>
        <v>1113148</v>
      </c>
      <c r="J107" s="354"/>
      <c r="K107" s="354"/>
      <c r="L107" s="354"/>
      <c r="M107" s="355"/>
      <c r="N107" s="355"/>
      <c r="O107" s="491">
        <f>P107/I107</f>
        <v>0.1478105337</v>
      </c>
      <c r="P107" s="369">
        <v>164535.0</v>
      </c>
      <c r="Q107" s="352"/>
      <c r="R107" s="366">
        <f>SUM(R96:R106)</f>
        <v>4024</v>
      </c>
      <c r="S107" s="352" t="s">
        <v>89</v>
      </c>
      <c r="T107" s="371"/>
      <c r="U107" s="372"/>
      <c r="V107" s="366">
        <f>SUM(V96:V106)</f>
        <v>781785</v>
      </c>
      <c r="W107" s="352" t="s">
        <v>89</v>
      </c>
      <c r="X107" s="371"/>
      <c r="Y107" s="372"/>
      <c r="Z107" s="366">
        <f>SUM(Z96:Z106)</f>
        <v>979974</v>
      </c>
    </row>
    <row r="108">
      <c r="A108" s="351"/>
      <c r="B108" s="352" t="s">
        <v>603</v>
      </c>
      <c r="C108" s="352" t="s">
        <v>2</v>
      </c>
      <c r="D108" s="352" t="s">
        <v>150</v>
      </c>
      <c r="E108" s="352" t="s">
        <v>4</v>
      </c>
      <c r="F108" s="352" t="s">
        <v>5</v>
      </c>
      <c r="G108" s="352" t="s">
        <v>6</v>
      </c>
      <c r="H108" s="352" t="s">
        <v>7</v>
      </c>
      <c r="I108" s="353" t="s">
        <v>8</v>
      </c>
      <c r="J108" s="353" t="s">
        <v>9</v>
      </c>
      <c r="K108" s="354" t="s">
        <v>10</v>
      </c>
      <c r="L108" s="354" t="s">
        <v>11</v>
      </c>
      <c r="M108" s="355" t="s">
        <v>476</v>
      </c>
      <c r="N108" s="355" t="s">
        <v>13</v>
      </c>
      <c r="O108" s="352" t="s">
        <v>14</v>
      </c>
      <c r="P108" s="355" t="s">
        <v>15</v>
      </c>
      <c r="Q108" s="352" t="s">
        <v>16</v>
      </c>
      <c r="R108" s="352" t="s">
        <v>17</v>
      </c>
      <c r="S108" s="352" t="s">
        <v>21</v>
      </c>
      <c r="T108" s="352" t="s">
        <v>22</v>
      </c>
      <c r="U108" s="357" t="s">
        <v>23</v>
      </c>
      <c r="V108" s="357" t="s">
        <v>24</v>
      </c>
      <c r="W108" s="352" t="s">
        <v>25</v>
      </c>
      <c r="X108" s="352" t="s">
        <v>26</v>
      </c>
      <c r="Y108" s="352" t="s">
        <v>27</v>
      </c>
      <c r="Z108" s="352" t="s">
        <v>28</v>
      </c>
    </row>
    <row r="109">
      <c r="A109" s="377" t="s">
        <v>29</v>
      </c>
      <c r="B109" s="362">
        <f>I115/E190</f>
        <v>0.0133559639</v>
      </c>
      <c r="C109" s="386">
        <f>I109/E190</f>
        <v>0</v>
      </c>
      <c r="D109" s="385" t="s">
        <v>604</v>
      </c>
      <c r="E109" s="304" t="s">
        <v>605</v>
      </c>
      <c r="F109" s="444">
        <v>7.8</v>
      </c>
      <c r="G109" s="493">
        <v>3500.0</v>
      </c>
      <c r="H109" s="388">
        <f t="shared" ref="H109:H114" si="64">G109*J109</f>
        <v>116795</v>
      </c>
      <c r="I109" s="404">
        <v>0.0</v>
      </c>
      <c r="J109" s="390">
        <v>33.37</v>
      </c>
      <c r="K109" s="391">
        <f>IFERROR(__xludf.DUMMYFUNCTION("GOOGLEFINANCE(E109,""changepct"")"),-1.04)</f>
        <v>-1.04</v>
      </c>
      <c r="L109" s="302">
        <f>IFERROR(__xludf.DUMMYFUNCTION("googlefinance(E109,""price"")"),30.36)</f>
        <v>30.36</v>
      </c>
      <c r="M109" s="392">
        <v>36.14</v>
      </c>
      <c r="N109" s="301">
        <f t="shared" ref="N109:N114" si="65">L109-J109</f>
        <v>-3.01</v>
      </c>
      <c r="O109" s="393">
        <f t="shared" ref="O109:O113" si="66">M109/J109-1</f>
        <v>0.08300869044</v>
      </c>
      <c r="P109" s="394">
        <f t="shared" ref="P109:P114" si="67">H109*O109</f>
        <v>9695</v>
      </c>
      <c r="Q109" s="386">
        <v>0.0414</v>
      </c>
      <c r="R109" s="388"/>
      <c r="S109" s="396" t="s">
        <v>605</v>
      </c>
      <c r="T109" s="397">
        <v>44858.0</v>
      </c>
      <c r="U109" s="392">
        <v>36.14</v>
      </c>
      <c r="V109" s="398">
        <v>126490.0</v>
      </c>
      <c r="W109" s="400"/>
      <c r="X109" s="400"/>
      <c r="Y109" s="401"/>
      <c r="Z109" s="402"/>
    </row>
    <row r="110">
      <c r="A110" s="403"/>
      <c r="B110" s="284"/>
      <c r="C110" s="386">
        <f>I110/E190</f>
        <v>0</v>
      </c>
      <c r="D110" s="385" t="s">
        <v>606</v>
      </c>
      <c r="E110" s="304" t="s">
        <v>607</v>
      </c>
      <c r="F110" s="444">
        <v>7.9</v>
      </c>
      <c r="G110" s="493">
        <v>2000.0</v>
      </c>
      <c r="H110" s="388">
        <f t="shared" si="64"/>
        <v>153220</v>
      </c>
      <c r="I110" s="404">
        <v>0.0</v>
      </c>
      <c r="J110" s="390">
        <v>76.61</v>
      </c>
      <c r="K110" s="391">
        <f>IFERROR(__xludf.DUMMYFUNCTION("GOOGLEFINANCE(E110,""changepct"")"),-0.91)</f>
        <v>-0.91</v>
      </c>
      <c r="L110" s="302">
        <f>IFERROR(__xludf.DUMMYFUNCTION("googlefinance(E110,""price"")"),63.37)</f>
        <v>63.37</v>
      </c>
      <c r="M110" s="392">
        <v>76.9</v>
      </c>
      <c r="N110" s="301">
        <f t="shared" si="65"/>
        <v>-13.24</v>
      </c>
      <c r="O110" s="393">
        <f t="shared" si="66"/>
        <v>0.003785406605</v>
      </c>
      <c r="P110" s="394">
        <f t="shared" si="67"/>
        <v>580</v>
      </c>
      <c r="Q110" s="386">
        <v>0.0285</v>
      </c>
      <c r="R110" s="388"/>
      <c r="S110" s="396" t="s">
        <v>607</v>
      </c>
      <c r="T110" s="397">
        <v>44854.0</v>
      </c>
      <c r="U110" s="392">
        <v>76.9</v>
      </c>
      <c r="V110" s="398">
        <v>153800.0</v>
      </c>
      <c r="W110" s="400"/>
      <c r="X110" s="400"/>
      <c r="Y110" s="401"/>
      <c r="Z110" s="402"/>
    </row>
    <row r="111">
      <c r="A111" s="403"/>
      <c r="B111" s="284"/>
      <c r="C111" s="386">
        <f>I111/E190</f>
        <v>0</v>
      </c>
      <c r="D111" s="385" t="s">
        <v>608</v>
      </c>
      <c r="E111" s="304" t="s">
        <v>609</v>
      </c>
      <c r="F111" s="444">
        <v>7.9</v>
      </c>
      <c r="G111" s="387">
        <v>1500.0</v>
      </c>
      <c r="H111" s="388">
        <f t="shared" si="64"/>
        <v>104490</v>
      </c>
      <c r="I111" s="404">
        <v>0.0</v>
      </c>
      <c r="J111" s="390">
        <v>69.66</v>
      </c>
      <c r="K111" s="391">
        <f>IFERROR(__xludf.DUMMYFUNCTION("GOOGLEFINANCE(E111,""changepct"")"),-0.43)</f>
        <v>-0.43</v>
      </c>
      <c r="L111" s="302">
        <f>IFERROR(__xludf.DUMMYFUNCTION("googlefinance(E111,""price"")"),80.82)</f>
        <v>80.82</v>
      </c>
      <c r="M111" s="390">
        <v>71.79</v>
      </c>
      <c r="N111" s="301">
        <f t="shared" si="65"/>
        <v>11.16</v>
      </c>
      <c r="O111" s="393">
        <f t="shared" si="66"/>
        <v>0.03057708872</v>
      </c>
      <c r="P111" s="394">
        <f t="shared" si="67"/>
        <v>3195</v>
      </c>
      <c r="Q111" s="386">
        <v>0.032</v>
      </c>
      <c r="R111" s="402"/>
      <c r="S111" s="396" t="s">
        <v>609</v>
      </c>
      <c r="T111" s="405">
        <v>44854.0</v>
      </c>
      <c r="U111" s="406">
        <v>71.79</v>
      </c>
      <c r="V111" s="407">
        <v>107685.0</v>
      </c>
      <c r="W111" s="400"/>
      <c r="X111" s="400"/>
      <c r="Y111" s="401"/>
      <c r="Z111" s="402"/>
    </row>
    <row r="112">
      <c r="A112" s="403"/>
      <c r="B112" s="284"/>
      <c r="C112" s="386">
        <f>I112/E190</f>
        <v>0</v>
      </c>
      <c r="D112" s="284" t="s">
        <v>610</v>
      </c>
      <c r="E112" s="284" t="s">
        <v>611</v>
      </c>
      <c r="F112" s="494">
        <v>8.0</v>
      </c>
      <c r="G112" s="493">
        <v>4000.0</v>
      </c>
      <c r="H112" s="388">
        <f t="shared" si="64"/>
        <v>130520</v>
      </c>
      <c r="I112" s="404">
        <v>0.0</v>
      </c>
      <c r="J112" s="390">
        <v>32.63</v>
      </c>
      <c r="K112" s="391">
        <f>IFERROR(__xludf.DUMMYFUNCTION("GOOGLEFINANCE(E112,""changepct"")"),-0.43)</f>
        <v>-0.43</v>
      </c>
      <c r="L112" s="302">
        <f>IFERROR(__xludf.DUMMYFUNCTION("googlefinance(E112,""price"")"),27.54)</f>
        <v>27.54</v>
      </c>
      <c r="M112" s="392">
        <v>32.84</v>
      </c>
      <c r="N112" s="301">
        <f t="shared" si="65"/>
        <v>-5.09</v>
      </c>
      <c r="O112" s="393">
        <f t="shared" si="66"/>
        <v>0.00643579528</v>
      </c>
      <c r="P112" s="394">
        <f t="shared" si="67"/>
        <v>840</v>
      </c>
      <c r="Q112" s="386">
        <v>0.036</v>
      </c>
      <c r="R112" s="388"/>
      <c r="S112" s="396" t="s">
        <v>611</v>
      </c>
      <c r="T112" s="397">
        <v>44841.0</v>
      </c>
      <c r="U112" s="392">
        <v>32.84</v>
      </c>
      <c r="V112" s="398">
        <v>131360.0</v>
      </c>
      <c r="W112" s="400"/>
      <c r="X112" s="400"/>
      <c r="Y112" s="401"/>
      <c r="Z112" s="402"/>
    </row>
    <row r="113">
      <c r="A113" s="403"/>
      <c r="B113" s="284"/>
      <c r="C113" s="386">
        <f>I113/E190</f>
        <v>0</v>
      </c>
      <c r="D113" s="284" t="s">
        <v>612</v>
      </c>
      <c r="E113" s="284" t="s">
        <v>613</v>
      </c>
      <c r="F113" s="494">
        <v>7.8</v>
      </c>
      <c r="G113" s="387">
        <v>3000.0</v>
      </c>
      <c r="H113" s="388">
        <f t="shared" si="64"/>
        <v>131790</v>
      </c>
      <c r="I113" s="404">
        <v>0.0</v>
      </c>
      <c r="J113" s="390">
        <v>43.93</v>
      </c>
      <c r="K113" s="391">
        <f>IFERROR(__xludf.DUMMYFUNCTION("GOOGLEFINANCE(E113,""changepct"")"),-1.47)</f>
        <v>-1.47</v>
      </c>
      <c r="L113" s="302">
        <f>IFERROR(__xludf.DUMMYFUNCTION("googlefinance(E113,""price"")"),39.44)</f>
        <v>39.44</v>
      </c>
      <c r="M113" s="390">
        <v>48.74</v>
      </c>
      <c r="N113" s="301">
        <f t="shared" si="65"/>
        <v>-4.49</v>
      </c>
      <c r="O113" s="393">
        <f t="shared" si="66"/>
        <v>0.1094923742</v>
      </c>
      <c r="P113" s="394">
        <f t="shared" si="67"/>
        <v>14430</v>
      </c>
      <c r="Q113" s="386">
        <v>0.055</v>
      </c>
      <c r="R113" s="402"/>
      <c r="S113" s="396" t="s">
        <v>613</v>
      </c>
      <c r="T113" s="405">
        <v>44869.0</v>
      </c>
      <c r="U113" s="406">
        <v>48.74</v>
      </c>
      <c r="V113" s="407">
        <v>146220.0</v>
      </c>
      <c r="W113" s="400"/>
      <c r="X113" s="411"/>
      <c r="Y113" s="409"/>
      <c r="Z113" s="388"/>
    </row>
    <row r="114">
      <c r="A114" s="403"/>
      <c r="B114" s="284"/>
      <c r="C114" s="386">
        <f>I114/E190</f>
        <v>0.0133559639</v>
      </c>
      <c r="D114" s="284" t="s">
        <v>452</v>
      </c>
      <c r="E114" s="284" t="s">
        <v>453</v>
      </c>
      <c r="F114" s="494">
        <v>8.0</v>
      </c>
      <c r="G114" s="493">
        <v>1200.0</v>
      </c>
      <c r="H114" s="388">
        <f t="shared" si="64"/>
        <v>132600</v>
      </c>
      <c r="I114" s="389">
        <f>H114+P114</f>
        <v>154956</v>
      </c>
      <c r="J114" s="390">
        <v>110.5</v>
      </c>
      <c r="K114" s="391">
        <f>IFERROR(__xludf.DUMMYFUNCTION("GOOGLEFINANCE(E114,""changepct"")"),-0.81)</f>
        <v>-0.81</v>
      </c>
      <c r="L114" s="302">
        <f>IFERROR(__xludf.DUMMYFUNCTION("googlefinance(E114,""price"")"),129.13)</f>
        <v>129.13</v>
      </c>
      <c r="M114" s="434"/>
      <c r="N114" s="301">
        <f t="shared" si="65"/>
        <v>18.63</v>
      </c>
      <c r="O114" s="393">
        <f>L114/J114-1</f>
        <v>0.1685972851</v>
      </c>
      <c r="P114" s="394">
        <f t="shared" si="67"/>
        <v>22356</v>
      </c>
      <c r="Q114" s="386">
        <v>0.046</v>
      </c>
      <c r="R114" s="398">
        <v>1656.0</v>
      </c>
      <c r="S114" s="399"/>
      <c r="T114" s="411"/>
      <c r="U114" s="409"/>
      <c r="V114" s="388"/>
      <c r="W114" s="400"/>
      <c r="X114" s="411"/>
      <c r="Y114" s="409"/>
      <c r="Z114" s="388"/>
    </row>
    <row r="115">
      <c r="A115" s="351"/>
      <c r="B115" s="352"/>
      <c r="C115" s="352" t="s">
        <v>89</v>
      </c>
      <c r="D115" s="352"/>
      <c r="E115" s="352"/>
      <c r="F115" s="352"/>
      <c r="G115" s="378"/>
      <c r="H115" s="366">
        <f t="shared" ref="H115:I115" si="68">SUM(H109:H114)</f>
        <v>769415</v>
      </c>
      <c r="I115" s="367">
        <f t="shared" si="68"/>
        <v>154956</v>
      </c>
      <c r="J115" s="354"/>
      <c r="K115" s="354"/>
      <c r="L115" s="354"/>
      <c r="M115" s="355"/>
      <c r="N115" s="355"/>
      <c r="O115" s="491">
        <f>P115/H115</f>
        <v>0.05204473529</v>
      </c>
      <c r="P115" s="369">
        <v>40044.0</v>
      </c>
      <c r="Q115" s="352"/>
      <c r="R115" s="366">
        <f>SUM(R109:R114)</f>
        <v>1656</v>
      </c>
      <c r="S115" s="352" t="s">
        <v>89</v>
      </c>
      <c r="T115" s="371"/>
      <c r="U115" s="372"/>
      <c r="V115" s="366">
        <f>SUM(V109:V114)</f>
        <v>665555</v>
      </c>
      <c r="W115" s="352" t="s">
        <v>89</v>
      </c>
      <c r="X115" s="371"/>
      <c r="Y115" s="372"/>
      <c r="Z115" s="366">
        <f>SUM(Z109:Z114)</f>
        <v>0</v>
      </c>
    </row>
    <row r="116">
      <c r="A116" s="373"/>
      <c r="B116" s="352" t="s">
        <v>614</v>
      </c>
      <c r="C116" s="352" t="s">
        <v>2</v>
      </c>
      <c r="D116" s="352" t="s">
        <v>3</v>
      </c>
      <c r="E116" s="352" t="s">
        <v>4</v>
      </c>
      <c r="F116" s="352" t="s">
        <v>5</v>
      </c>
      <c r="G116" s="352" t="s">
        <v>6</v>
      </c>
      <c r="H116" s="352" t="s">
        <v>7</v>
      </c>
      <c r="I116" s="353" t="s">
        <v>8</v>
      </c>
      <c r="J116" s="353" t="s">
        <v>9</v>
      </c>
      <c r="K116" s="354" t="s">
        <v>10</v>
      </c>
      <c r="L116" s="354" t="s">
        <v>11</v>
      </c>
      <c r="M116" s="355" t="s">
        <v>476</v>
      </c>
      <c r="N116" s="355" t="s">
        <v>13</v>
      </c>
      <c r="O116" s="352" t="s">
        <v>14</v>
      </c>
      <c r="P116" s="355" t="s">
        <v>15</v>
      </c>
      <c r="Q116" s="352" t="s">
        <v>16</v>
      </c>
      <c r="R116" s="352" t="s">
        <v>17</v>
      </c>
      <c r="S116" s="352" t="s">
        <v>21</v>
      </c>
      <c r="T116" s="352" t="s">
        <v>22</v>
      </c>
      <c r="U116" s="357" t="s">
        <v>23</v>
      </c>
      <c r="V116" s="357" t="s">
        <v>24</v>
      </c>
      <c r="W116" s="352" t="s">
        <v>25</v>
      </c>
      <c r="X116" s="352" t="s">
        <v>26</v>
      </c>
      <c r="Y116" s="352" t="s">
        <v>27</v>
      </c>
      <c r="Z116" s="352" t="s">
        <v>28</v>
      </c>
    </row>
    <row r="117">
      <c r="A117" s="377" t="s">
        <v>29</v>
      </c>
      <c r="B117" s="362">
        <f>I119/E190</f>
        <v>0</v>
      </c>
      <c r="C117" s="116">
        <f>I117/E190</f>
        <v>0</v>
      </c>
      <c r="D117" s="304" t="s">
        <v>539</v>
      </c>
      <c r="E117" s="304" t="s">
        <v>540</v>
      </c>
      <c r="F117" s="359">
        <v>7.4</v>
      </c>
      <c r="G117" s="119">
        <v>500.0</v>
      </c>
      <c r="H117" s="300">
        <f t="shared" ref="H117:H118" si="69">G117*J117</f>
        <v>146525</v>
      </c>
      <c r="I117" s="133">
        <v>0.0</v>
      </c>
      <c r="J117" s="141">
        <v>293.05</v>
      </c>
      <c r="K117" s="391">
        <f>IFERROR(__xludf.DUMMYFUNCTION("GOOGLEFINANCE(E117,""changepct"")"),-0.46)</f>
        <v>-0.46</v>
      </c>
      <c r="L117" s="302">
        <f>IFERROR(__xludf.DUMMYFUNCTION("googlefinance(E117,""price"")"),573.55)</f>
        <v>573.55</v>
      </c>
      <c r="M117" s="141">
        <v>301.14</v>
      </c>
      <c r="N117" s="301">
        <f t="shared" ref="N117:N118" si="70">L117-J117</f>
        <v>280.5</v>
      </c>
      <c r="O117" s="139">
        <f t="shared" ref="O117:O118" si="71">M117/J117-1</f>
        <v>0.02760621054</v>
      </c>
      <c r="P117" s="382">
        <f>H117*O117</f>
        <v>4045</v>
      </c>
      <c r="Q117" s="116">
        <v>0.021</v>
      </c>
      <c r="R117" s="125"/>
      <c r="S117" s="127" t="s">
        <v>540</v>
      </c>
      <c r="T117" s="287">
        <v>44841.0</v>
      </c>
      <c r="U117" s="141">
        <v>301.14</v>
      </c>
      <c r="V117" s="133">
        <v>150570.0</v>
      </c>
      <c r="W117" s="115"/>
      <c r="X117" s="115"/>
      <c r="Y117" s="126"/>
      <c r="Z117" s="125"/>
    </row>
    <row r="118">
      <c r="A118" s="114"/>
      <c r="B118" s="115"/>
      <c r="C118" s="116">
        <f>I118/E190</f>
        <v>0</v>
      </c>
      <c r="D118" s="304" t="s">
        <v>615</v>
      </c>
      <c r="E118" s="304" t="s">
        <v>616</v>
      </c>
      <c r="F118" s="359">
        <v>7.5</v>
      </c>
      <c r="G118" s="299">
        <v>1000.0</v>
      </c>
      <c r="H118" s="300">
        <f t="shared" si="69"/>
        <v>104050</v>
      </c>
      <c r="I118" s="133">
        <v>0.0</v>
      </c>
      <c r="J118" s="141">
        <v>104.05</v>
      </c>
      <c r="K118" s="391">
        <f>IFERROR(__xludf.DUMMYFUNCTION("GOOGLEFINANCE(E118,""changepct"")"),-0.77)</f>
        <v>-0.77</v>
      </c>
      <c r="L118" s="302">
        <f>IFERROR(__xludf.DUMMYFUNCTION("googlefinance(E118,""price"")"),239.32)</f>
        <v>239.32</v>
      </c>
      <c r="M118" s="141">
        <v>124.12</v>
      </c>
      <c r="N118" s="301">
        <f t="shared" si="70"/>
        <v>135.27</v>
      </c>
      <c r="O118" s="139">
        <f t="shared" si="71"/>
        <v>0.1928880346</v>
      </c>
      <c r="P118" s="382">
        <f>H4*O118</f>
        <v>31451.55137</v>
      </c>
      <c r="Q118" s="116">
        <v>0.0253</v>
      </c>
      <c r="R118" s="125"/>
      <c r="S118" s="127" t="s">
        <v>616</v>
      </c>
      <c r="T118" s="287">
        <v>41208.0</v>
      </c>
      <c r="U118" s="141">
        <v>124.12</v>
      </c>
      <c r="V118" s="133">
        <v>135502.0</v>
      </c>
      <c r="W118" s="115"/>
      <c r="X118" s="298"/>
      <c r="Y118" s="126"/>
      <c r="Z118" s="125"/>
    </row>
    <row r="119">
      <c r="A119" s="351"/>
      <c r="B119" s="352"/>
      <c r="C119" s="352" t="s">
        <v>89</v>
      </c>
      <c r="D119" s="352"/>
      <c r="E119" s="352"/>
      <c r="F119" s="352"/>
      <c r="G119" s="356"/>
      <c r="H119" s="366">
        <f t="shared" ref="H119:I119" si="72">SUM(H117:H118)</f>
        <v>250575</v>
      </c>
      <c r="I119" s="367">
        <f t="shared" si="72"/>
        <v>0</v>
      </c>
      <c r="J119" s="354"/>
      <c r="K119" s="354"/>
      <c r="L119" s="354"/>
      <c r="M119" s="355"/>
      <c r="N119" s="355"/>
      <c r="O119" s="491">
        <f>P119/H119</f>
        <v>0.141662177</v>
      </c>
      <c r="P119" s="369">
        <v>35497.0</v>
      </c>
      <c r="Q119" s="352"/>
      <c r="R119" s="366">
        <f>SUM(R117:R118)</f>
        <v>0</v>
      </c>
      <c r="S119" s="352" t="s">
        <v>89</v>
      </c>
      <c r="T119" s="371"/>
      <c r="U119" s="372"/>
      <c r="V119" s="366">
        <f>SUM(V117:V118)</f>
        <v>286072</v>
      </c>
      <c r="W119" s="352" t="s">
        <v>89</v>
      </c>
      <c r="X119" s="371"/>
      <c r="Y119" s="372"/>
      <c r="Z119" s="366">
        <v>0.0</v>
      </c>
    </row>
    <row r="120">
      <c r="A120" s="351"/>
      <c r="B120" s="352" t="s">
        <v>542</v>
      </c>
      <c r="C120" s="352" t="s">
        <v>2</v>
      </c>
      <c r="D120" s="352" t="s">
        <v>150</v>
      </c>
      <c r="E120" s="352" t="s">
        <v>4</v>
      </c>
      <c r="F120" s="352" t="s">
        <v>5</v>
      </c>
      <c r="G120" s="352" t="s">
        <v>6</v>
      </c>
      <c r="H120" s="352" t="s">
        <v>7</v>
      </c>
      <c r="I120" s="353" t="s">
        <v>8</v>
      </c>
      <c r="J120" s="353" t="s">
        <v>9</v>
      </c>
      <c r="K120" s="354" t="s">
        <v>10</v>
      </c>
      <c r="L120" s="354" t="s">
        <v>11</v>
      </c>
      <c r="M120" s="355" t="s">
        <v>476</v>
      </c>
      <c r="N120" s="355" t="s">
        <v>13</v>
      </c>
      <c r="O120" s="352" t="s">
        <v>14</v>
      </c>
      <c r="P120" s="355" t="s">
        <v>15</v>
      </c>
      <c r="Q120" s="352" t="s">
        <v>16</v>
      </c>
      <c r="R120" s="352" t="s">
        <v>17</v>
      </c>
      <c r="S120" s="352" t="s">
        <v>21</v>
      </c>
      <c r="T120" s="352" t="s">
        <v>22</v>
      </c>
      <c r="U120" s="357" t="s">
        <v>23</v>
      </c>
      <c r="V120" s="357" t="s">
        <v>24</v>
      </c>
      <c r="W120" s="352" t="s">
        <v>25</v>
      </c>
      <c r="X120" s="352" t="s">
        <v>26</v>
      </c>
      <c r="Y120" s="352" t="s">
        <v>27</v>
      </c>
      <c r="Z120" s="352" t="s">
        <v>28</v>
      </c>
    </row>
    <row r="121">
      <c r="A121" s="377" t="s">
        <v>29</v>
      </c>
      <c r="B121" s="362">
        <f>I123/E190</f>
        <v>0.03017270803</v>
      </c>
      <c r="C121" s="386">
        <f>I121/E190</f>
        <v>0.01362177995</v>
      </c>
      <c r="D121" s="117" t="s">
        <v>543</v>
      </c>
      <c r="E121" s="284" t="s">
        <v>408</v>
      </c>
      <c r="F121" s="118">
        <v>7.3</v>
      </c>
      <c r="G121" s="433">
        <v>1800.0</v>
      </c>
      <c r="H121" s="388">
        <f t="shared" ref="H121:H122" si="73">G121*J121</f>
        <v>184068</v>
      </c>
      <c r="I121" s="389">
        <f t="shared" ref="I121:I122" si="74">H121+P121</f>
        <v>158040</v>
      </c>
      <c r="J121" s="390">
        <v>102.26</v>
      </c>
      <c r="K121" s="121">
        <f>IFERROR(__xludf.DUMMYFUNCTION("GOOGLEFINANCE(E121,""changepct"")"),0.8)</f>
        <v>0.8</v>
      </c>
      <c r="L121" s="434">
        <f>IFERROR(__xludf.DUMMYFUNCTION("googlefinance(E121,""price"")"),87.8)</f>
        <v>87.8</v>
      </c>
      <c r="M121" s="400"/>
      <c r="N121" s="434">
        <f t="shared" ref="N121:N122" si="75">L121-J121</f>
        <v>-14.46</v>
      </c>
      <c r="O121" s="436">
        <f t="shared" ref="O121:O122" si="76">L121/J121-1</f>
        <v>-0.1414042636</v>
      </c>
      <c r="P121" s="389">
        <f t="shared" ref="P121:P122" si="77">H121*O121</f>
        <v>-26028</v>
      </c>
      <c r="Q121" s="437">
        <v>0.02</v>
      </c>
      <c r="R121" s="407">
        <v>900.0</v>
      </c>
      <c r="S121" s="400"/>
      <c r="T121" s="400"/>
      <c r="U121" s="401"/>
      <c r="V121" s="402"/>
      <c r="W121" s="400"/>
      <c r="X121" s="400"/>
      <c r="Y121" s="401"/>
      <c r="Z121" s="402"/>
    </row>
    <row r="122">
      <c r="A122" s="403"/>
      <c r="B122" s="284"/>
      <c r="C122" s="386">
        <f>I122/E190</f>
        <v>0.01655092808</v>
      </c>
      <c r="D122" s="284" t="s">
        <v>544</v>
      </c>
      <c r="E122" s="284" t="s">
        <v>545</v>
      </c>
      <c r="F122" s="118">
        <v>7.5</v>
      </c>
      <c r="G122" s="433">
        <v>1800.0</v>
      </c>
      <c r="H122" s="388">
        <f t="shared" si="73"/>
        <v>188730</v>
      </c>
      <c r="I122" s="389">
        <f t="shared" si="74"/>
        <v>192024</v>
      </c>
      <c r="J122" s="390">
        <v>104.85</v>
      </c>
      <c r="K122" s="121">
        <f>IFERROR(__xludf.DUMMYFUNCTION("GOOGLEFINANCE(E122,""changepct"")"),0.29)</f>
        <v>0.29</v>
      </c>
      <c r="L122" s="434">
        <f>IFERROR(__xludf.DUMMYFUNCTION("googlefinance(E122,""price"")"),106.68)</f>
        <v>106.68</v>
      </c>
      <c r="M122" s="400"/>
      <c r="N122" s="434">
        <f t="shared" si="75"/>
        <v>1.83</v>
      </c>
      <c r="O122" s="393">
        <f t="shared" si="76"/>
        <v>0.01745350501</v>
      </c>
      <c r="P122" s="389">
        <f t="shared" si="77"/>
        <v>3294</v>
      </c>
      <c r="Q122" s="386">
        <v>0.059</v>
      </c>
      <c r="R122" s="407">
        <v>2832.0</v>
      </c>
      <c r="S122" s="400"/>
      <c r="T122" s="400"/>
      <c r="U122" s="401"/>
      <c r="V122" s="402"/>
      <c r="W122" s="400"/>
      <c r="X122" s="400"/>
      <c r="Y122" s="401"/>
      <c r="Z122" s="402"/>
    </row>
    <row r="123">
      <c r="A123" s="351"/>
      <c r="B123" s="352"/>
      <c r="C123" s="352" t="s">
        <v>89</v>
      </c>
      <c r="D123" s="352"/>
      <c r="E123" s="352"/>
      <c r="F123" s="352"/>
      <c r="G123" s="356"/>
      <c r="H123" s="366">
        <f t="shared" ref="H123:I123" si="78">SUM(H121:H122)</f>
        <v>372798</v>
      </c>
      <c r="I123" s="367">
        <f t="shared" si="78"/>
        <v>350064</v>
      </c>
      <c r="J123" s="354"/>
      <c r="K123" s="354"/>
      <c r="L123" s="354"/>
      <c r="M123" s="355"/>
      <c r="N123" s="355"/>
      <c r="O123" s="491">
        <f>P123/H123</f>
        <v>-0.005359470813</v>
      </c>
      <c r="P123" s="369">
        <v>-1998.0</v>
      </c>
      <c r="Q123" s="352"/>
      <c r="R123" s="366">
        <f>SUM(R121:R122)</f>
        <v>3732</v>
      </c>
      <c r="S123" s="352" t="s">
        <v>89</v>
      </c>
      <c r="T123" s="371"/>
      <c r="U123" s="372"/>
      <c r="V123" s="366">
        <f>SUM(V121:V122)</f>
        <v>0</v>
      </c>
      <c r="W123" s="352" t="s">
        <v>89</v>
      </c>
      <c r="X123" s="371"/>
      <c r="Y123" s="372"/>
      <c r="Z123" s="366">
        <f>SUM(Z117:Z118)</f>
        <v>0</v>
      </c>
    </row>
    <row r="124">
      <c r="A124" s="373"/>
      <c r="B124" s="352" t="s">
        <v>409</v>
      </c>
      <c r="C124" s="352" t="s">
        <v>2</v>
      </c>
      <c r="D124" s="352" t="s">
        <v>150</v>
      </c>
      <c r="E124" s="352" t="s">
        <v>4</v>
      </c>
      <c r="F124" s="352" t="s">
        <v>5</v>
      </c>
      <c r="G124" s="352" t="s">
        <v>6</v>
      </c>
      <c r="H124" s="352" t="s">
        <v>7</v>
      </c>
      <c r="I124" s="353" t="s">
        <v>8</v>
      </c>
      <c r="J124" s="353" t="s">
        <v>9</v>
      </c>
      <c r="K124" s="354" t="s">
        <v>10</v>
      </c>
      <c r="L124" s="354" t="s">
        <v>11</v>
      </c>
      <c r="M124" s="355" t="s">
        <v>476</v>
      </c>
      <c r="N124" s="355" t="s">
        <v>13</v>
      </c>
      <c r="O124" s="352" t="s">
        <v>14</v>
      </c>
      <c r="P124" s="355" t="s">
        <v>15</v>
      </c>
      <c r="Q124" s="352" t="s">
        <v>16</v>
      </c>
      <c r="R124" s="352" t="s">
        <v>17</v>
      </c>
      <c r="S124" s="352" t="s">
        <v>21</v>
      </c>
      <c r="T124" s="352" t="s">
        <v>22</v>
      </c>
      <c r="U124" s="357" t="s">
        <v>23</v>
      </c>
      <c r="V124" s="357" t="s">
        <v>24</v>
      </c>
      <c r="W124" s="352" t="s">
        <v>25</v>
      </c>
      <c r="X124" s="352" t="s">
        <v>26</v>
      </c>
      <c r="Y124" s="352" t="s">
        <v>27</v>
      </c>
      <c r="Z124" s="352" t="s">
        <v>28</v>
      </c>
    </row>
    <row r="125">
      <c r="A125" s="377" t="s">
        <v>29</v>
      </c>
      <c r="B125" s="362">
        <f>I143/E190</f>
        <v>0.2916658909</v>
      </c>
      <c r="C125" s="116">
        <f>I125/E190</f>
        <v>0.0391311573</v>
      </c>
      <c r="D125" s="304" t="s">
        <v>151</v>
      </c>
      <c r="E125" s="304" t="s">
        <v>152</v>
      </c>
      <c r="F125" s="359">
        <v>8.6</v>
      </c>
      <c r="G125" s="299">
        <v>250.0</v>
      </c>
      <c r="H125" s="300">
        <f t="shared" ref="H125:H142" si="79">G125*J125</f>
        <v>415000</v>
      </c>
      <c r="I125" s="300">
        <f t="shared" ref="I125:I131" si="80">H125+P125</f>
        <v>454000</v>
      </c>
      <c r="J125" s="141">
        <v>1660.0</v>
      </c>
      <c r="K125" s="439"/>
      <c r="L125" s="440">
        <v>1816.0</v>
      </c>
      <c r="M125" s="126"/>
      <c r="N125" s="441">
        <f t="shared" ref="N125:N142" si="81">L125-J125</f>
        <v>156</v>
      </c>
      <c r="O125" s="139">
        <f t="shared" ref="O125:O131" si="82">L125/J125-1</f>
        <v>0.09397590361</v>
      </c>
      <c r="P125" s="382">
        <f t="shared" ref="P125:P142" si="83">H125*O125</f>
        <v>39000</v>
      </c>
      <c r="Q125" s="124"/>
      <c r="R125" s="125"/>
      <c r="S125" s="360"/>
      <c r="T125" s="115"/>
      <c r="U125" s="126"/>
      <c r="V125" s="125"/>
      <c r="W125" s="360"/>
      <c r="X125" s="115"/>
      <c r="Y125" s="126"/>
      <c r="Z125" s="125"/>
    </row>
    <row r="126">
      <c r="A126" s="442" t="s">
        <v>153</v>
      </c>
      <c r="B126" s="443">
        <f>I125+I126</f>
        <v>693500</v>
      </c>
      <c r="C126" s="116">
        <f>I126/E190</f>
        <v>0.02064297835</v>
      </c>
      <c r="D126" s="304" t="s">
        <v>154</v>
      </c>
      <c r="E126" s="304" t="s">
        <v>155</v>
      </c>
      <c r="F126" s="444">
        <v>8.5</v>
      </c>
      <c r="G126" s="299">
        <v>10000.0</v>
      </c>
      <c r="H126" s="300">
        <f t="shared" si="79"/>
        <v>190100</v>
      </c>
      <c r="I126" s="300">
        <f t="shared" si="80"/>
        <v>239500</v>
      </c>
      <c r="J126" s="141">
        <v>19.01</v>
      </c>
      <c r="K126" s="439"/>
      <c r="L126" s="445">
        <v>23.95</v>
      </c>
      <c r="M126" s="126"/>
      <c r="N126" s="301">
        <f t="shared" si="81"/>
        <v>4.94</v>
      </c>
      <c r="O126" s="139">
        <f t="shared" si="82"/>
        <v>0.2598632299</v>
      </c>
      <c r="P126" s="300">
        <f t="shared" si="83"/>
        <v>49400</v>
      </c>
      <c r="Q126" s="124"/>
      <c r="R126" s="125"/>
      <c r="S126" s="360"/>
      <c r="T126" s="115"/>
      <c r="U126" s="126"/>
      <c r="V126" s="125"/>
      <c r="W126" s="360"/>
      <c r="X126" s="115"/>
      <c r="Y126" s="126"/>
      <c r="Z126" s="125"/>
    </row>
    <row r="127">
      <c r="A127" s="442" t="s">
        <v>156</v>
      </c>
      <c r="B127" s="446">
        <f>B126/E190</f>
        <v>0.05977413565</v>
      </c>
      <c r="C127" s="116">
        <f>I127/E190</f>
        <v>0.02910703044</v>
      </c>
      <c r="D127" s="304" t="s">
        <v>570</v>
      </c>
      <c r="E127" s="304" t="s">
        <v>158</v>
      </c>
      <c r="F127" s="359">
        <v>7.9</v>
      </c>
      <c r="G127" s="119">
        <v>10000.0</v>
      </c>
      <c r="H127" s="300">
        <f t="shared" si="79"/>
        <v>241200</v>
      </c>
      <c r="I127" s="300">
        <f t="shared" si="80"/>
        <v>337700</v>
      </c>
      <c r="J127" s="141">
        <v>24.12</v>
      </c>
      <c r="K127" s="447">
        <f>IFERROR(__xludf.DUMMYFUNCTION("GOOGLEFINANCE(E127,""changepct"")"),-1.43)</f>
        <v>-1.43</v>
      </c>
      <c r="L127" s="302">
        <f>IFERROR(__xludf.DUMMYFUNCTION("googlefinance(E127,""price"")"),33.77)</f>
        <v>33.77</v>
      </c>
      <c r="M127" s="126"/>
      <c r="N127" s="301">
        <f t="shared" si="81"/>
        <v>9.65</v>
      </c>
      <c r="O127" s="139">
        <f t="shared" si="82"/>
        <v>0.4000829187</v>
      </c>
      <c r="P127" s="300">
        <f t="shared" si="83"/>
        <v>96500</v>
      </c>
      <c r="Q127" s="116">
        <v>0.0226</v>
      </c>
      <c r="R127" s="133">
        <v>1639.0</v>
      </c>
      <c r="S127" s="360"/>
      <c r="T127" s="298"/>
      <c r="U127" s="126"/>
      <c r="V127" s="125"/>
      <c r="W127" s="360"/>
      <c r="X127" s="115"/>
      <c r="Y127" s="126"/>
      <c r="Z127" s="125"/>
    </row>
    <row r="128">
      <c r="A128" s="442" t="s">
        <v>159</v>
      </c>
      <c r="B128" s="443">
        <f>I128+I140+I132+I130+I127+I129+I131+I136+I139+I133+I142+I137+I134+I138+I135+I141</f>
        <v>2690410</v>
      </c>
      <c r="C128" s="116">
        <f>I128/E190</f>
        <v>0.01823822221</v>
      </c>
      <c r="D128" s="304" t="s">
        <v>160</v>
      </c>
      <c r="E128" s="304" t="s">
        <v>161</v>
      </c>
      <c r="F128" s="444">
        <v>8.0</v>
      </c>
      <c r="G128" s="119">
        <v>5000.0</v>
      </c>
      <c r="H128" s="300">
        <f t="shared" si="79"/>
        <v>147350</v>
      </c>
      <c r="I128" s="300">
        <f t="shared" si="80"/>
        <v>211600</v>
      </c>
      <c r="J128" s="141">
        <v>29.47</v>
      </c>
      <c r="K128" s="447">
        <f>IFERROR(__xludf.DUMMYFUNCTION("GOOGLEFINANCE(E128,""changepct"")"),-1.7)</f>
        <v>-1.7</v>
      </c>
      <c r="L128" s="302">
        <f>IFERROR(__xludf.DUMMYFUNCTION("googlefinance(E128,""price"")"),42.32)</f>
        <v>42.32</v>
      </c>
      <c r="M128" s="126"/>
      <c r="N128" s="301">
        <f t="shared" si="81"/>
        <v>12.85</v>
      </c>
      <c r="O128" s="139">
        <f t="shared" si="82"/>
        <v>0.4360366474</v>
      </c>
      <c r="P128" s="300">
        <f t="shared" si="83"/>
        <v>64250</v>
      </c>
      <c r="Q128" s="116">
        <v>0.019</v>
      </c>
      <c r="R128" s="133">
        <v>846.0</v>
      </c>
      <c r="S128" s="360"/>
      <c r="T128" s="298"/>
      <c r="U128" s="126"/>
      <c r="V128" s="125"/>
      <c r="W128" s="360"/>
      <c r="X128" s="115"/>
      <c r="Y128" s="126"/>
      <c r="Z128" s="125"/>
    </row>
    <row r="129">
      <c r="A129" s="442" t="s">
        <v>162</v>
      </c>
      <c r="B129" s="446">
        <f>B128/E190</f>
        <v>0.2318917553</v>
      </c>
      <c r="C129" s="116">
        <f>I129/E190</f>
        <v>0.01594551564</v>
      </c>
      <c r="D129" s="304" t="s">
        <v>506</v>
      </c>
      <c r="E129" s="304" t="s">
        <v>169</v>
      </c>
      <c r="F129" s="444">
        <v>8.0</v>
      </c>
      <c r="G129" s="119">
        <v>5000.0</v>
      </c>
      <c r="H129" s="300">
        <f t="shared" si="79"/>
        <v>210150</v>
      </c>
      <c r="I129" s="300">
        <f t="shared" si="80"/>
        <v>185000</v>
      </c>
      <c r="J129" s="141">
        <v>42.03</v>
      </c>
      <c r="K129" s="447">
        <f>IFERROR(__xludf.DUMMYFUNCTION("GOOGLEFINANCE(E129,""changepct"")"),-2.22)</f>
        <v>-2.22</v>
      </c>
      <c r="L129" s="302">
        <f>IFERROR(__xludf.DUMMYFUNCTION("googlefinance(E129,""price"")"),37.0)</f>
        <v>37</v>
      </c>
      <c r="M129" s="126"/>
      <c r="N129" s="301">
        <f t="shared" si="81"/>
        <v>-5.03</v>
      </c>
      <c r="O129" s="139">
        <f t="shared" si="82"/>
        <v>-0.1196764216</v>
      </c>
      <c r="P129" s="300">
        <f t="shared" si="83"/>
        <v>-25150</v>
      </c>
      <c r="Q129" s="116">
        <v>0.054</v>
      </c>
      <c r="R129" s="133">
        <v>3186.0</v>
      </c>
      <c r="S129" s="360"/>
      <c r="T129" s="298"/>
      <c r="U129" s="126"/>
      <c r="V129" s="125"/>
      <c r="W129" s="360"/>
      <c r="X129" s="115"/>
      <c r="Y129" s="126"/>
      <c r="Z129" s="125"/>
    </row>
    <row r="130">
      <c r="A130" s="114"/>
      <c r="B130" s="115"/>
      <c r="C130" s="116">
        <f>I130/E190</f>
        <v>0.02013013609</v>
      </c>
      <c r="D130" s="304" t="s">
        <v>165</v>
      </c>
      <c r="E130" s="304" t="s">
        <v>164</v>
      </c>
      <c r="F130" s="444">
        <v>8.0</v>
      </c>
      <c r="G130" s="299">
        <v>3000.0</v>
      </c>
      <c r="H130" s="300">
        <f t="shared" si="79"/>
        <v>127440</v>
      </c>
      <c r="I130" s="300">
        <f t="shared" si="80"/>
        <v>233550</v>
      </c>
      <c r="J130" s="141">
        <v>42.48</v>
      </c>
      <c r="K130" s="447">
        <f>IFERROR(__xludf.DUMMYFUNCTION("GOOGLEFINANCE(E130,""changepct"")"),-1.02)</f>
        <v>-1.02</v>
      </c>
      <c r="L130" s="302">
        <f>IFERROR(__xludf.DUMMYFUNCTION("googlefinance(E130,""price"")"),77.85)</f>
        <v>77.85</v>
      </c>
      <c r="M130" s="126"/>
      <c r="N130" s="301">
        <f t="shared" si="81"/>
        <v>35.37</v>
      </c>
      <c r="O130" s="139">
        <f t="shared" si="82"/>
        <v>0.8326271186</v>
      </c>
      <c r="P130" s="300">
        <f t="shared" si="83"/>
        <v>106110</v>
      </c>
      <c r="Q130" s="116">
        <v>0.03</v>
      </c>
      <c r="R130" s="133">
        <v>1167.0</v>
      </c>
      <c r="S130" s="360"/>
      <c r="T130" s="115"/>
      <c r="U130" s="126"/>
      <c r="V130" s="125"/>
      <c r="W130" s="360"/>
      <c r="X130" s="298"/>
      <c r="Y130" s="126"/>
      <c r="Z130" s="125"/>
    </row>
    <row r="131">
      <c r="A131" s="114"/>
      <c r="B131" s="115"/>
      <c r="C131" s="116">
        <f>I131/E190</f>
        <v>0.03161521695</v>
      </c>
      <c r="D131" s="304" t="s">
        <v>166</v>
      </c>
      <c r="E131" s="304" t="s">
        <v>167</v>
      </c>
      <c r="F131" s="359">
        <v>7.5</v>
      </c>
      <c r="G131" s="299">
        <v>40000.0</v>
      </c>
      <c r="H131" s="300">
        <f t="shared" si="79"/>
        <v>150400</v>
      </c>
      <c r="I131" s="300">
        <f t="shared" si="80"/>
        <v>366800</v>
      </c>
      <c r="J131" s="141">
        <v>3.76</v>
      </c>
      <c r="K131" s="447">
        <f>IFERROR(__xludf.DUMMYFUNCTION("GOOGLEFINANCE(E131,""changepct"")"),-1.5)</f>
        <v>-1.5</v>
      </c>
      <c r="L131" s="302">
        <f>IFERROR(__xludf.DUMMYFUNCTION("googlefinance(E131,""price"")"),9.17)</f>
        <v>9.17</v>
      </c>
      <c r="M131" s="126"/>
      <c r="N131" s="301">
        <f t="shared" si="81"/>
        <v>5.41</v>
      </c>
      <c r="O131" s="139">
        <f t="shared" si="82"/>
        <v>1.438829787</v>
      </c>
      <c r="P131" s="300">
        <f t="shared" si="83"/>
        <v>216400</v>
      </c>
      <c r="Q131" s="116">
        <v>0.03</v>
      </c>
      <c r="R131" s="133">
        <v>1227.0</v>
      </c>
      <c r="S131" s="360"/>
      <c r="T131" s="115"/>
      <c r="U131" s="126"/>
      <c r="V131" s="125"/>
      <c r="W131" s="360"/>
      <c r="X131" s="298"/>
      <c r="Y131" s="126"/>
      <c r="Z131" s="125"/>
    </row>
    <row r="132">
      <c r="A132" s="114"/>
      <c r="B132" s="115"/>
      <c r="C132" s="116">
        <f>I132/E190</f>
        <v>0</v>
      </c>
      <c r="D132" s="304" t="s">
        <v>617</v>
      </c>
      <c r="E132" s="304" t="s">
        <v>618</v>
      </c>
      <c r="F132" s="359">
        <v>7.7</v>
      </c>
      <c r="G132" s="299">
        <v>25000.0</v>
      </c>
      <c r="H132" s="300">
        <f t="shared" si="79"/>
        <v>113250</v>
      </c>
      <c r="I132" s="133">
        <v>0.0</v>
      </c>
      <c r="J132" s="301">
        <v>4.53</v>
      </c>
      <c r="K132" s="447" t="str">
        <f>IFERROR(__xludf.DUMMYFUNCTION("GOOGLEFINANCE(E132,""changepct"")"),"#N/A")</f>
        <v>#N/A</v>
      </c>
      <c r="L132" s="302" t="str">
        <f>IFERROR(__xludf.DUMMYFUNCTION("googlefinance(E132,""price"")"),"#N/A")</f>
        <v>#N/A</v>
      </c>
      <c r="M132" s="123">
        <v>4.86</v>
      </c>
      <c r="N132" s="301" t="str">
        <f t="shared" si="81"/>
        <v>#N/A</v>
      </c>
      <c r="O132" s="139">
        <f t="shared" ref="O132:O133" si="84">M132/J132-1</f>
        <v>0.07284768212</v>
      </c>
      <c r="P132" s="300">
        <f t="shared" si="83"/>
        <v>8250</v>
      </c>
      <c r="Q132" s="116">
        <v>0.03</v>
      </c>
      <c r="R132" s="300"/>
      <c r="S132" s="127" t="s">
        <v>618</v>
      </c>
      <c r="T132" s="128">
        <v>44869.0</v>
      </c>
      <c r="U132" s="123">
        <v>4.86</v>
      </c>
      <c r="V132" s="129">
        <v>121500.0</v>
      </c>
      <c r="W132" s="360"/>
      <c r="X132" s="298"/>
      <c r="Y132" s="126"/>
      <c r="Z132" s="125"/>
    </row>
    <row r="133">
      <c r="A133" s="114"/>
      <c r="B133" s="115"/>
      <c r="C133" s="116">
        <f>I133/E190</f>
        <v>0</v>
      </c>
      <c r="D133" s="304" t="s">
        <v>547</v>
      </c>
      <c r="E133" s="304" t="s">
        <v>548</v>
      </c>
      <c r="F133" s="359">
        <v>8.0</v>
      </c>
      <c r="G133" s="299">
        <v>18000.0</v>
      </c>
      <c r="H133" s="300">
        <f t="shared" si="79"/>
        <v>133380</v>
      </c>
      <c r="I133" s="133">
        <v>0.0</v>
      </c>
      <c r="J133" s="141">
        <v>7.41</v>
      </c>
      <c r="K133" s="447">
        <f>IFERROR(__xludf.DUMMYFUNCTION("GOOGLEFINANCE(E133,""changepct"")"),-1.53)</f>
        <v>-1.53</v>
      </c>
      <c r="L133" s="302">
        <f>IFERROR(__xludf.DUMMYFUNCTION("googlefinance(E133,""price"")"),18.07)</f>
        <v>18.07</v>
      </c>
      <c r="M133" s="123">
        <v>8.29</v>
      </c>
      <c r="N133" s="301">
        <f t="shared" si="81"/>
        <v>10.66</v>
      </c>
      <c r="O133" s="139">
        <f t="shared" si="84"/>
        <v>0.1187584345</v>
      </c>
      <c r="P133" s="300">
        <f t="shared" si="83"/>
        <v>15840</v>
      </c>
      <c r="Q133" s="116">
        <v>0.014</v>
      </c>
      <c r="R133" s="300"/>
      <c r="S133" s="127" t="s">
        <v>548</v>
      </c>
      <c r="T133" s="128">
        <v>44874.0</v>
      </c>
      <c r="U133" s="123">
        <v>8.29</v>
      </c>
      <c r="V133" s="129">
        <v>149220.0</v>
      </c>
      <c r="W133" s="360"/>
      <c r="X133" s="305"/>
      <c r="Y133" s="301"/>
      <c r="Z133" s="300"/>
    </row>
    <row r="134">
      <c r="A134" s="114"/>
      <c r="B134" s="115"/>
      <c r="C134" s="116">
        <f>I134/E190</f>
        <v>0.01665659944</v>
      </c>
      <c r="D134" s="304" t="s">
        <v>571</v>
      </c>
      <c r="E134" s="304" t="s">
        <v>172</v>
      </c>
      <c r="F134" s="359">
        <v>7.9</v>
      </c>
      <c r="G134" s="119">
        <v>12500.0</v>
      </c>
      <c r="H134" s="300">
        <f t="shared" si="79"/>
        <v>194125</v>
      </c>
      <c r="I134" s="300">
        <f t="shared" ref="I134:I135" si="85">H134+P134</f>
        <v>193250</v>
      </c>
      <c r="J134" s="141">
        <v>15.53</v>
      </c>
      <c r="K134" s="447">
        <f>IFERROR(__xludf.DUMMYFUNCTION("GOOGLEFINANCE(E134,""changepct"")"),-1.4)</f>
        <v>-1.4</v>
      </c>
      <c r="L134" s="302">
        <f>IFERROR(__xludf.DUMMYFUNCTION("googlefinance(E134,""price"")"),15.46)</f>
        <v>15.46</v>
      </c>
      <c r="M134" s="126"/>
      <c r="N134" s="301">
        <f t="shared" si="81"/>
        <v>-0.07</v>
      </c>
      <c r="O134" s="139">
        <f t="shared" ref="O134:O135" si="86">L134/J134-1</f>
        <v>-0.004507405023</v>
      </c>
      <c r="P134" s="300">
        <f t="shared" si="83"/>
        <v>-875</v>
      </c>
      <c r="Q134" s="116">
        <v>0.0274</v>
      </c>
      <c r="R134" s="133">
        <v>1473.0</v>
      </c>
      <c r="S134" s="360"/>
      <c r="T134" s="298"/>
      <c r="U134" s="126"/>
      <c r="V134" s="125"/>
      <c r="W134" s="360"/>
      <c r="X134" s="305"/>
      <c r="Y134" s="301"/>
      <c r="Z134" s="300"/>
    </row>
    <row r="135">
      <c r="A135" s="114"/>
      <c r="B135" s="115"/>
      <c r="C135" s="116">
        <f>I135/E190</f>
        <v>0.009291495058</v>
      </c>
      <c r="D135" s="304" t="s">
        <v>549</v>
      </c>
      <c r="E135" s="304" t="s">
        <v>550</v>
      </c>
      <c r="F135" s="359">
        <v>7.4</v>
      </c>
      <c r="G135" s="119">
        <v>20000.0</v>
      </c>
      <c r="H135" s="300">
        <f t="shared" si="79"/>
        <v>175200</v>
      </c>
      <c r="I135" s="300">
        <f t="shared" si="85"/>
        <v>107800</v>
      </c>
      <c r="J135" s="141">
        <v>8.76</v>
      </c>
      <c r="K135" s="447">
        <f>IFERROR(__xludf.DUMMYFUNCTION("GOOGLEFINANCE(E135,""changepct"")"),-2.71)</f>
        <v>-2.71</v>
      </c>
      <c r="L135" s="302">
        <f>IFERROR(__xludf.DUMMYFUNCTION("googlefinance(E135,""price"")"),5.39)</f>
        <v>5.39</v>
      </c>
      <c r="M135" s="126"/>
      <c r="N135" s="301">
        <f t="shared" si="81"/>
        <v>-3.37</v>
      </c>
      <c r="O135" s="139">
        <f t="shared" si="86"/>
        <v>-0.3847031963</v>
      </c>
      <c r="P135" s="300">
        <f t="shared" si="83"/>
        <v>-67400</v>
      </c>
      <c r="Q135" s="116">
        <v>0.0035</v>
      </c>
      <c r="R135" s="133">
        <v>148.0</v>
      </c>
      <c r="S135" s="360"/>
      <c r="T135" s="298"/>
      <c r="U135" s="126"/>
      <c r="V135" s="125"/>
      <c r="W135" s="127" t="s">
        <v>550</v>
      </c>
      <c r="X135" s="128">
        <v>44869.0</v>
      </c>
      <c r="Y135" s="123">
        <v>8.76</v>
      </c>
      <c r="Z135" s="129">
        <v>175200.0</v>
      </c>
    </row>
    <row r="136">
      <c r="A136" s="114"/>
      <c r="B136" s="115"/>
      <c r="C136" s="116">
        <f>I136/E190</f>
        <v>0</v>
      </c>
      <c r="D136" s="304" t="s">
        <v>549</v>
      </c>
      <c r="E136" s="304" t="s">
        <v>550</v>
      </c>
      <c r="F136" s="359">
        <v>7.4</v>
      </c>
      <c r="G136" s="299">
        <v>20000.0</v>
      </c>
      <c r="H136" s="300">
        <f t="shared" si="79"/>
        <v>153600</v>
      </c>
      <c r="I136" s="133">
        <v>0.0</v>
      </c>
      <c r="J136" s="141">
        <v>7.68</v>
      </c>
      <c r="K136" s="447">
        <f>IFERROR(__xludf.DUMMYFUNCTION("GOOGLEFINANCE(E136,""changepct"")"),-2.71)</f>
        <v>-2.71</v>
      </c>
      <c r="L136" s="302">
        <f>IFERROR(__xludf.DUMMYFUNCTION("googlefinance(E136,""price"")"),5.39)</f>
        <v>5.39</v>
      </c>
      <c r="M136" s="123">
        <v>8.99</v>
      </c>
      <c r="N136" s="301">
        <f t="shared" si="81"/>
        <v>-2.29</v>
      </c>
      <c r="O136" s="139">
        <f>M136/J136-1</f>
        <v>0.1705729167</v>
      </c>
      <c r="P136" s="300">
        <f t="shared" si="83"/>
        <v>26200</v>
      </c>
      <c r="Q136" s="116">
        <v>0.0035</v>
      </c>
      <c r="R136" s="300"/>
      <c r="S136" s="127" t="s">
        <v>550</v>
      </c>
      <c r="T136" s="128">
        <v>44874.0</v>
      </c>
      <c r="U136" s="123">
        <v>8.99</v>
      </c>
      <c r="V136" s="129">
        <v>179800.0</v>
      </c>
      <c r="W136" s="360"/>
      <c r="X136" s="298"/>
      <c r="Y136" s="126"/>
      <c r="Z136" s="125"/>
    </row>
    <row r="137">
      <c r="A137" s="114"/>
      <c r="B137" s="115"/>
      <c r="C137" s="116">
        <f>I137/E190</f>
        <v>0.02406135214</v>
      </c>
      <c r="D137" s="304" t="s">
        <v>357</v>
      </c>
      <c r="E137" s="304" t="s">
        <v>174</v>
      </c>
      <c r="F137" s="359">
        <v>7.7</v>
      </c>
      <c r="G137" s="119">
        <v>14000.0</v>
      </c>
      <c r="H137" s="300">
        <f t="shared" si="79"/>
        <v>222320</v>
      </c>
      <c r="I137" s="300">
        <f t="shared" ref="I137:I138" si="87">H137+P137</f>
        <v>279160</v>
      </c>
      <c r="J137" s="141">
        <v>15.88</v>
      </c>
      <c r="K137" s="447">
        <f>IFERROR(__xludf.DUMMYFUNCTION("GOOGLEFINANCE(E137,""changepct"")"),-3.11)</f>
        <v>-3.11</v>
      </c>
      <c r="L137" s="302">
        <f>IFERROR(__xludf.DUMMYFUNCTION("googlefinance(E137,""price"")"),19.94)</f>
        <v>19.94</v>
      </c>
      <c r="M137" s="126"/>
      <c r="N137" s="301">
        <f t="shared" si="81"/>
        <v>4.06</v>
      </c>
      <c r="O137" s="139">
        <f t="shared" ref="O137:O138" si="88">L137/J137-1</f>
        <v>0.2556675063</v>
      </c>
      <c r="P137" s="300">
        <f t="shared" si="83"/>
        <v>56840</v>
      </c>
      <c r="Q137" s="116">
        <v>0.03</v>
      </c>
      <c r="R137" s="133">
        <v>1710.0</v>
      </c>
      <c r="S137" s="360"/>
      <c r="T137" s="298"/>
      <c r="U137" s="126"/>
      <c r="V137" s="125"/>
      <c r="W137" s="360"/>
      <c r="X137" s="305"/>
      <c r="Y137" s="301"/>
      <c r="Z137" s="300"/>
    </row>
    <row r="138">
      <c r="A138" s="114"/>
      <c r="B138" s="115"/>
      <c r="C138" s="116">
        <f>I138/E190</f>
        <v>0.0171866801</v>
      </c>
      <c r="D138" s="304" t="s">
        <v>357</v>
      </c>
      <c r="E138" s="304" t="s">
        <v>174</v>
      </c>
      <c r="F138" s="359">
        <v>7.7</v>
      </c>
      <c r="G138" s="119">
        <v>10000.0</v>
      </c>
      <c r="H138" s="300">
        <f t="shared" si="79"/>
        <v>143100</v>
      </c>
      <c r="I138" s="300">
        <f t="shared" si="87"/>
        <v>199400</v>
      </c>
      <c r="J138" s="141">
        <v>14.31</v>
      </c>
      <c r="K138" s="447">
        <f>IFERROR(__xludf.DUMMYFUNCTION("GOOGLEFINANCE(E138,""changepct"")"),-3.11)</f>
        <v>-3.11</v>
      </c>
      <c r="L138" s="302">
        <f>IFERROR(__xludf.DUMMYFUNCTION("googlefinance(E138,""price"")"),19.94)</f>
        <v>19.94</v>
      </c>
      <c r="M138" s="126"/>
      <c r="N138" s="301">
        <f t="shared" si="81"/>
        <v>5.63</v>
      </c>
      <c r="O138" s="139">
        <f t="shared" si="88"/>
        <v>0.393431167</v>
      </c>
      <c r="P138" s="300">
        <f t="shared" si="83"/>
        <v>56300</v>
      </c>
      <c r="Q138" s="383">
        <v>0.03</v>
      </c>
      <c r="R138" s="129">
        <v>1220.0</v>
      </c>
      <c r="S138" s="360"/>
      <c r="T138" s="298"/>
      <c r="U138" s="126"/>
      <c r="V138" s="125"/>
      <c r="W138" s="127" t="s">
        <v>174</v>
      </c>
      <c r="X138" s="287">
        <v>44869.0</v>
      </c>
      <c r="Y138" s="141">
        <v>14.31</v>
      </c>
      <c r="Z138" s="133">
        <v>143800.0</v>
      </c>
    </row>
    <row r="139">
      <c r="A139" s="114"/>
      <c r="B139" s="115"/>
      <c r="C139" s="116">
        <f>I139/E190</f>
        <v>0</v>
      </c>
      <c r="D139" s="304" t="s">
        <v>572</v>
      </c>
      <c r="E139" s="304" t="s">
        <v>573</v>
      </c>
      <c r="F139" s="359">
        <v>7.1</v>
      </c>
      <c r="G139" s="299">
        <v>40000.0</v>
      </c>
      <c r="H139" s="300">
        <f t="shared" si="79"/>
        <v>100800</v>
      </c>
      <c r="I139" s="133">
        <v>0.0</v>
      </c>
      <c r="J139" s="141">
        <v>2.52</v>
      </c>
      <c r="K139" s="447">
        <f>IFERROR(__xludf.DUMMYFUNCTION("GOOGLEFINANCE(E139,""changepct"")"),-2.55)</f>
        <v>-2.55</v>
      </c>
      <c r="L139" s="302">
        <f>IFERROR(__xludf.DUMMYFUNCTION("googlefinance(E139,""price"")"),4.21)</f>
        <v>4.21</v>
      </c>
      <c r="M139" s="123">
        <v>3.07</v>
      </c>
      <c r="N139" s="301">
        <f t="shared" si="81"/>
        <v>1.69</v>
      </c>
      <c r="O139" s="139">
        <f>M139/J139-1</f>
        <v>0.2182539683</v>
      </c>
      <c r="P139" s="300">
        <f t="shared" si="83"/>
        <v>22000</v>
      </c>
      <c r="Q139" s="115"/>
      <c r="R139" s="125"/>
      <c r="S139" s="127" t="s">
        <v>573</v>
      </c>
      <c r="T139" s="128">
        <v>44874.0</v>
      </c>
      <c r="U139" s="123">
        <v>3.07</v>
      </c>
      <c r="V139" s="129">
        <v>122800.0</v>
      </c>
      <c r="W139" s="360"/>
      <c r="X139" s="305"/>
      <c r="Y139" s="301"/>
      <c r="Z139" s="300"/>
    </row>
    <row r="140">
      <c r="A140" s="114"/>
      <c r="B140" s="115"/>
      <c r="C140" s="116">
        <f>I140/E190</f>
        <v>0.01268314933</v>
      </c>
      <c r="D140" s="304" t="s">
        <v>507</v>
      </c>
      <c r="E140" s="304" t="s">
        <v>508</v>
      </c>
      <c r="F140" s="359">
        <v>7.8</v>
      </c>
      <c r="G140" s="299">
        <v>15000.0</v>
      </c>
      <c r="H140" s="300">
        <f t="shared" si="79"/>
        <v>136800</v>
      </c>
      <c r="I140" s="300">
        <f t="shared" ref="I140:I142" si="89">H140+P140</f>
        <v>147150</v>
      </c>
      <c r="J140" s="141">
        <v>9.12</v>
      </c>
      <c r="K140" s="447">
        <f>IFERROR(__xludf.DUMMYFUNCTION("GOOGLEFINANCE(E140,""changepct"")"),-2.77)</f>
        <v>-2.77</v>
      </c>
      <c r="L140" s="302">
        <f>IFERROR(__xludf.DUMMYFUNCTION("googlefinance(E140,""price"")"),9.81)</f>
        <v>9.81</v>
      </c>
      <c r="M140" s="126"/>
      <c r="N140" s="301">
        <f t="shared" si="81"/>
        <v>0.69</v>
      </c>
      <c r="O140" s="139">
        <f t="shared" ref="O140:O142" si="90">L140/J140-1</f>
        <v>0.07565789474</v>
      </c>
      <c r="P140" s="300">
        <f t="shared" si="83"/>
        <v>10350</v>
      </c>
      <c r="Q140" s="116">
        <v>0.035</v>
      </c>
      <c r="R140" s="133">
        <v>1384.0</v>
      </c>
      <c r="S140" s="360"/>
      <c r="T140" s="298"/>
      <c r="U140" s="126"/>
      <c r="V140" s="125"/>
      <c r="W140" s="360"/>
      <c r="X140" s="298"/>
      <c r="Y140" s="126"/>
      <c r="Z140" s="125"/>
    </row>
    <row r="141">
      <c r="A141" s="114"/>
      <c r="B141" s="115"/>
      <c r="C141" s="116">
        <f>I141/E190</f>
        <v>0.01232545263</v>
      </c>
      <c r="D141" s="385" t="s">
        <v>179</v>
      </c>
      <c r="E141" s="304" t="s">
        <v>180</v>
      </c>
      <c r="F141" s="444">
        <v>8.0</v>
      </c>
      <c r="G141" s="119">
        <v>12500.0</v>
      </c>
      <c r="H141" s="300">
        <f t="shared" si="79"/>
        <v>118500</v>
      </c>
      <c r="I141" s="300">
        <f t="shared" si="89"/>
        <v>143000</v>
      </c>
      <c r="J141" s="141">
        <v>9.48</v>
      </c>
      <c r="K141" s="447">
        <f>IFERROR(__xludf.DUMMYFUNCTION("GOOGLEFINANCE(E141,""changepct"")"),-2.8)</f>
        <v>-2.8</v>
      </c>
      <c r="L141" s="302">
        <f>IFERROR(__xludf.DUMMYFUNCTION("googlefinance(E141,""price"")"),11.44)</f>
        <v>11.44</v>
      </c>
      <c r="M141" s="126"/>
      <c r="N141" s="301">
        <f t="shared" si="81"/>
        <v>1.96</v>
      </c>
      <c r="O141" s="139">
        <f t="shared" si="90"/>
        <v>0.2067510549</v>
      </c>
      <c r="P141" s="300">
        <f t="shared" si="83"/>
        <v>24500</v>
      </c>
      <c r="Q141" s="363">
        <v>0.013</v>
      </c>
      <c r="R141" s="133">
        <v>426.0</v>
      </c>
      <c r="S141" s="360"/>
      <c r="T141" s="298"/>
      <c r="U141" s="126"/>
      <c r="V141" s="125"/>
      <c r="W141" s="127" t="s">
        <v>180</v>
      </c>
      <c r="X141" s="287">
        <v>44869.0</v>
      </c>
      <c r="Y141" s="141">
        <v>9.48</v>
      </c>
      <c r="Z141" s="133">
        <v>118500.0</v>
      </c>
    </row>
    <row r="142">
      <c r="A142" s="114"/>
      <c r="B142" s="115"/>
      <c r="C142" s="116">
        <f>I142/E190</f>
        <v>0.02465090526</v>
      </c>
      <c r="D142" s="385" t="s">
        <v>179</v>
      </c>
      <c r="E142" s="304" t="s">
        <v>180</v>
      </c>
      <c r="F142" s="444">
        <v>8.0</v>
      </c>
      <c r="G142" s="119">
        <v>25000.0</v>
      </c>
      <c r="H142" s="300">
        <f t="shared" si="79"/>
        <v>223250</v>
      </c>
      <c r="I142" s="300">
        <f t="shared" si="89"/>
        <v>286000</v>
      </c>
      <c r="J142" s="141">
        <v>8.93</v>
      </c>
      <c r="K142" s="447">
        <f>IFERROR(__xludf.DUMMYFUNCTION("GOOGLEFINANCE(E142,""changepct"")"),-2.8)</f>
        <v>-2.8</v>
      </c>
      <c r="L142" s="302">
        <f>IFERROR(__xludf.DUMMYFUNCTION("googlefinance(E142,""price"")"),11.44)</f>
        <v>11.44</v>
      </c>
      <c r="M142" s="126"/>
      <c r="N142" s="301">
        <f t="shared" si="81"/>
        <v>2.51</v>
      </c>
      <c r="O142" s="139">
        <f t="shared" si="90"/>
        <v>0.281075028</v>
      </c>
      <c r="P142" s="300">
        <f t="shared" si="83"/>
        <v>62750</v>
      </c>
      <c r="Q142" s="116">
        <v>0.013</v>
      </c>
      <c r="R142" s="133">
        <v>852.0</v>
      </c>
      <c r="S142" s="360"/>
      <c r="T142" s="298"/>
      <c r="U142" s="126"/>
      <c r="V142" s="125"/>
      <c r="W142" s="360"/>
      <c r="X142" s="305"/>
      <c r="Y142" s="301"/>
      <c r="Z142" s="300"/>
    </row>
    <row r="143">
      <c r="A143" s="373"/>
      <c r="B143" s="371"/>
      <c r="C143" s="352" t="s">
        <v>89</v>
      </c>
      <c r="D143" s="352"/>
      <c r="E143" s="352"/>
      <c r="F143" s="352"/>
      <c r="G143" s="356"/>
      <c r="H143" s="366">
        <f t="shared" ref="H143:I143" si="91">SUM(H125:H142)</f>
        <v>3195965</v>
      </c>
      <c r="I143" s="367">
        <f t="shared" si="91"/>
        <v>3383910</v>
      </c>
      <c r="J143" s="354"/>
      <c r="K143" s="354"/>
      <c r="L143" s="355"/>
      <c r="M143" s="355"/>
      <c r="N143" s="355"/>
      <c r="O143" s="491">
        <f>P143/D186</f>
        <v>0.1512631539</v>
      </c>
      <c r="P143" s="369">
        <v>417360.0</v>
      </c>
      <c r="Q143" s="352"/>
      <c r="R143" s="366">
        <f>SUM(R125:R142)</f>
        <v>15278</v>
      </c>
      <c r="S143" s="352" t="s">
        <v>89</v>
      </c>
      <c r="T143" s="371"/>
      <c r="U143" s="372"/>
      <c r="V143" s="366">
        <f>SUM(V125:V142)</f>
        <v>573320</v>
      </c>
      <c r="W143" s="352" t="s">
        <v>89</v>
      </c>
      <c r="X143" s="371"/>
      <c r="Y143" s="371"/>
      <c r="Z143" s="366">
        <f>SUM(Z125:Z142)</f>
        <v>437500</v>
      </c>
    </row>
    <row r="144">
      <c r="A144" s="373"/>
      <c r="B144" s="352" t="s">
        <v>181</v>
      </c>
      <c r="C144" s="352" t="s">
        <v>2</v>
      </c>
      <c r="D144" s="352" t="s">
        <v>182</v>
      </c>
      <c r="E144" s="352" t="s">
        <v>4</v>
      </c>
      <c r="F144" s="352" t="s">
        <v>5</v>
      </c>
      <c r="G144" s="358" t="s">
        <v>458</v>
      </c>
      <c r="H144" s="352" t="s">
        <v>7</v>
      </c>
      <c r="I144" s="353" t="s">
        <v>8</v>
      </c>
      <c r="J144" s="353" t="s">
        <v>9</v>
      </c>
      <c r="K144" s="354" t="s">
        <v>10</v>
      </c>
      <c r="L144" s="354" t="s">
        <v>11</v>
      </c>
      <c r="M144" s="355" t="s">
        <v>476</v>
      </c>
      <c r="N144" s="355" t="s">
        <v>13</v>
      </c>
      <c r="O144" s="352" t="s">
        <v>14</v>
      </c>
      <c r="P144" s="355" t="s">
        <v>15</v>
      </c>
      <c r="Q144" s="352" t="s">
        <v>16</v>
      </c>
      <c r="R144" s="352" t="s">
        <v>17</v>
      </c>
      <c r="S144" s="352" t="s">
        <v>21</v>
      </c>
      <c r="T144" s="352" t="s">
        <v>22</v>
      </c>
      <c r="U144" s="357" t="s">
        <v>23</v>
      </c>
      <c r="V144" s="357" t="s">
        <v>24</v>
      </c>
      <c r="W144" s="352" t="s">
        <v>25</v>
      </c>
      <c r="X144" s="352" t="s">
        <v>26</v>
      </c>
      <c r="Y144" s="352" t="s">
        <v>27</v>
      </c>
      <c r="Z144" s="352" t="s">
        <v>28</v>
      </c>
    </row>
    <row r="145">
      <c r="A145" s="377" t="s">
        <v>29</v>
      </c>
      <c r="B145" s="362" t="str">
        <f>I183/E190</f>
        <v>Loading...</v>
      </c>
      <c r="C145" s="116">
        <f>I145/E190</f>
        <v>0</v>
      </c>
      <c r="D145" s="449" t="s">
        <v>413</v>
      </c>
      <c r="E145" s="304" t="s">
        <v>185</v>
      </c>
      <c r="F145" s="359">
        <v>7.2</v>
      </c>
      <c r="G145" s="450">
        <v>12.0</v>
      </c>
      <c r="H145" s="300">
        <f t="shared" ref="H145:H182" si="92">G145*J145</f>
        <v>228960</v>
      </c>
      <c r="I145" s="133">
        <v>0.0</v>
      </c>
      <c r="J145" s="133">
        <v>19080.0</v>
      </c>
      <c r="K145" s="451"/>
      <c r="L145" s="495" t="str">
        <f t="shared" ref="L145:L182" si="93">CRYPTOFINANCE(E145,"price")</f>
        <v>Loading...</v>
      </c>
      <c r="M145" s="453">
        <v>20277.0</v>
      </c>
      <c r="N145" s="454" t="str">
        <f t="shared" ref="N145:N182" si="94">L145-J145</f>
        <v>Loading...</v>
      </c>
      <c r="O145" s="455">
        <f t="shared" ref="O145:O147" si="95">M145/J145-1</f>
        <v>0.06273584906</v>
      </c>
      <c r="P145" s="394">
        <f t="shared" ref="P145:P182" si="96">H145*O145</f>
        <v>14364</v>
      </c>
      <c r="Q145" s="115"/>
      <c r="R145" s="115"/>
      <c r="S145" s="127" t="s">
        <v>186</v>
      </c>
      <c r="T145" s="287">
        <v>44867.0</v>
      </c>
      <c r="U145" s="133">
        <v>20277.0</v>
      </c>
      <c r="V145" s="133">
        <v>243324.0</v>
      </c>
      <c r="W145" s="456" t="s">
        <v>186</v>
      </c>
      <c r="X145" s="457">
        <v>44847.0</v>
      </c>
      <c r="Y145" s="458">
        <v>19080.0</v>
      </c>
      <c r="Z145" s="458">
        <v>228960.0</v>
      </c>
    </row>
    <row r="146">
      <c r="A146" s="114"/>
      <c r="B146" s="115"/>
      <c r="C146" s="116">
        <f>I146/E190</f>
        <v>0</v>
      </c>
      <c r="D146" s="449" t="s">
        <v>413</v>
      </c>
      <c r="E146" s="304" t="s">
        <v>185</v>
      </c>
      <c r="F146" s="359">
        <v>7.2</v>
      </c>
      <c r="G146" s="450">
        <v>10.0</v>
      </c>
      <c r="H146" s="300">
        <f t="shared" si="92"/>
        <v>168974.8</v>
      </c>
      <c r="I146" s="133">
        <v>0.0</v>
      </c>
      <c r="J146" s="133">
        <v>16897.48</v>
      </c>
      <c r="K146" s="451"/>
      <c r="L146" s="495" t="str">
        <f t="shared" si="93"/>
        <v>Loading...</v>
      </c>
      <c r="M146" s="453">
        <v>16554.0</v>
      </c>
      <c r="N146" s="454" t="str">
        <f t="shared" si="94"/>
        <v>Loading...</v>
      </c>
      <c r="O146" s="455">
        <f t="shared" si="95"/>
        <v>-0.02032729141</v>
      </c>
      <c r="P146" s="394">
        <f t="shared" si="96"/>
        <v>-3434.8</v>
      </c>
      <c r="Q146" s="115"/>
      <c r="R146" s="115"/>
      <c r="S146" s="127" t="s">
        <v>186</v>
      </c>
      <c r="T146" s="287">
        <v>44881.0</v>
      </c>
      <c r="U146" s="133">
        <v>16554.0</v>
      </c>
      <c r="V146" s="133">
        <v>165540.0</v>
      </c>
      <c r="W146" s="456" t="s">
        <v>186</v>
      </c>
      <c r="X146" s="457">
        <v>44879.0</v>
      </c>
      <c r="Y146" s="458">
        <v>16897.48</v>
      </c>
      <c r="Z146" s="458">
        <v>168975.0</v>
      </c>
    </row>
    <row r="147">
      <c r="A147" s="114"/>
      <c r="B147" s="115"/>
      <c r="C147" s="116">
        <f>I147/E190</f>
        <v>0</v>
      </c>
      <c r="D147" s="449" t="s">
        <v>413</v>
      </c>
      <c r="E147" s="304" t="s">
        <v>185</v>
      </c>
      <c r="F147" s="359">
        <v>7.2</v>
      </c>
      <c r="G147" s="450">
        <v>15.0</v>
      </c>
      <c r="H147" s="300">
        <f t="shared" si="92"/>
        <v>243885</v>
      </c>
      <c r="I147" s="133">
        <v>0.0</v>
      </c>
      <c r="J147" s="133">
        <v>16259.0</v>
      </c>
      <c r="K147" s="451"/>
      <c r="L147" s="495" t="str">
        <f t="shared" si="93"/>
        <v>Loading...</v>
      </c>
      <c r="M147" s="453">
        <v>17011.0</v>
      </c>
      <c r="N147" s="454" t="str">
        <f t="shared" si="94"/>
        <v>Loading...</v>
      </c>
      <c r="O147" s="455">
        <f t="shared" si="95"/>
        <v>0.04625130697</v>
      </c>
      <c r="P147" s="394">
        <f t="shared" si="96"/>
        <v>11280</v>
      </c>
      <c r="Q147" s="115"/>
      <c r="R147" s="115"/>
      <c r="S147" s="127" t="s">
        <v>186</v>
      </c>
      <c r="T147" s="287">
        <v>44911.0</v>
      </c>
      <c r="U147" s="133">
        <v>17011.0</v>
      </c>
      <c r="V147" s="133">
        <v>255165.0</v>
      </c>
      <c r="W147" s="456" t="s">
        <v>186</v>
      </c>
      <c r="X147" s="457">
        <v>44888.0</v>
      </c>
      <c r="Y147" s="458">
        <v>16259.0</v>
      </c>
      <c r="Z147" s="458">
        <v>243885.0</v>
      </c>
    </row>
    <row r="148">
      <c r="A148" s="114"/>
      <c r="B148" s="115"/>
      <c r="C148" s="116" t="str">
        <f>I148/E190</f>
        <v>Loading...</v>
      </c>
      <c r="D148" s="449" t="s">
        <v>413</v>
      </c>
      <c r="E148" s="304" t="s">
        <v>185</v>
      </c>
      <c r="F148" s="359">
        <v>7.2</v>
      </c>
      <c r="G148" s="450">
        <v>10.0</v>
      </c>
      <c r="H148" s="300">
        <f t="shared" si="92"/>
        <v>167800</v>
      </c>
      <c r="I148" s="133" t="str">
        <f>H148+P148</f>
        <v>Loading...</v>
      </c>
      <c r="J148" s="133">
        <v>16780.0</v>
      </c>
      <c r="K148" s="451"/>
      <c r="L148" s="495" t="str">
        <f t="shared" si="93"/>
        <v>Loading...</v>
      </c>
      <c r="M148" s="453"/>
      <c r="N148" s="454" t="str">
        <f t="shared" si="94"/>
        <v>Loading...</v>
      </c>
      <c r="O148" s="455" t="str">
        <f>L148/J148-1</f>
        <v>Loading...</v>
      </c>
      <c r="P148" s="394" t="str">
        <f t="shared" si="96"/>
        <v>Loading...</v>
      </c>
      <c r="Q148" s="115"/>
      <c r="R148" s="115"/>
      <c r="S148" s="127"/>
      <c r="T148" s="287"/>
      <c r="U148" s="133"/>
      <c r="V148" s="133"/>
      <c r="W148" s="456" t="s">
        <v>186</v>
      </c>
      <c r="X148" s="457">
        <v>44918.0</v>
      </c>
      <c r="Y148" s="458">
        <v>16780.0</v>
      </c>
      <c r="Z148" s="458">
        <v>167800.0</v>
      </c>
    </row>
    <row r="149">
      <c r="A149" s="114"/>
      <c r="B149" s="115"/>
      <c r="C149" s="116">
        <f>I149/E190</f>
        <v>0</v>
      </c>
      <c r="D149" s="304" t="s">
        <v>414</v>
      </c>
      <c r="E149" s="284" t="s">
        <v>188</v>
      </c>
      <c r="F149" s="359">
        <v>7.3</v>
      </c>
      <c r="G149" s="450">
        <v>180.0</v>
      </c>
      <c r="H149" s="300">
        <f t="shared" si="92"/>
        <v>204300</v>
      </c>
      <c r="I149" s="133">
        <v>0.0</v>
      </c>
      <c r="J149" s="133">
        <v>1135.0</v>
      </c>
      <c r="K149" s="451"/>
      <c r="L149" s="495" t="str">
        <f t="shared" si="93"/>
        <v>Loading...</v>
      </c>
      <c r="M149" s="453">
        <v>1257.0</v>
      </c>
      <c r="N149" s="454" t="str">
        <f t="shared" si="94"/>
        <v>Loading...</v>
      </c>
      <c r="O149" s="455">
        <f>M149/J149-1</f>
        <v>0.1074889868</v>
      </c>
      <c r="P149" s="394">
        <f t="shared" si="96"/>
        <v>21960</v>
      </c>
      <c r="Q149" s="115"/>
      <c r="R149" s="115"/>
      <c r="S149" s="127" t="s">
        <v>189</v>
      </c>
      <c r="T149" s="287">
        <v>44911.0</v>
      </c>
      <c r="U149" s="133">
        <v>1257.0</v>
      </c>
      <c r="V149" s="133">
        <v>226260.0</v>
      </c>
      <c r="W149" s="456" t="s">
        <v>189</v>
      </c>
      <c r="X149" s="457">
        <v>44888.0</v>
      </c>
      <c r="Y149" s="458">
        <v>1135.0</v>
      </c>
      <c r="Z149" s="458">
        <v>204300.0</v>
      </c>
    </row>
    <row r="150">
      <c r="A150" s="114"/>
      <c r="B150" s="115"/>
      <c r="C150" s="116" t="str">
        <f>I150/E190</f>
        <v>Loading...</v>
      </c>
      <c r="D150" s="304" t="s">
        <v>414</v>
      </c>
      <c r="E150" s="284" t="s">
        <v>188</v>
      </c>
      <c r="F150" s="359">
        <v>7.3</v>
      </c>
      <c r="G150" s="450">
        <v>80.0</v>
      </c>
      <c r="H150" s="300">
        <f t="shared" si="92"/>
        <v>97212</v>
      </c>
      <c r="I150" s="133" t="str">
        <f t="shared" ref="I150:I151" si="97">H150+P150</f>
        <v>Loading...</v>
      </c>
      <c r="J150" s="133">
        <v>1215.15</v>
      </c>
      <c r="K150" s="451"/>
      <c r="L150" s="495" t="str">
        <f t="shared" si="93"/>
        <v>Loading...</v>
      </c>
      <c r="M150" s="453"/>
      <c r="N150" s="454" t="str">
        <f t="shared" si="94"/>
        <v>Loading...</v>
      </c>
      <c r="O150" s="455" t="str">
        <f t="shared" ref="O150:O151" si="98">L150/J150-1</f>
        <v>Loading...</v>
      </c>
      <c r="P150" s="394" t="str">
        <f t="shared" si="96"/>
        <v>Loading...</v>
      </c>
      <c r="Q150" s="115"/>
      <c r="R150" s="115"/>
      <c r="S150" s="127"/>
      <c r="T150" s="287"/>
      <c r="U150" s="133"/>
      <c r="V150" s="133"/>
      <c r="W150" s="456"/>
      <c r="X150" s="457">
        <v>44918.0</v>
      </c>
      <c r="Y150" s="458">
        <v>1215.15</v>
      </c>
      <c r="Z150" s="458">
        <v>97212.0</v>
      </c>
    </row>
    <row r="151">
      <c r="A151" s="114"/>
      <c r="B151" s="115"/>
      <c r="C151" s="116" t="str">
        <f>I151/E190</f>
        <v>Loading...</v>
      </c>
      <c r="D151" s="304" t="s">
        <v>414</v>
      </c>
      <c r="E151" s="284" t="s">
        <v>188</v>
      </c>
      <c r="F151" s="359">
        <v>7.3</v>
      </c>
      <c r="G151" s="450">
        <v>120.0</v>
      </c>
      <c r="H151" s="300">
        <f t="shared" si="92"/>
        <v>152184</v>
      </c>
      <c r="I151" s="133" t="str">
        <f t="shared" si="97"/>
        <v>Loading...</v>
      </c>
      <c r="J151" s="133">
        <v>1268.2</v>
      </c>
      <c r="K151" s="451"/>
      <c r="L151" s="495" t="str">
        <f t="shared" si="93"/>
        <v>Loading...</v>
      </c>
      <c r="M151" s="453"/>
      <c r="N151" s="454" t="str">
        <f t="shared" si="94"/>
        <v>Loading...</v>
      </c>
      <c r="O151" s="455" t="str">
        <f t="shared" si="98"/>
        <v>Loading...</v>
      </c>
      <c r="P151" s="394" t="str">
        <f t="shared" si="96"/>
        <v>Loading...</v>
      </c>
      <c r="Q151" s="115"/>
      <c r="R151" s="115"/>
      <c r="S151" s="127"/>
      <c r="T151" s="287"/>
      <c r="U151" s="133"/>
      <c r="V151" s="133"/>
      <c r="W151" s="456" t="s">
        <v>189</v>
      </c>
      <c r="X151" s="457">
        <v>44895.0</v>
      </c>
      <c r="Y151" s="458">
        <v>1268.2</v>
      </c>
      <c r="Z151" s="458">
        <v>152184.0</v>
      </c>
    </row>
    <row r="152">
      <c r="A152" s="114"/>
      <c r="B152" s="115"/>
      <c r="C152" s="116">
        <f>I152/E190</f>
        <v>0</v>
      </c>
      <c r="D152" s="304" t="s">
        <v>414</v>
      </c>
      <c r="E152" s="284" t="s">
        <v>188</v>
      </c>
      <c r="F152" s="359">
        <v>7.3</v>
      </c>
      <c r="G152" s="450">
        <v>120.0</v>
      </c>
      <c r="H152" s="300">
        <f t="shared" si="92"/>
        <v>152478</v>
      </c>
      <c r="I152" s="133">
        <v>0.0</v>
      </c>
      <c r="J152" s="133">
        <v>1270.65</v>
      </c>
      <c r="K152" s="451"/>
      <c r="L152" s="495" t="str">
        <f t="shared" si="93"/>
        <v>Loading...</v>
      </c>
      <c r="M152" s="453">
        <v>1209.0</v>
      </c>
      <c r="N152" s="454" t="str">
        <f t="shared" si="94"/>
        <v>Loading...</v>
      </c>
      <c r="O152" s="455">
        <f t="shared" ref="O152:O156" si="99">M152/J152-1</f>
        <v>-0.0485184748</v>
      </c>
      <c r="P152" s="394">
        <f t="shared" si="96"/>
        <v>-7398</v>
      </c>
      <c r="Q152" s="115"/>
      <c r="R152" s="115"/>
      <c r="S152" s="127" t="s">
        <v>189</v>
      </c>
      <c r="T152" s="287">
        <v>44881.0</v>
      </c>
      <c r="U152" s="133">
        <v>1209.0</v>
      </c>
      <c r="V152" s="133">
        <v>145080.0</v>
      </c>
      <c r="W152" s="456" t="s">
        <v>189</v>
      </c>
      <c r="X152" s="457">
        <v>44879.0</v>
      </c>
      <c r="Y152" s="458">
        <v>1270.65</v>
      </c>
      <c r="Z152" s="458">
        <v>152478.0</v>
      </c>
    </row>
    <row r="153">
      <c r="A153" s="114"/>
      <c r="B153" s="115"/>
      <c r="C153" s="116">
        <f>I153/E190</f>
        <v>0</v>
      </c>
      <c r="D153" s="304" t="s">
        <v>414</v>
      </c>
      <c r="E153" s="284" t="s">
        <v>188</v>
      </c>
      <c r="F153" s="359">
        <v>7.3</v>
      </c>
      <c r="G153" s="450">
        <v>150.0</v>
      </c>
      <c r="H153" s="300">
        <f t="shared" si="92"/>
        <v>189808.5</v>
      </c>
      <c r="I153" s="133">
        <v>0.0</v>
      </c>
      <c r="J153" s="133">
        <v>1265.39</v>
      </c>
      <c r="K153" s="451"/>
      <c r="L153" s="495" t="str">
        <f t="shared" si="93"/>
        <v>Loading...</v>
      </c>
      <c r="M153" s="453">
        <v>1499.0</v>
      </c>
      <c r="N153" s="454" t="str">
        <f t="shared" si="94"/>
        <v>Loading...</v>
      </c>
      <c r="O153" s="455">
        <f t="shared" si="99"/>
        <v>0.1846150199</v>
      </c>
      <c r="P153" s="394">
        <f t="shared" si="96"/>
        <v>35041.5</v>
      </c>
      <c r="Q153" s="115"/>
      <c r="R153" s="115"/>
      <c r="S153" s="127" t="s">
        <v>189</v>
      </c>
      <c r="T153" s="287">
        <v>44862.0</v>
      </c>
      <c r="U153" s="133">
        <v>1499.0</v>
      </c>
      <c r="V153" s="133">
        <v>224850.0</v>
      </c>
      <c r="W153" s="456" t="s">
        <v>189</v>
      </c>
      <c r="X153" s="457">
        <v>44847.0</v>
      </c>
      <c r="Y153" s="458">
        <v>1265.0</v>
      </c>
      <c r="Z153" s="458">
        <v>189809.0</v>
      </c>
    </row>
    <row r="154">
      <c r="A154" s="114"/>
      <c r="B154" s="115"/>
      <c r="C154" s="116">
        <f>I154/E190</f>
        <v>0</v>
      </c>
      <c r="D154" s="304" t="s">
        <v>414</v>
      </c>
      <c r="E154" s="284" t="s">
        <v>188</v>
      </c>
      <c r="F154" s="359">
        <v>7.3</v>
      </c>
      <c r="G154" s="450">
        <v>100.0</v>
      </c>
      <c r="H154" s="300">
        <f t="shared" si="92"/>
        <v>152600</v>
      </c>
      <c r="I154" s="133">
        <v>0.0</v>
      </c>
      <c r="J154" s="123">
        <v>1526.0</v>
      </c>
      <c r="K154" s="451"/>
      <c r="L154" s="495" t="str">
        <f t="shared" si="93"/>
        <v>Loading...</v>
      </c>
      <c r="M154" s="129">
        <v>1562.0</v>
      </c>
      <c r="N154" s="454" t="str">
        <f t="shared" si="94"/>
        <v>Loading...</v>
      </c>
      <c r="O154" s="455">
        <f t="shared" si="99"/>
        <v>0.02359108781</v>
      </c>
      <c r="P154" s="394">
        <f t="shared" si="96"/>
        <v>3600</v>
      </c>
      <c r="Q154" s="115"/>
      <c r="R154" s="115"/>
      <c r="S154" s="127" t="s">
        <v>189</v>
      </c>
      <c r="T154" s="128">
        <v>44867.0</v>
      </c>
      <c r="U154" s="129">
        <v>1562.0</v>
      </c>
      <c r="V154" s="129">
        <v>156200.0</v>
      </c>
      <c r="W154" s="456" t="s">
        <v>189</v>
      </c>
      <c r="X154" s="459">
        <v>44862.0</v>
      </c>
      <c r="Y154" s="460">
        <v>1526.0</v>
      </c>
      <c r="Z154" s="133">
        <v>155534.0</v>
      </c>
    </row>
    <row r="155">
      <c r="A155" s="114"/>
      <c r="B155" s="115"/>
      <c r="C155" s="116">
        <f>I155/E190</f>
        <v>0</v>
      </c>
      <c r="D155" s="304" t="s">
        <v>414</v>
      </c>
      <c r="E155" s="284" t="s">
        <v>188</v>
      </c>
      <c r="F155" s="359">
        <v>7.3</v>
      </c>
      <c r="G155" s="450">
        <v>100.0</v>
      </c>
      <c r="H155" s="300">
        <f t="shared" si="92"/>
        <v>161900</v>
      </c>
      <c r="I155" s="133">
        <v>0.0</v>
      </c>
      <c r="J155" s="123">
        <v>1619.0</v>
      </c>
      <c r="K155" s="451"/>
      <c r="L155" s="495" t="str">
        <f t="shared" si="93"/>
        <v>Loading...</v>
      </c>
      <c r="M155" s="129">
        <v>1537.0</v>
      </c>
      <c r="N155" s="454" t="str">
        <f t="shared" si="94"/>
        <v>Loading...</v>
      </c>
      <c r="O155" s="455">
        <f t="shared" si="99"/>
        <v>-0.05064854849</v>
      </c>
      <c r="P155" s="394">
        <f t="shared" si="96"/>
        <v>-8200</v>
      </c>
      <c r="Q155" s="115"/>
      <c r="R155" s="115"/>
      <c r="S155" s="127" t="s">
        <v>189</v>
      </c>
      <c r="T155" s="128">
        <v>44867.0</v>
      </c>
      <c r="U155" s="129">
        <v>1537.0</v>
      </c>
      <c r="V155" s="129">
        <v>153700.0</v>
      </c>
      <c r="W155" s="456" t="s">
        <v>189</v>
      </c>
      <c r="X155" s="459">
        <v>44863.0</v>
      </c>
      <c r="Y155" s="462">
        <v>16.19</v>
      </c>
      <c r="Z155" s="129">
        <v>161900.0</v>
      </c>
    </row>
    <row r="156">
      <c r="A156" s="114"/>
      <c r="B156" s="115"/>
      <c r="C156" s="116">
        <f>I156/E190</f>
        <v>0</v>
      </c>
      <c r="D156" s="304" t="s">
        <v>574</v>
      </c>
      <c r="E156" s="284" t="s">
        <v>213</v>
      </c>
      <c r="F156" s="359">
        <v>7.1</v>
      </c>
      <c r="G156" s="450">
        <v>300000.0</v>
      </c>
      <c r="H156" s="300">
        <f t="shared" si="92"/>
        <v>111420</v>
      </c>
      <c r="I156" s="133">
        <v>0.0</v>
      </c>
      <c r="J156" s="123">
        <v>0.3714</v>
      </c>
      <c r="K156" s="451"/>
      <c r="L156" s="495" t="str">
        <f t="shared" si="93"/>
        <v>Loading...</v>
      </c>
      <c r="M156" s="146">
        <v>0.387</v>
      </c>
      <c r="N156" s="454" t="str">
        <f t="shared" si="94"/>
        <v>Loading...</v>
      </c>
      <c r="O156" s="455">
        <f t="shared" si="99"/>
        <v>0.04200323102</v>
      </c>
      <c r="P156" s="394">
        <f t="shared" si="96"/>
        <v>4680</v>
      </c>
      <c r="Q156" s="115"/>
      <c r="R156" s="115"/>
      <c r="S156" s="127" t="s">
        <v>214</v>
      </c>
      <c r="T156" s="128">
        <v>44862.0</v>
      </c>
      <c r="U156" s="146">
        <v>0.387</v>
      </c>
      <c r="V156" s="129">
        <v>116100.0</v>
      </c>
      <c r="W156" s="456" t="s">
        <v>214</v>
      </c>
      <c r="X156" s="459">
        <v>44851.0</v>
      </c>
      <c r="Y156" s="462">
        <v>0.3714</v>
      </c>
      <c r="Z156" s="460">
        <v>111420.0</v>
      </c>
    </row>
    <row r="157">
      <c r="A157" s="114"/>
      <c r="B157" s="115"/>
      <c r="C157" s="116" t="str">
        <f>I157/E190</f>
        <v>Loading...</v>
      </c>
      <c r="D157" s="304" t="s">
        <v>209</v>
      </c>
      <c r="E157" s="304" t="s">
        <v>210</v>
      </c>
      <c r="F157" s="359">
        <v>7.2</v>
      </c>
      <c r="G157" s="450">
        <v>20000.0</v>
      </c>
      <c r="H157" s="300">
        <f t="shared" si="92"/>
        <v>119800</v>
      </c>
      <c r="I157" s="133" t="str">
        <f>H157+P157</f>
        <v>Loading...</v>
      </c>
      <c r="J157" s="141">
        <v>5.99</v>
      </c>
      <c r="K157" s="451"/>
      <c r="L157" s="495" t="str">
        <f t="shared" si="93"/>
        <v>Loading...</v>
      </c>
      <c r="M157" s="465"/>
      <c r="N157" s="454" t="str">
        <f t="shared" si="94"/>
        <v>Loading...</v>
      </c>
      <c r="O157" s="455" t="str">
        <f>L157/J157-1</f>
        <v>Loading...</v>
      </c>
      <c r="P157" s="394" t="str">
        <f t="shared" si="96"/>
        <v>Loading...</v>
      </c>
      <c r="Q157" s="115"/>
      <c r="R157" s="115"/>
      <c r="S157" s="127"/>
      <c r="T157" s="287"/>
      <c r="U157" s="141"/>
      <c r="V157" s="133"/>
      <c r="W157" s="364" t="s">
        <v>211</v>
      </c>
      <c r="X157" s="457">
        <v>44918.0</v>
      </c>
      <c r="Y157" s="466">
        <v>5.99</v>
      </c>
      <c r="Z157" s="458">
        <v>119800.0</v>
      </c>
    </row>
    <row r="158">
      <c r="A158" s="114"/>
      <c r="B158" s="115"/>
      <c r="C158" s="116">
        <f>I158/E190</f>
        <v>0</v>
      </c>
      <c r="D158" s="304" t="s">
        <v>209</v>
      </c>
      <c r="E158" s="304" t="s">
        <v>210</v>
      </c>
      <c r="F158" s="359">
        <v>7.2</v>
      </c>
      <c r="G158" s="450">
        <v>25000.0</v>
      </c>
      <c r="H158" s="300">
        <f t="shared" si="92"/>
        <v>159500</v>
      </c>
      <c r="I158" s="133">
        <v>0.0</v>
      </c>
      <c r="J158" s="141">
        <v>6.38</v>
      </c>
      <c r="K158" s="451"/>
      <c r="L158" s="495" t="str">
        <f t="shared" si="93"/>
        <v>Loading...</v>
      </c>
      <c r="M158" s="465">
        <v>6.39</v>
      </c>
      <c r="N158" s="454" t="str">
        <f t="shared" si="94"/>
        <v>Loading...</v>
      </c>
      <c r="O158" s="455">
        <f t="shared" ref="O158:O161" si="100">M158/J158-1</f>
        <v>0.001567398119</v>
      </c>
      <c r="P158" s="394">
        <f t="shared" si="96"/>
        <v>250</v>
      </c>
      <c r="Q158" s="115"/>
      <c r="R158" s="115"/>
      <c r="S158" s="127" t="s">
        <v>211</v>
      </c>
      <c r="T158" s="287">
        <v>44911.0</v>
      </c>
      <c r="U158" s="141">
        <v>6.39</v>
      </c>
      <c r="V158" s="133">
        <v>159750.0</v>
      </c>
      <c r="W158" s="364" t="s">
        <v>211</v>
      </c>
      <c r="X158" s="457">
        <v>44888.0</v>
      </c>
      <c r="Y158" s="466">
        <v>6.38</v>
      </c>
      <c r="Z158" s="458">
        <v>159500.0</v>
      </c>
    </row>
    <row r="159">
      <c r="A159" s="114"/>
      <c r="B159" s="115"/>
      <c r="C159" s="116">
        <f>I159/E190</f>
        <v>0</v>
      </c>
      <c r="D159" s="304" t="s">
        <v>209</v>
      </c>
      <c r="E159" s="304" t="s">
        <v>210</v>
      </c>
      <c r="F159" s="359">
        <v>7.2</v>
      </c>
      <c r="G159" s="450">
        <v>20000.0</v>
      </c>
      <c r="H159" s="300">
        <f t="shared" si="92"/>
        <v>126600</v>
      </c>
      <c r="I159" s="133">
        <v>0.0</v>
      </c>
      <c r="J159" s="141">
        <v>6.33</v>
      </c>
      <c r="K159" s="451"/>
      <c r="L159" s="495" t="str">
        <f t="shared" si="93"/>
        <v>Loading...</v>
      </c>
      <c r="M159" s="465">
        <v>6.19</v>
      </c>
      <c r="N159" s="454" t="str">
        <f t="shared" si="94"/>
        <v>Loading...</v>
      </c>
      <c r="O159" s="455">
        <f t="shared" si="100"/>
        <v>-0.02211690363</v>
      </c>
      <c r="P159" s="394">
        <f t="shared" si="96"/>
        <v>-2800</v>
      </c>
      <c r="Q159" s="115"/>
      <c r="R159" s="115"/>
      <c r="S159" s="127" t="s">
        <v>211</v>
      </c>
      <c r="T159" s="287">
        <v>44881.0</v>
      </c>
      <c r="U159" s="141">
        <v>6.19</v>
      </c>
      <c r="V159" s="133">
        <v>123800.0</v>
      </c>
      <c r="W159" s="364" t="s">
        <v>211</v>
      </c>
      <c r="X159" s="457">
        <v>44879.0</v>
      </c>
      <c r="Y159" s="466">
        <v>6.33</v>
      </c>
      <c r="Z159" s="458">
        <v>126600.0</v>
      </c>
    </row>
    <row r="160">
      <c r="A160" s="114"/>
      <c r="B160" s="115"/>
      <c r="C160" s="116">
        <f>I160/E190</f>
        <v>0</v>
      </c>
      <c r="D160" s="304" t="s">
        <v>209</v>
      </c>
      <c r="E160" s="304" t="s">
        <v>210</v>
      </c>
      <c r="F160" s="359">
        <v>7.2</v>
      </c>
      <c r="G160" s="450">
        <v>20000.0</v>
      </c>
      <c r="H160" s="300">
        <f t="shared" si="92"/>
        <v>140002</v>
      </c>
      <c r="I160" s="133">
        <v>0.0</v>
      </c>
      <c r="J160" s="141">
        <v>7.0001</v>
      </c>
      <c r="K160" s="451"/>
      <c r="L160" s="495" t="str">
        <f t="shared" si="93"/>
        <v>Loading...</v>
      </c>
      <c r="M160" s="465">
        <v>7.649</v>
      </c>
      <c r="N160" s="454" t="str">
        <f t="shared" si="94"/>
        <v>Loading...</v>
      </c>
      <c r="O160" s="455">
        <f t="shared" si="100"/>
        <v>0.09269867573</v>
      </c>
      <c r="P160" s="394">
        <f t="shared" si="96"/>
        <v>12978</v>
      </c>
      <c r="Q160" s="115"/>
      <c r="R160" s="115"/>
      <c r="S160" s="127" t="s">
        <v>211</v>
      </c>
      <c r="T160" s="287">
        <v>44867.0</v>
      </c>
      <c r="U160" s="141">
        <v>7.649</v>
      </c>
      <c r="V160" s="133">
        <v>152980.0</v>
      </c>
      <c r="W160" s="364" t="s">
        <v>211</v>
      </c>
      <c r="X160" s="457">
        <v>44859.0</v>
      </c>
      <c r="Y160" s="466">
        <v>7.0001</v>
      </c>
      <c r="Z160" s="458">
        <v>140002.0</v>
      </c>
    </row>
    <row r="161">
      <c r="A161" s="114"/>
      <c r="B161" s="115"/>
      <c r="C161" s="116">
        <f>I161/E190</f>
        <v>0</v>
      </c>
      <c r="D161" s="304" t="s">
        <v>209</v>
      </c>
      <c r="E161" s="304" t="s">
        <v>210</v>
      </c>
      <c r="F161" s="359">
        <v>7.3</v>
      </c>
      <c r="G161" s="450">
        <v>20000.0</v>
      </c>
      <c r="H161" s="300">
        <f t="shared" si="92"/>
        <v>138000</v>
      </c>
      <c r="I161" s="133">
        <v>0.0</v>
      </c>
      <c r="J161" s="141">
        <v>6.9</v>
      </c>
      <c r="K161" s="451"/>
      <c r="L161" s="495" t="str">
        <f t="shared" si="93"/>
        <v>Loading...</v>
      </c>
      <c r="M161" s="465">
        <v>6.94</v>
      </c>
      <c r="N161" s="454" t="str">
        <f t="shared" si="94"/>
        <v>Loading...</v>
      </c>
      <c r="O161" s="455">
        <f t="shared" si="100"/>
        <v>0.005797101449</v>
      </c>
      <c r="P161" s="394">
        <f t="shared" si="96"/>
        <v>800</v>
      </c>
      <c r="Q161" s="115"/>
      <c r="R161" s="115"/>
      <c r="S161" s="127" t="s">
        <v>211</v>
      </c>
      <c r="T161" s="287">
        <v>44862.0</v>
      </c>
      <c r="U161" s="141">
        <v>6.94</v>
      </c>
      <c r="V161" s="133">
        <v>138800.0</v>
      </c>
      <c r="W161" s="456" t="s">
        <v>211</v>
      </c>
      <c r="X161" s="457">
        <v>44847.0</v>
      </c>
      <c r="Y161" s="466">
        <v>6.9</v>
      </c>
      <c r="Z161" s="458">
        <v>138000.0</v>
      </c>
    </row>
    <row r="162">
      <c r="A162" s="114"/>
      <c r="B162" s="115"/>
      <c r="C162" s="116" t="str">
        <f>I162/E190</f>
        <v>Loading...</v>
      </c>
      <c r="D162" s="286" t="s">
        <v>206</v>
      </c>
      <c r="E162" s="286" t="s">
        <v>207</v>
      </c>
      <c r="F162" s="359">
        <v>7.3</v>
      </c>
      <c r="G162" s="450">
        <v>800.0</v>
      </c>
      <c r="H162" s="300">
        <f t="shared" si="92"/>
        <v>81280</v>
      </c>
      <c r="I162" s="133" t="str">
        <f t="shared" ref="I162:I163" si="101">H162+P162</f>
        <v>Loading...</v>
      </c>
      <c r="J162" s="141">
        <v>101.6</v>
      </c>
      <c r="K162" s="451"/>
      <c r="L162" s="495" t="str">
        <f t="shared" si="93"/>
        <v>Loading...</v>
      </c>
      <c r="M162" s="465"/>
      <c r="N162" s="454" t="str">
        <f t="shared" si="94"/>
        <v>Loading...</v>
      </c>
      <c r="O162" s="455" t="str">
        <f t="shared" ref="O162:O163" si="102">L162/J162-1</f>
        <v>Loading...</v>
      </c>
      <c r="P162" s="394" t="str">
        <f t="shared" si="96"/>
        <v>Loading...</v>
      </c>
      <c r="Q162" s="115"/>
      <c r="R162" s="115"/>
      <c r="S162" s="127"/>
      <c r="T162" s="287"/>
      <c r="U162" s="141"/>
      <c r="V162" s="133"/>
      <c r="W162" s="456" t="s">
        <v>208</v>
      </c>
      <c r="X162" s="457">
        <v>44918.0</v>
      </c>
      <c r="Y162" s="466">
        <v>101.6</v>
      </c>
      <c r="Z162" s="458">
        <v>81280.0</v>
      </c>
    </row>
    <row r="163">
      <c r="A163" s="114"/>
      <c r="B163" s="115"/>
      <c r="C163" s="116" t="str">
        <f>I163/E190</f>
        <v>Loading...</v>
      </c>
      <c r="D163" s="286" t="s">
        <v>206</v>
      </c>
      <c r="E163" s="286" t="s">
        <v>207</v>
      </c>
      <c r="F163" s="359">
        <v>7.3</v>
      </c>
      <c r="G163" s="450">
        <v>1200.0</v>
      </c>
      <c r="H163" s="300">
        <f t="shared" si="92"/>
        <v>134880</v>
      </c>
      <c r="I163" s="133" t="str">
        <f t="shared" si="101"/>
        <v>Loading...</v>
      </c>
      <c r="J163" s="141">
        <v>112.4</v>
      </c>
      <c r="K163" s="451"/>
      <c r="L163" s="495" t="str">
        <f t="shared" si="93"/>
        <v>Loading...</v>
      </c>
      <c r="M163" s="465"/>
      <c r="N163" s="454" t="str">
        <f t="shared" si="94"/>
        <v>Loading...</v>
      </c>
      <c r="O163" s="455" t="str">
        <f t="shared" si="102"/>
        <v>Loading...</v>
      </c>
      <c r="P163" s="394" t="str">
        <f t="shared" si="96"/>
        <v>Loading...</v>
      </c>
      <c r="Q163" s="115"/>
      <c r="R163" s="115"/>
      <c r="S163" s="127"/>
      <c r="T163" s="287"/>
      <c r="U163" s="141"/>
      <c r="V163" s="133"/>
      <c r="W163" s="456" t="s">
        <v>208</v>
      </c>
      <c r="X163" s="457">
        <v>44895.0</v>
      </c>
      <c r="Y163" s="466">
        <v>112.4</v>
      </c>
      <c r="Z163" s="458">
        <v>134880.0</v>
      </c>
    </row>
    <row r="164">
      <c r="A164" s="114"/>
      <c r="B164" s="115"/>
      <c r="C164" s="116">
        <f>I164/E190</f>
        <v>0</v>
      </c>
      <c r="D164" s="286" t="s">
        <v>206</v>
      </c>
      <c r="E164" s="286" t="s">
        <v>207</v>
      </c>
      <c r="F164" s="359">
        <v>7.3</v>
      </c>
      <c r="G164" s="450">
        <v>1800.0</v>
      </c>
      <c r="H164" s="300">
        <f t="shared" si="92"/>
        <v>196560</v>
      </c>
      <c r="I164" s="133">
        <v>0.0</v>
      </c>
      <c r="J164" s="141">
        <v>109.2</v>
      </c>
      <c r="K164" s="451"/>
      <c r="L164" s="495" t="str">
        <f t="shared" si="93"/>
        <v>Loading...</v>
      </c>
      <c r="M164" s="465">
        <v>106.5</v>
      </c>
      <c r="N164" s="454" t="str">
        <f t="shared" si="94"/>
        <v>Loading...</v>
      </c>
      <c r="O164" s="455">
        <f t="shared" ref="O164:O175" si="103">M164/J164-1</f>
        <v>-0.02472527473</v>
      </c>
      <c r="P164" s="394">
        <f t="shared" si="96"/>
        <v>-4860</v>
      </c>
      <c r="Q164" s="115"/>
      <c r="R164" s="115"/>
      <c r="S164" s="127" t="s">
        <v>208</v>
      </c>
      <c r="T164" s="287">
        <v>44911.0</v>
      </c>
      <c r="U164" s="141">
        <v>106.5</v>
      </c>
      <c r="V164" s="133">
        <v>191700.0</v>
      </c>
      <c r="W164" s="456" t="s">
        <v>208</v>
      </c>
      <c r="X164" s="457">
        <v>44888.0</v>
      </c>
      <c r="Y164" s="466">
        <v>109.2</v>
      </c>
      <c r="Z164" s="458">
        <v>196560.0</v>
      </c>
    </row>
    <row r="165">
      <c r="A165" s="114"/>
      <c r="B165" s="115"/>
      <c r="C165" s="116">
        <f>I165/E190</f>
        <v>0</v>
      </c>
      <c r="D165" s="286" t="s">
        <v>206</v>
      </c>
      <c r="E165" s="286" t="s">
        <v>207</v>
      </c>
      <c r="F165" s="359">
        <v>7.3</v>
      </c>
      <c r="G165" s="450">
        <v>1500.0</v>
      </c>
      <c r="H165" s="300">
        <f t="shared" si="92"/>
        <v>155700</v>
      </c>
      <c r="I165" s="133">
        <v>0.0</v>
      </c>
      <c r="J165" s="141">
        <v>103.8</v>
      </c>
      <c r="K165" s="451"/>
      <c r="L165" s="495" t="str">
        <f t="shared" si="93"/>
        <v>Loading...</v>
      </c>
      <c r="M165" s="465">
        <v>106.0</v>
      </c>
      <c r="N165" s="454" t="str">
        <f t="shared" si="94"/>
        <v>Loading...</v>
      </c>
      <c r="O165" s="455">
        <f t="shared" si="103"/>
        <v>0.02119460501</v>
      </c>
      <c r="P165" s="394">
        <f t="shared" si="96"/>
        <v>3300</v>
      </c>
      <c r="Q165" s="115"/>
      <c r="R165" s="115"/>
      <c r="S165" s="127" t="s">
        <v>208</v>
      </c>
      <c r="T165" s="287">
        <v>44881.0</v>
      </c>
      <c r="U165" s="141">
        <v>106.0</v>
      </c>
      <c r="V165" s="133">
        <v>159000.0</v>
      </c>
      <c r="W165" s="456" t="s">
        <v>208</v>
      </c>
      <c r="X165" s="457">
        <v>44879.0</v>
      </c>
      <c r="Y165" s="466">
        <v>103.8</v>
      </c>
      <c r="Z165" s="458">
        <v>155700.0</v>
      </c>
    </row>
    <row r="166">
      <c r="A166" s="114"/>
      <c r="B166" s="115"/>
      <c r="C166" s="116">
        <f>I166/E190</f>
        <v>0</v>
      </c>
      <c r="D166" s="286" t="s">
        <v>206</v>
      </c>
      <c r="E166" s="286" t="s">
        <v>207</v>
      </c>
      <c r="F166" s="359" t="s">
        <v>619</v>
      </c>
      <c r="G166" s="450">
        <v>1200.0</v>
      </c>
      <c r="H166" s="300">
        <f t="shared" si="92"/>
        <v>140880</v>
      </c>
      <c r="I166" s="133">
        <v>0.0</v>
      </c>
      <c r="J166" s="141">
        <v>117.4</v>
      </c>
      <c r="K166" s="451"/>
      <c r="L166" s="495" t="str">
        <f t="shared" si="93"/>
        <v>Loading...</v>
      </c>
      <c r="M166" s="465">
        <v>116.0</v>
      </c>
      <c r="N166" s="454" t="str">
        <f t="shared" si="94"/>
        <v>Loading...</v>
      </c>
      <c r="O166" s="455">
        <f t="shared" si="103"/>
        <v>-0.01192504259</v>
      </c>
      <c r="P166" s="394">
        <f t="shared" si="96"/>
        <v>-1680</v>
      </c>
      <c r="Q166" s="115"/>
      <c r="R166" s="115"/>
      <c r="S166" s="127" t="s">
        <v>208</v>
      </c>
      <c r="T166" s="287">
        <v>44867.0</v>
      </c>
      <c r="U166" s="141">
        <v>116.0</v>
      </c>
      <c r="V166" s="133">
        <v>139200.0</v>
      </c>
      <c r="W166" s="456" t="s">
        <v>208</v>
      </c>
      <c r="X166" s="457">
        <v>44863.0</v>
      </c>
      <c r="Y166" s="466">
        <v>117.4</v>
      </c>
      <c r="Z166" s="458">
        <v>140880.0</v>
      </c>
    </row>
    <row r="167">
      <c r="A167" s="114"/>
      <c r="B167" s="115"/>
      <c r="C167" s="116">
        <f>I167/E190</f>
        <v>0</v>
      </c>
      <c r="D167" s="286" t="s">
        <v>218</v>
      </c>
      <c r="E167" s="286" t="s">
        <v>219</v>
      </c>
      <c r="F167" s="359">
        <v>7.1</v>
      </c>
      <c r="G167" s="450">
        <v>5500.0</v>
      </c>
      <c r="H167" s="300">
        <f t="shared" si="92"/>
        <v>142615</v>
      </c>
      <c r="I167" s="133">
        <v>0.0</v>
      </c>
      <c r="J167" s="141">
        <v>25.93</v>
      </c>
      <c r="K167" s="451"/>
      <c r="L167" s="495" t="str">
        <f t="shared" si="93"/>
        <v>Loading...</v>
      </c>
      <c r="M167" s="465">
        <v>23.71</v>
      </c>
      <c r="N167" s="454" t="str">
        <f t="shared" si="94"/>
        <v>Loading...</v>
      </c>
      <c r="O167" s="455">
        <f t="shared" si="103"/>
        <v>-0.08561511762</v>
      </c>
      <c r="P167" s="394">
        <f t="shared" si="96"/>
        <v>-12210</v>
      </c>
      <c r="Q167" s="115"/>
      <c r="R167" s="115"/>
      <c r="S167" s="127" t="s">
        <v>220</v>
      </c>
      <c r="T167" s="287">
        <v>44867.0</v>
      </c>
      <c r="U167" s="141">
        <v>23.71</v>
      </c>
      <c r="V167" s="133">
        <v>130405.0</v>
      </c>
      <c r="W167" s="456" t="s">
        <v>220</v>
      </c>
      <c r="X167" s="457">
        <v>44863.0</v>
      </c>
      <c r="Y167" s="466">
        <v>25.93</v>
      </c>
      <c r="Z167" s="458">
        <v>142615.0</v>
      </c>
    </row>
    <row r="168">
      <c r="A168" s="114"/>
      <c r="B168" s="115"/>
      <c r="C168" s="116">
        <f>I168/E190</f>
        <v>0</v>
      </c>
      <c r="D168" s="286" t="s">
        <v>509</v>
      </c>
      <c r="E168" s="286" t="s">
        <v>510</v>
      </c>
      <c r="F168" s="359">
        <v>7.1</v>
      </c>
      <c r="G168" s="450">
        <v>12000.0</v>
      </c>
      <c r="H168" s="300">
        <f t="shared" si="92"/>
        <v>151080</v>
      </c>
      <c r="I168" s="133">
        <v>0.0</v>
      </c>
      <c r="J168" s="141">
        <v>12.59</v>
      </c>
      <c r="K168" s="451"/>
      <c r="L168" s="495" t="str">
        <f t="shared" si="93"/>
        <v>Loading...</v>
      </c>
      <c r="M168" s="465">
        <v>13.84</v>
      </c>
      <c r="N168" s="454" t="str">
        <f t="shared" si="94"/>
        <v>Loading...</v>
      </c>
      <c r="O168" s="455">
        <f t="shared" si="103"/>
        <v>0.09928514694</v>
      </c>
      <c r="P168" s="394">
        <f t="shared" si="96"/>
        <v>15000</v>
      </c>
      <c r="Q168" s="115"/>
      <c r="R168" s="115"/>
      <c r="S168" s="127" t="s">
        <v>511</v>
      </c>
      <c r="T168" s="287">
        <v>44911.0</v>
      </c>
      <c r="U168" s="141">
        <v>13.84</v>
      </c>
      <c r="V168" s="133">
        <v>166080.0</v>
      </c>
      <c r="W168" s="456" t="s">
        <v>511</v>
      </c>
      <c r="X168" s="457">
        <v>44888.0</v>
      </c>
      <c r="Y168" s="466">
        <v>12.59</v>
      </c>
      <c r="Z168" s="458">
        <v>151080.0</v>
      </c>
    </row>
    <row r="169">
      <c r="A169" s="114"/>
      <c r="B169" s="115"/>
      <c r="C169" s="116">
        <f>I169/E190</f>
        <v>0</v>
      </c>
      <c r="D169" s="304" t="s">
        <v>509</v>
      </c>
      <c r="E169" s="304" t="s">
        <v>510</v>
      </c>
      <c r="F169" s="359">
        <v>7.1</v>
      </c>
      <c r="G169" s="450">
        <v>10000.0</v>
      </c>
      <c r="H169" s="300">
        <f t="shared" si="92"/>
        <v>146500</v>
      </c>
      <c r="I169" s="133">
        <v>0.0</v>
      </c>
      <c r="J169" s="141">
        <v>14.65</v>
      </c>
      <c r="K169" s="451"/>
      <c r="L169" s="495" t="str">
        <f t="shared" si="93"/>
        <v>Loading...</v>
      </c>
      <c r="M169" s="465">
        <v>13.98</v>
      </c>
      <c r="N169" s="454" t="str">
        <f t="shared" si="94"/>
        <v>Loading...</v>
      </c>
      <c r="O169" s="455">
        <f t="shared" si="103"/>
        <v>-0.0457337884</v>
      </c>
      <c r="P169" s="394">
        <f t="shared" si="96"/>
        <v>-6700</v>
      </c>
      <c r="Q169" s="115"/>
      <c r="R169" s="115"/>
      <c r="S169" s="127" t="s">
        <v>511</v>
      </c>
      <c r="T169" s="287">
        <v>44881.0</v>
      </c>
      <c r="U169" s="141">
        <v>13.98</v>
      </c>
      <c r="V169" s="133">
        <v>139800.0</v>
      </c>
      <c r="W169" s="456" t="s">
        <v>511</v>
      </c>
      <c r="X169" s="457">
        <v>44879.0</v>
      </c>
      <c r="Y169" s="466">
        <v>14.65</v>
      </c>
      <c r="Z169" s="458">
        <v>146500.0</v>
      </c>
    </row>
    <row r="170">
      <c r="A170" s="114"/>
      <c r="B170" s="115"/>
      <c r="C170" s="116">
        <f>I170/E190</f>
        <v>0</v>
      </c>
      <c r="D170" s="304" t="s">
        <v>509</v>
      </c>
      <c r="E170" s="304" t="s">
        <v>510</v>
      </c>
      <c r="F170" s="359">
        <v>7.1</v>
      </c>
      <c r="G170" s="450">
        <v>5000.0</v>
      </c>
      <c r="H170" s="300">
        <f t="shared" si="92"/>
        <v>149900</v>
      </c>
      <c r="I170" s="133">
        <v>0.0</v>
      </c>
      <c r="J170" s="141">
        <v>29.98</v>
      </c>
      <c r="K170" s="451"/>
      <c r="L170" s="495" t="str">
        <f t="shared" si="93"/>
        <v>Loading...</v>
      </c>
      <c r="M170" s="465">
        <v>32.3</v>
      </c>
      <c r="N170" s="454" t="str">
        <f t="shared" si="94"/>
        <v>Loading...</v>
      </c>
      <c r="O170" s="455">
        <f t="shared" si="103"/>
        <v>0.07738492328</v>
      </c>
      <c r="P170" s="394">
        <f t="shared" si="96"/>
        <v>11600</v>
      </c>
      <c r="Q170" s="115"/>
      <c r="R170" s="115"/>
      <c r="S170" s="127" t="s">
        <v>511</v>
      </c>
      <c r="T170" s="287">
        <v>44864.0</v>
      </c>
      <c r="U170" s="141">
        <v>32.3</v>
      </c>
      <c r="V170" s="133">
        <v>161500.0</v>
      </c>
      <c r="W170" s="456" t="s">
        <v>511</v>
      </c>
      <c r="X170" s="457">
        <v>44847.0</v>
      </c>
      <c r="Y170" s="466">
        <v>29.98</v>
      </c>
      <c r="Z170" s="458">
        <v>149900.0</v>
      </c>
    </row>
    <row r="171">
      <c r="A171" s="114"/>
      <c r="B171" s="115"/>
      <c r="C171" s="116">
        <f>I171/E190</f>
        <v>0</v>
      </c>
      <c r="D171" s="286" t="s">
        <v>620</v>
      </c>
      <c r="E171" s="286" t="s">
        <v>191</v>
      </c>
      <c r="F171" s="359">
        <v>7.0</v>
      </c>
      <c r="G171" s="450">
        <v>1500000.0</v>
      </c>
      <c r="H171" s="300">
        <f t="shared" si="92"/>
        <v>157500</v>
      </c>
      <c r="I171" s="133">
        <v>0.0</v>
      </c>
      <c r="J171" s="496">
        <v>0.105</v>
      </c>
      <c r="K171" s="451"/>
      <c r="L171" s="495" t="str">
        <f t="shared" si="93"/>
        <v>Loading...</v>
      </c>
      <c r="M171" s="496">
        <v>0.143</v>
      </c>
      <c r="N171" s="454" t="str">
        <f t="shared" si="94"/>
        <v>Loading...</v>
      </c>
      <c r="O171" s="455">
        <f t="shared" si="103"/>
        <v>0.3619047619</v>
      </c>
      <c r="P171" s="394">
        <f t="shared" si="96"/>
        <v>57000</v>
      </c>
      <c r="Q171" s="115"/>
      <c r="R171" s="115"/>
      <c r="S171" s="127" t="s">
        <v>192</v>
      </c>
      <c r="T171" s="287">
        <v>44863.0</v>
      </c>
      <c r="U171" s="496">
        <v>0.143</v>
      </c>
      <c r="V171" s="133">
        <v>214500.0</v>
      </c>
      <c r="W171" s="127" t="s">
        <v>192</v>
      </c>
      <c r="X171" s="287">
        <v>44863.0</v>
      </c>
      <c r="Y171" s="497">
        <v>0.105</v>
      </c>
      <c r="Z171" s="458">
        <v>157500.0</v>
      </c>
    </row>
    <row r="172">
      <c r="A172" s="114"/>
      <c r="B172" s="115"/>
      <c r="C172" s="116">
        <f>I172/E190</f>
        <v>0</v>
      </c>
      <c r="D172" s="286" t="s">
        <v>620</v>
      </c>
      <c r="E172" s="286" t="s">
        <v>191</v>
      </c>
      <c r="F172" s="359">
        <v>7.0</v>
      </c>
      <c r="G172" s="450">
        <v>3500000.0</v>
      </c>
      <c r="H172" s="300">
        <f t="shared" si="92"/>
        <v>297500</v>
      </c>
      <c r="I172" s="133">
        <v>0.0</v>
      </c>
      <c r="J172" s="496">
        <v>0.085</v>
      </c>
      <c r="K172" s="451"/>
      <c r="L172" s="495" t="str">
        <f t="shared" si="93"/>
        <v>Loading...</v>
      </c>
      <c r="M172" s="496">
        <v>0.105</v>
      </c>
      <c r="N172" s="454" t="str">
        <f t="shared" si="94"/>
        <v>Loading...</v>
      </c>
      <c r="O172" s="455">
        <f t="shared" si="103"/>
        <v>0.2352941176</v>
      </c>
      <c r="P172" s="394">
        <f t="shared" si="96"/>
        <v>70000</v>
      </c>
      <c r="Q172" s="115"/>
      <c r="R172" s="115"/>
      <c r="S172" s="127" t="s">
        <v>192</v>
      </c>
      <c r="T172" s="287">
        <v>44863.0</v>
      </c>
      <c r="U172" s="496">
        <v>0.105</v>
      </c>
      <c r="V172" s="133">
        <v>367500.0</v>
      </c>
      <c r="W172" s="127" t="s">
        <v>192</v>
      </c>
      <c r="X172" s="287">
        <v>44862.0</v>
      </c>
      <c r="Y172" s="497">
        <v>0.085</v>
      </c>
      <c r="Z172" s="458">
        <v>287500.0</v>
      </c>
    </row>
    <row r="173">
      <c r="A173" s="114"/>
      <c r="B173" s="115"/>
      <c r="C173" s="116">
        <f>I173/E190</f>
        <v>0</v>
      </c>
      <c r="D173" s="286" t="s">
        <v>620</v>
      </c>
      <c r="E173" s="286" t="s">
        <v>191</v>
      </c>
      <c r="F173" s="359">
        <v>7.0</v>
      </c>
      <c r="G173" s="450">
        <v>2000000.0</v>
      </c>
      <c r="H173" s="300">
        <f t="shared" si="92"/>
        <v>138600</v>
      </c>
      <c r="I173" s="133">
        <v>0.0</v>
      </c>
      <c r="J173" s="496">
        <v>0.0693</v>
      </c>
      <c r="K173" s="451"/>
      <c r="L173" s="495" t="str">
        <f t="shared" si="93"/>
        <v>Loading...</v>
      </c>
      <c r="M173" s="496">
        <v>0.075</v>
      </c>
      <c r="N173" s="454" t="str">
        <f t="shared" si="94"/>
        <v>Loading...</v>
      </c>
      <c r="O173" s="455">
        <f t="shared" si="103"/>
        <v>0.08225108225</v>
      </c>
      <c r="P173" s="394">
        <f t="shared" si="96"/>
        <v>11400</v>
      </c>
      <c r="Q173" s="115"/>
      <c r="R173" s="115"/>
      <c r="S173" s="127" t="s">
        <v>192</v>
      </c>
      <c r="T173" s="287">
        <v>44862.0</v>
      </c>
      <c r="U173" s="496">
        <v>0.075</v>
      </c>
      <c r="V173" s="133">
        <v>150000.0</v>
      </c>
      <c r="W173" s="456" t="s">
        <v>192</v>
      </c>
      <c r="X173" s="457">
        <v>44860.0</v>
      </c>
      <c r="Y173" s="498">
        <v>0.0693</v>
      </c>
      <c r="Z173" s="458">
        <v>138600.0</v>
      </c>
    </row>
    <row r="174">
      <c r="A174" s="114"/>
      <c r="B174" s="115"/>
      <c r="C174" s="116">
        <f>I174/E190</f>
        <v>0</v>
      </c>
      <c r="D174" s="304" t="s">
        <v>417</v>
      </c>
      <c r="E174" s="304" t="s">
        <v>418</v>
      </c>
      <c r="F174" s="359">
        <v>7.3</v>
      </c>
      <c r="G174" s="450">
        <v>2000.0</v>
      </c>
      <c r="H174" s="300">
        <f t="shared" si="92"/>
        <v>110200</v>
      </c>
      <c r="I174" s="133">
        <v>0.0</v>
      </c>
      <c r="J174" s="141">
        <v>55.1</v>
      </c>
      <c r="K174" s="451"/>
      <c r="L174" s="452" t="str">
        <f t="shared" si="93"/>
        <v>Loading...</v>
      </c>
      <c r="M174" s="141">
        <v>52.9</v>
      </c>
      <c r="N174" s="454" t="str">
        <f t="shared" si="94"/>
        <v>Loading...</v>
      </c>
      <c r="O174" s="455">
        <f t="shared" si="103"/>
        <v>-0.03992740472</v>
      </c>
      <c r="P174" s="394">
        <f t="shared" si="96"/>
        <v>-4400</v>
      </c>
      <c r="Q174" s="115"/>
      <c r="R174" s="115"/>
      <c r="S174" s="127" t="s">
        <v>419</v>
      </c>
      <c r="T174" s="287">
        <v>44862.0</v>
      </c>
      <c r="U174" s="141">
        <v>52.9</v>
      </c>
      <c r="V174" s="133">
        <v>105800.0</v>
      </c>
      <c r="W174" s="456" t="s">
        <v>419</v>
      </c>
      <c r="X174" s="457">
        <v>44860.0</v>
      </c>
      <c r="Y174" s="466">
        <v>55.1</v>
      </c>
      <c r="Z174" s="458">
        <v>110200.0</v>
      </c>
    </row>
    <row r="175">
      <c r="A175" s="114"/>
      <c r="B175" s="115"/>
      <c r="C175" s="116">
        <f>I175/E190</f>
        <v>0</v>
      </c>
      <c r="D175" s="286" t="s">
        <v>621</v>
      </c>
      <c r="E175" s="286" t="s">
        <v>514</v>
      </c>
      <c r="F175" s="359">
        <v>7.0</v>
      </c>
      <c r="G175" s="450">
        <v>1000.0</v>
      </c>
      <c r="H175" s="300">
        <f t="shared" si="92"/>
        <v>146070</v>
      </c>
      <c r="I175" s="133">
        <v>0.0</v>
      </c>
      <c r="J175" s="141">
        <v>146.07</v>
      </c>
      <c r="K175" s="451"/>
      <c r="L175" s="495" t="str">
        <f t="shared" si="93"/>
        <v>Loading...</v>
      </c>
      <c r="M175" s="141">
        <v>145.7</v>
      </c>
      <c r="N175" s="454" t="str">
        <f t="shared" si="94"/>
        <v>Loading...</v>
      </c>
      <c r="O175" s="455">
        <f t="shared" si="103"/>
        <v>-0.002533032108</v>
      </c>
      <c r="P175" s="394">
        <f t="shared" si="96"/>
        <v>-370</v>
      </c>
      <c r="Q175" s="115"/>
      <c r="R175" s="115"/>
      <c r="S175" s="127" t="s">
        <v>515</v>
      </c>
      <c r="T175" s="287">
        <v>44862.0</v>
      </c>
      <c r="U175" s="141">
        <v>145.7</v>
      </c>
      <c r="V175" s="133">
        <v>145700.0</v>
      </c>
      <c r="W175" s="456" t="s">
        <v>515</v>
      </c>
      <c r="X175" s="457">
        <v>44860.0</v>
      </c>
      <c r="Y175" s="466">
        <v>146.07</v>
      </c>
      <c r="Z175" s="458">
        <v>146070.0</v>
      </c>
    </row>
    <row r="176">
      <c r="A176" s="114"/>
      <c r="B176" s="115"/>
      <c r="C176" s="116" t="str">
        <f>I176/E190</f>
        <v>Loading...</v>
      </c>
      <c r="D176" s="286" t="s">
        <v>416</v>
      </c>
      <c r="E176" s="286" t="s">
        <v>360</v>
      </c>
      <c r="F176" s="359">
        <v>7.2</v>
      </c>
      <c r="G176" s="450">
        <v>2500.0</v>
      </c>
      <c r="H176" s="300">
        <f t="shared" si="92"/>
        <v>109000</v>
      </c>
      <c r="I176" s="133" t="str">
        <f t="shared" ref="I176:I177" si="104">H176+P176</f>
        <v>Loading...</v>
      </c>
      <c r="J176" s="141">
        <v>43.6</v>
      </c>
      <c r="K176" s="451"/>
      <c r="L176" s="452" t="str">
        <f t="shared" si="93"/>
        <v>Loading...</v>
      </c>
      <c r="M176" s="141"/>
      <c r="N176" s="454" t="str">
        <f t="shared" si="94"/>
        <v>Loading...</v>
      </c>
      <c r="O176" s="455" t="str">
        <f t="shared" ref="O176:O177" si="105">L176/J176-1</f>
        <v>Loading...</v>
      </c>
      <c r="P176" s="394" t="str">
        <f t="shared" si="96"/>
        <v>Loading...</v>
      </c>
      <c r="Q176" s="115"/>
      <c r="R176" s="115"/>
      <c r="S176" s="127"/>
      <c r="T176" s="287"/>
      <c r="U176" s="141"/>
      <c r="V176" s="133"/>
      <c r="W176" s="456" t="s">
        <v>361</v>
      </c>
      <c r="X176" s="457">
        <v>44895.0</v>
      </c>
      <c r="Y176" s="466">
        <v>43.6</v>
      </c>
      <c r="Z176" s="458">
        <v>109000.0</v>
      </c>
    </row>
    <row r="177">
      <c r="A177" s="114"/>
      <c r="B177" s="115"/>
      <c r="C177" s="116" t="str">
        <f>I177/E190</f>
        <v>Loading...</v>
      </c>
      <c r="D177" s="304" t="s">
        <v>417</v>
      </c>
      <c r="E177" s="304" t="s">
        <v>418</v>
      </c>
      <c r="F177" s="359">
        <v>7.3</v>
      </c>
      <c r="G177" s="450">
        <v>3500.0</v>
      </c>
      <c r="H177" s="300">
        <f t="shared" si="92"/>
        <v>137900</v>
      </c>
      <c r="I177" s="133" t="str">
        <f t="shared" si="104"/>
        <v>Loading...</v>
      </c>
      <c r="J177" s="141">
        <v>39.4</v>
      </c>
      <c r="K177" s="451"/>
      <c r="L177" s="452" t="str">
        <f t="shared" si="93"/>
        <v>Loading...</v>
      </c>
      <c r="M177" s="141"/>
      <c r="N177" s="454" t="str">
        <f t="shared" si="94"/>
        <v>Loading...</v>
      </c>
      <c r="O177" s="455" t="str">
        <f t="shared" si="105"/>
        <v>Loading...</v>
      </c>
      <c r="P177" s="394" t="str">
        <f t="shared" si="96"/>
        <v>Loading...</v>
      </c>
      <c r="Q177" s="115"/>
      <c r="R177" s="115"/>
      <c r="S177" s="127"/>
      <c r="T177" s="287"/>
      <c r="U177" s="141"/>
      <c r="V177" s="133"/>
      <c r="W177" s="456" t="s">
        <v>419</v>
      </c>
      <c r="X177" s="457">
        <v>44918.0</v>
      </c>
      <c r="Y177" s="466">
        <v>39.4</v>
      </c>
      <c r="Z177" s="458">
        <v>137900.0</v>
      </c>
    </row>
    <row r="178">
      <c r="A178" s="114"/>
      <c r="B178" s="115"/>
      <c r="C178" s="116">
        <f>I178/E190</f>
        <v>0</v>
      </c>
      <c r="D178" s="304" t="s">
        <v>417</v>
      </c>
      <c r="E178" s="304" t="s">
        <v>418</v>
      </c>
      <c r="F178" s="359">
        <v>7.3</v>
      </c>
      <c r="G178" s="450">
        <v>3000.0</v>
      </c>
      <c r="H178" s="300">
        <f t="shared" si="92"/>
        <v>123600</v>
      </c>
      <c r="I178" s="133">
        <v>0.0</v>
      </c>
      <c r="J178" s="141">
        <v>41.2</v>
      </c>
      <c r="K178" s="451"/>
      <c r="L178" s="452" t="str">
        <f t="shared" si="93"/>
        <v>Loading...</v>
      </c>
      <c r="M178" s="141">
        <v>45.4</v>
      </c>
      <c r="N178" s="454" t="str">
        <f t="shared" si="94"/>
        <v>Loading...</v>
      </c>
      <c r="O178" s="455">
        <f t="shared" ref="O178:O182" si="106">M178/J178-1</f>
        <v>0.1019417476</v>
      </c>
      <c r="P178" s="394">
        <f t="shared" si="96"/>
        <v>12600</v>
      </c>
      <c r="Q178" s="115"/>
      <c r="R178" s="115"/>
      <c r="S178" s="127" t="s">
        <v>419</v>
      </c>
      <c r="T178" s="287">
        <v>44911.0</v>
      </c>
      <c r="U178" s="141">
        <v>45.4</v>
      </c>
      <c r="V178" s="133">
        <v>136200.0</v>
      </c>
      <c r="W178" s="456" t="s">
        <v>419</v>
      </c>
      <c r="X178" s="457">
        <v>44895.0</v>
      </c>
      <c r="Y178" s="466">
        <v>41.2</v>
      </c>
      <c r="Z178" s="458">
        <v>123600.0</v>
      </c>
    </row>
    <row r="179">
      <c r="A179" s="114"/>
      <c r="B179" s="115"/>
      <c r="C179" s="116">
        <f>I179/E190</f>
        <v>0</v>
      </c>
      <c r="D179" s="304" t="s">
        <v>417</v>
      </c>
      <c r="E179" s="304" t="s">
        <v>418</v>
      </c>
      <c r="F179" s="359">
        <v>7.3</v>
      </c>
      <c r="G179" s="450">
        <v>4000.0</v>
      </c>
      <c r="H179" s="300">
        <f t="shared" si="92"/>
        <v>165200</v>
      </c>
      <c r="I179" s="133">
        <v>0.0</v>
      </c>
      <c r="J179" s="141">
        <v>41.3</v>
      </c>
      <c r="K179" s="451"/>
      <c r="L179" s="452" t="str">
        <f t="shared" si="93"/>
        <v>Loading...</v>
      </c>
      <c r="M179" s="141">
        <v>46.58</v>
      </c>
      <c r="N179" s="454" t="str">
        <f t="shared" si="94"/>
        <v>Loading...</v>
      </c>
      <c r="O179" s="455">
        <f t="shared" si="106"/>
        <v>0.1278450363</v>
      </c>
      <c r="P179" s="394">
        <f t="shared" si="96"/>
        <v>21120</v>
      </c>
      <c r="Q179" s="115"/>
      <c r="R179" s="115"/>
      <c r="S179" s="127" t="s">
        <v>419</v>
      </c>
      <c r="T179" s="287">
        <v>44901.0</v>
      </c>
      <c r="U179" s="141">
        <v>46.58</v>
      </c>
      <c r="V179" s="133">
        <v>186320.0</v>
      </c>
      <c r="W179" s="456" t="s">
        <v>419</v>
      </c>
      <c r="X179" s="457">
        <v>44888.0</v>
      </c>
      <c r="Y179" s="466">
        <v>41.3</v>
      </c>
      <c r="Z179" s="458">
        <v>165200.0</v>
      </c>
    </row>
    <row r="180">
      <c r="A180" s="114"/>
      <c r="B180" s="115"/>
      <c r="C180" s="116">
        <f>I180/E190</f>
        <v>0</v>
      </c>
      <c r="D180" s="304" t="s">
        <v>417</v>
      </c>
      <c r="E180" s="304" t="s">
        <v>418</v>
      </c>
      <c r="F180" s="359">
        <v>7.3</v>
      </c>
      <c r="G180" s="450">
        <v>2000.0</v>
      </c>
      <c r="H180" s="300">
        <f t="shared" si="92"/>
        <v>105580</v>
      </c>
      <c r="I180" s="133">
        <v>0.0</v>
      </c>
      <c r="J180" s="141">
        <v>52.79</v>
      </c>
      <c r="K180" s="451"/>
      <c r="L180" s="452" t="str">
        <f t="shared" si="93"/>
        <v>Loading...</v>
      </c>
      <c r="M180" s="141">
        <v>52.1</v>
      </c>
      <c r="N180" s="454" t="str">
        <f t="shared" si="94"/>
        <v>Loading...</v>
      </c>
      <c r="O180" s="455">
        <f t="shared" si="106"/>
        <v>-0.01307065732</v>
      </c>
      <c r="P180" s="394">
        <f t="shared" si="96"/>
        <v>-1380</v>
      </c>
      <c r="Q180" s="115"/>
      <c r="R180" s="115"/>
      <c r="S180" s="127" t="s">
        <v>419</v>
      </c>
      <c r="T180" s="287">
        <v>44858.0</v>
      </c>
      <c r="U180" s="141">
        <v>52.1</v>
      </c>
      <c r="V180" s="133">
        <v>104200.0</v>
      </c>
      <c r="W180" s="456" t="s">
        <v>419</v>
      </c>
      <c r="X180" s="457">
        <v>44851.0</v>
      </c>
      <c r="Y180" s="466">
        <v>52.79</v>
      </c>
      <c r="Z180" s="458">
        <v>105580.0</v>
      </c>
    </row>
    <row r="181">
      <c r="A181" s="114"/>
      <c r="B181" s="115"/>
      <c r="C181" s="116">
        <f>I181/E190</f>
        <v>0</v>
      </c>
      <c r="D181" s="304" t="s">
        <v>622</v>
      </c>
      <c r="E181" s="304" t="s">
        <v>195</v>
      </c>
      <c r="F181" s="359">
        <v>7.2</v>
      </c>
      <c r="G181" s="450">
        <v>20000.0</v>
      </c>
      <c r="H181" s="300">
        <f t="shared" si="92"/>
        <v>120200</v>
      </c>
      <c r="I181" s="133">
        <v>0.0</v>
      </c>
      <c r="J181" s="141">
        <v>6.01</v>
      </c>
      <c r="K181" s="451"/>
      <c r="L181" s="452" t="str">
        <f t="shared" si="93"/>
        <v>Loading...</v>
      </c>
      <c r="M181" s="141">
        <v>6.4</v>
      </c>
      <c r="N181" s="454" t="str">
        <f t="shared" si="94"/>
        <v>Loading...</v>
      </c>
      <c r="O181" s="455">
        <f t="shared" si="106"/>
        <v>0.06489184692</v>
      </c>
      <c r="P181" s="394">
        <f t="shared" si="96"/>
        <v>7800</v>
      </c>
      <c r="Q181" s="115"/>
      <c r="R181" s="115"/>
      <c r="S181" s="127" t="s">
        <v>196</v>
      </c>
      <c r="T181" s="287">
        <v>44862.0</v>
      </c>
      <c r="U181" s="141">
        <v>6.4</v>
      </c>
      <c r="V181" s="133">
        <v>128000.0</v>
      </c>
      <c r="W181" s="456" t="s">
        <v>196</v>
      </c>
      <c r="X181" s="499" t="s">
        <v>623</v>
      </c>
      <c r="Y181" s="466">
        <v>6.01</v>
      </c>
      <c r="Z181" s="458">
        <v>120200.0</v>
      </c>
    </row>
    <row r="182">
      <c r="A182" s="114"/>
      <c r="B182" s="115"/>
      <c r="C182" s="116">
        <f>I182/E190</f>
        <v>0</v>
      </c>
      <c r="D182" s="304" t="s">
        <v>622</v>
      </c>
      <c r="E182" s="304" t="s">
        <v>195</v>
      </c>
      <c r="F182" s="359">
        <v>7.2</v>
      </c>
      <c r="G182" s="450">
        <v>15000.0</v>
      </c>
      <c r="H182" s="300">
        <f t="shared" si="92"/>
        <v>93150</v>
      </c>
      <c r="I182" s="133">
        <v>0.0</v>
      </c>
      <c r="J182" s="141">
        <v>6.21</v>
      </c>
      <c r="K182" s="451"/>
      <c r="L182" s="452" t="str">
        <f t="shared" si="93"/>
        <v>Loading...</v>
      </c>
      <c r="M182" s="141">
        <v>5.9</v>
      </c>
      <c r="N182" s="454" t="str">
        <f t="shared" si="94"/>
        <v>Loading...</v>
      </c>
      <c r="O182" s="455">
        <f t="shared" si="106"/>
        <v>-0.0499194847</v>
      </c>
      <c r="P182" s="394">
        <f t="shared" si="96"/>
        <v>-4650</v>
      </c>
      <c r="Q182" s="115"/>
      <c r="R182" s="115"/>
      <c r="S182" s="127" t="s">
        <v>196</v>
      </c>
      <c r="T182" s="287">
        <v>44858.0</v>
      </c>
      <c r="U182" s="141">
        <v>5.9</v>
      </c>
      <c r="V182" s="133">
        <v>88500.0</v>
      </c>
      <c r="W182" s="456" t="s">
        <v>196</v>
      </c>
      <c r="X182" s="457">
        <v>44851.0</v>
      </c>
      <c r="Y182" s="466">
        <v>6.21</v>
      </c>
      <c r="Z182" s="458">
        <v>93150.0</v>
      </c>
    </row>
    <row r="183">
      <c r="A183" s="351"/>
      <c r="B183" s="352"/>
      <c r="C183" s="352" t="s">
        <v>89</v>
      </c>
      <c r="D183" s="371"/>
      <c r="E183" s="371"/>
      <c r="F183" s="371"/>
      <c r="G183" s="356"/>
      <c r="H183" s="366">
        <f t="shared" ref="H183:I183" si="107">SUM(H145:H182)</f>
        <v>5719319.3</v>
      </c>
      <c r="I183" s="366" t="str">
        <f t="shared" si="107"/>
        <v>Loading...</v>
      </c>
      <c r="J183" s="372"/>
      <c r="K183" s="371"/>
      <c r="L183" s="352"/>
      <c r="M183" s="371"/>
      <c r="N183" s="371"/>
      <c r="O183" s="500">
        <v>0.1733</v>
      </c>
      <c r="P183" s="438">
        <v>199282.0</v>
      </c>
      <c r="Q183" s="371"/>
      <c r="R183" s="371"/>
      <c r="S183" s="352" t="s">
        <v>89</v>
      </c>
      <c r="T183" s="371"/>
      <c r="U183" s="372"/>
      <c r="V183" s="366">
        <f>SUM(V145:V182)</f>
        <v>4975954</v>
      </c>
      <c r="W183" s="352" t="s">
        <v>89</v>
      </c>
      <c r="X183" s="371"/>
      <c r="Y183" s="468"/>
      <c r="Z183" s="366">
        <f>SUM(Z145:Z182)</f>
        <v>5712254</v>
      </c>
    </row>
    <row r="184">
      <c r="A184" s="351" t="s">
        <v>227</v>
      </c>
      <c r="B184" s="352" t="s">
        <v>228</v>
      </c>
      <c r="C184" s="352" t="s">
        <v>229</v>
      </c>
      <c r="D184" s="358" t="s">
        <v>624</v>
      </c>
      <c r="E184" s="358" t="s">
        <v>625</v>
      </c>
      <c r="F184" s="352" t="s">
        <v>14</v>
      </c>
      <c r="G184" s="358" t="s">
        <v>626</v>
      </c>
      <c r="H184" s="352" t="s">
        <v>233</v>
      </c>
      <c r="I184" s="352" t="s">
        <v>234</v>
      </c>
      <c r="J184" s="352" t="s">
        <v>627</v>
      </c>
      <c r="K184" s="352" t="s">
        <v>423</v>
      </c>
      <c r="L184" s="371"/>
      <c r="M184" s="371"/>
      <c r="N184" s="371"/>
      <c r="O184" s="371"/>
      <c r="P184" s="371"/>
      <c r="Q184" s="371"/>
      <c r="R184" s="244"/>
      <c r="S184" s="244"/>
      <c r="T184" s="244"/>
      <c r="U184" s="244"/>
      <c r="V184" s="244"/>
      <c r="W184" s="244"/>
      <c r="X184" s="244"/>
      <c r="Y184" s="244"/>
      <c r="Z184" s="244"/>
    </row>
    <row r="185">
      <c r="A185" s="469" t="s">
        <v>424</v>
      </c>
      <c r="B185" s="116">
        <f>E185/E190</f>
        <v>0.555324992</v>
      </c>
      <c r="C185" s="300">
        <f>H42+H61+H67+H76+H115+H119+H107+H94</f>
        <v>13636771</v>
      </c>
      <c r="D185" s="470">
        <v>6409070.0</v>
      </c>
      <c r="E185" s="133">
        <v>6442885.0</v>
      </c>
      <c r="F185" s="139">
        <f t="shared" ref="F185:F186" si="108">G185/D185</f>
        <v>0.03004882144</v>
      </c>
      <c r="G185" s="471">
        <v>192585.0</v>
      </c>
      <c r="H185" s="471">
        <v>275600.0</v>
      </c>
      <c r="I185" s="472">
        <f>R123+R119+R115+R107+R94+R76+R42</f>
        <v>16301</v>
      </c>
      <c r="J185" s="471">
        <v>227800.0</v>
      </c>
      <c r="K185" s="472">
        <f>G185+H185+I185+J185</f>
        <v>712286</v>
      </c>
      <c r="L185" s="115"/>
      <c r="M185" s="115"/>
      <c r="N185" s="115"/>
      <c r="O185" s="115"/>
      <c r="P185" s="115"/>
      <c r="Q185" s="115"/>
      <c r="R185" s="244"/>
      <c r="S185" s="244"/>
      <c r="T185" s="244"/>
      <c r="U185" s="244"/>
      <c r="V185" s="244"/>
      <c r="W185" s="244"/>
      <c r="X185" s="244"/>
      <c r="Y185" s="244"/>
      <c r="Z185" s="244"/>
    </row>
    <row r="186">
      <c r="A186" s="442" t="s">
        <v>409</v>
      </c>
      <c r="B186" s="116">
        <f>E186/E190</f>
        <v>0.2620240393</v>
      </c>
      <c r="C186" s="300">
        <f>H143</f>
        <v>3195965</v>
      </c>
      <c r="D186" s="133">
        <v>2759165.0</v>
      </c>
      <c r="E186" s="133">
        <v>3040005.0</v>
      </c>
      <c r="F186" s="139">
        <f t="shared" si="108"/>
        <v>0.1512631539</v>
      </c>
      <c r="G186" s="471">
        <v>417360.0</v>
      </c>
      <c r="H186" s="473"/>
      <c r="I186" s="473"/>
      <c r="J186" s="473"/>
      <c r="K186" s="139">
        <f>K185/D185</f>
        <v>0.1111371853</v>
      </c>
      <c r="L186" s="115"/>
      <c r="M186" s="115"/>
      <c r="N186" s="115"/>
      <c r="O186" s="115"/>
      <c r="P186" s="115"/>
      <c r="Q186" s="115"/>
      <c r="R186" s="244"/>
      <c r="S186" s="244"/>
      <c r="T186" s="244"/>
      <c r="U186" s="244"/>
      <c r="V186" s="244"/>
      <c r="W186" s="244"/>
      <c r="X186" s="244"/>
      <c r="Y186" s="244"/>
      <c r="Z186" s="244"/>
    </row>
    <row r="187">
      <c r="A187" s="442" t="s">
        <v>542</v>
      </c>
      <c r="B187" s="116">
        <f>E187/E190</f>
        <v>0.03195998486</v>
      </c>
      <c r="C187" s="300">
        <f>H123</f>
        <v>372798</v>
      </c>
      <c r="D187" s="133">
        <v>372798.0</v>
      </c>
      <c r="E187" s="133">
        <v>370800.0</v>
      </c>
      <c r="F187" s="139">
        <f>G187/C187</f>
        <v>-0.005359470813</v>
      </c>
      <c r="G187" s="471">
        <v>-1998.0</v>
      </c>
      <c r="H187" s="474"/>
      <c r="I187" s="474"/>
      <c r="J187" s="474"/>
      <c r="K187" s="474"/>
      <c r="L187" s="115"/>
      <c r="M187" s="115"/>
      <c r="N187" s="115"/>
      <c r="O187" s="115"/>
      <c r="P187" s="115"/>
      <c r="Q187" s="115"/>
      <c r="R187" s="244"/>
      <c r="S187" s="244"/>
      <c r="T187" s="244"/>
      <c r="U187" s="244"/>
      <c r="V187" s="244"/>
      <c r="W187" s="244"/>
      <c r="X187" s="244"/>
      <c r="Y187" s="244"/>
      <c r="Z187" s="244"/>
    </row>
    <row r="188">
      <c r="A188" s="442" t="s">
        <v>240</v>
      </c>
      <c r="B188" s="116">
        <f>E188/E190</f>
        <v>0.081248608</v>
      </c>
      <c r="C188" s="300">
        <f>H183</f>
        <v>5719319.3</v>
      </c>
      <c r="D188" s="300">
        <v>0.0</v>
      </c>
      <c r="E188" s="133">
        <v>942647.0</v>
      </c>
      <c r="F188" s="501">
        <v>0.1733</v>
      </c>
      <c r="G188" s="471">
        <v>199282.0</v>
      </c>
      <c r="H188" s="474"/>
      <c r="I188" s="475"/>
      <c r="J188" s="474"/>
      <c r="K188" s="474"/>
      <c r="L188" s="115"/>
      <c r="M188" s="115"/>
      <c r="N188" s="115"/>
      <c r="O188" s="115"/>
      <c r="P188" s="115"/>
      <c r="Q188" s="115"/>
      <c r="R188" s="244"/>
      <c r="S188" s="244"/>
      <c r="T188" s="244"/>
      <c r="U188" s="244"/>
      <c r="V188" s="244"/>
      <c r="W188" s="244"/>
      <c r="X188" s="244"/>
      <c r="Y188" s="244"/>
      <c r="Z188" s="244"/>
    </row>
    <row r="189">
      <c r="A189" s="442" t="s">
        <v>461</v>
      </c>
      <c r="B189" s="116">
        <f>E189/E190</f>
        <v>0.06997573179</v>
      </c>
      <c r="C189" s="125" t="s">
        <v>128</v>
      </c>
      <c r="D189" s="133">
        <v>734045.0</v>
      </c>
      <c r="E189" s="133">
        <v>811859.0</v>
      </c>
      <c r="F189" s="422" t="s">
        <v>128</v>
      </c>
      <c r="G189" s="471">
        <v>519701.0</v>
      </c>
      <c r="H189" s="476" t="s">
        <v>628</v>
      </c>
      <c r="I189" s="476" t="s">
        <v>629</v>
      </c>
      <c r="J189" s="476" t="s">
        <v>244</v>
      </c>
      <c r="K189" s="476" t="s">
        <v>576</v>
      </c>
      <c r="L189" s="115"/>
      <c r="M189" s="115"/>
      <c r="N189" s="115"/>
      <c r="O189" s="115"/>
      <c r="P189" s="115"/>
      <c r="Q189" s="115"/>
      <c r="R189" s="244"/>
      <c r="S189" s="244"/>
      <c r="T189" s="244"/>
      <c r="U189" s="244"/>
      <c r="V189" s="244"/>
      <c r="W189" s="244"/>
      <c r="X189" s="244"/>
      <c r="Y189" s="244"/>
      <c r="Z189" s="244"/>
    </row>
    <row r="190">
      <c r="A190" s="351" t="s">
        <v>246</v>
      </c>
      <c r="B190" s="477">
        <v>1.0</v>
      </c>
      <c r="C190" s="366" t="s">
        <v>128</v>
      </c>
      <c r="D190" s="438">
        <v>1.0275078E7</v>
      </c>
      <c r="E190" s="438">
        <v>1.1602008E7</v>
      </c>
      <c r="F190" s="139">
        <f>G190/D190</f>
        <v>0.1291406255</v>
      </c>
      <c r="G190" s="366">
        <f>SUM(G185:G189)</f>
        <v>1326930</v>
      </c>
      <c r="H190" s="478">
        <v>9664087.0</v>
      </c>
      <c r="I190" s="193">
        <f>E190</f>
        <v>11602008</v>
      </c>
      <c r="J190" s="479">
        <f>I190-H190</f>
        <v>1937921</v>
      </c>
      <c r="K190" s="473">
        <f>J190/I190</f>
        <v>0.1670332411</v>
      </c>
      <c r="L190" s="371"/>
      <c r="M190" s="371"/>
      <c r="N190" s="371"/>
      <c r="O190" s="371"/>
      <c r="P190" s="371"/>
      <c r="Q190" s="371"/>
      <c r="R190" s="244"/>
      <c r="S190" s="244"/>
      <c r="T190" s="244"/>
      <c r="U190" s="244"/>
      <c r="V190" s="244"/>
      <c r="W190" s="244"/>
      <c r="X190" s="244"/>
      <c r="Y190" s="244"/>
      <c r="Z190" s="244"/>
    </row>
    <row r="191">
      <c r="A191" s="480"/>
      <c r="B191" s="480"/>
      <c r="C191" s="480"/>
      <c r="D191" s="480"/>
      <c r="E191" s="480"/>
      <c r="F191" s="480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4"/>
      <c r="S191" s="244"/>
      <c r="T191" s="244"/>
      <c r="U191" s="244"/>
      <c r="V191" s="244"/>
      <c r="W191" s="244"/>
      <c r="X191" s="244"/>
      <c r="Y191" s="244"/>
      <c r="Z191" s="244"/>
    </row>
    <row r="192">
      <c r="A192" s="481" t="s">
        <v>248</v>
      </c>
      <c r="B192" s="482"/>
      <c r="C192" s="483" t="s">
        <v>630</v>
      </c>
      <c r="D192" s="483" t="s">
        <v>631</v>
      </c>
      <c r="E192" s="484" t="s">
        <v>15</v>
      </c>
      <c r="F192" s="484" t="s">
        <v>578</v>
      </c>
      <c r="G192" s="244"/>
      <c r="H192" s="244"/>
      <c r="I192" s="244"/>
      <c r="J192" s="244"/>
      <c r="K192" s="244"/>
      <c r="L192" s="244"/>
      <c r="M192" s="244"/>
      <c r="N192" s="244"/>
      <c r="O192" s="244"/>
      <c r="P192" s="244"/>
      <c r="Q192" s="244"/>
      <c r="R192" s="244"/>
      <c r="S192" s="244"/>
      <c r="T192" s="244"/>
      <c r="U192" s="244"/>
      <c r="V192" s="244"/>
      <c r="W192" s="244"/>
      <c r="X192" s="244"/>
      <c r="Y192" s="244"/>
      <c r="Z192" s="244"/>
    </row>
    <row r="193">
      <c r="A193" s="442" t="s">
        <v>265</v>
      </c>
      <c r="B193" s="304" t="s">
        <v>266</v>
      </c>
      <c r="C193" s="485">
        <v>28726.0</v>
      </c>
      <c r="D193" s="485">
        <v>33147.0</v>
      </c>
      <c r="E193" s="486">
        <f t="shared" ref="E193:E197" si="109">D193-C193</f>
        <v>4421</v>
      </c>
      <c r="F193" s="487">
        <f t="shared" ref="F193:F197" si="110">D193/C193-1</f>
        <v>0.1539023881</v>
      </c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</row>
    <row r="194">
      <c r="A194" s="442" t="s">
        <v>267</v>
      </c>
      <c r="B194" s="304" t="s">
        <v>268</v>
      </c>
      <c r="C194" s="485">
        <v>3586.0</v>
      </c>
      <c r="D194" s="485">
        <v>3840.0</v>
      </c>
      <c r="E194" s="486">
        <f t="shared" si="109"/>
        <v>254</v>
      </c>
      <c r="F194" s="487">
        <f t="shared" si="110"/>
        <v>0.07083100948</v>
      </c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244"/>
      <c r="S194" s="244"/>
      <c r="T194" s="244"/>
      <c r="U194" s="244"/>
      <c r="V194" s="244"/>
      <c r="W194" s="244"/>
      <c r="X194" s="244"/>
      <c r="Y194" s="244"/>
      <c r="Z194" s="244"/>
    </row>
    <row r="195">
      <c r="A195" s="442" t="s">
        <v>269</v>
      </c>
      <c r="B195" s="304" t="s">
        <v>270</v>
      </c>
      <c r="C195" s="485">
        <v>10576.0</v>
      </c>
      <c r="D195" s="485">
        <v>10466.0</v>
      </c>
      <c r="E195" s="486">
        <f t="shared" si="109"/>
        <v>-110</v>
      </c>
      <c r="F195" s="487">
        <f t="shared" si="110"/>
        <v>-0.01040090772</v>
      </c>
      <c r="G195" s="244"/>
      <c r="H195" s="488"/>
      <c r="I195" s="244"/>
      <c r="J195" s="489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</row>
    <row r="196">
      <c r="A196" s="442" t="s">
        <v>271</v>
      </c>
      <c r="B196" s="304" t="s">
        <v>272</v>
      </c>
      <c r="C196" s="485">
        <v>1665.0</v>
      </c>
      <c r="D196" s="485">
        <v>1761.0</v>
      </c>
      <c r="E196" s="486">
        <f t="shared" si="109"/>
        <v>96</v>
      </c>
      <c r="F196" s="487">
        <f t="shared" si="110"/>
        <v>0.05765765766</v>
      </c>
      <c r="G196" s="244"/>
      <c r="H196" s="244"/>
      <c r="I196" s="244"/>
      <c r="J196" s="489"/>
      <c r="K196" s="244"/>
      <c r="L196" s="489"/>
      <c r="M196" s="244"/>
      <c r="N196" s="244"/>
      <c r="O196" s="244"/>
      <c r="P196" s="244"/>
      <c r="Q196" s="244"/>
      <c r="R196" s="244"/>
      <c r="S196" s="244"/>
      <c r="T196" s="244"/>
      <c r="U196" s="244"/>
      <c r="V196" s="244"/>
      <c r="W196" s="244"/>
      <c r="X196" s="244"/>
      <c r="Y196" s="244"/>
      <c r="Z196" s="244"/>
    </row>
    <row r="197">
      <c r="A197" s="442" t="s">
        <v>273</v>
      </c>
      <c r="B197" s="304" t="s">
        <v>274</v>
      </c>
      <c r="C197" s="485">
        <v>13472.0</v>
      </c>
      <c r="D197" s="485">
        <v>15184.0</v>
      </c>
      <c r="E197" s="486">
        <f t="shared" si="109"/>
        <v>1712</v>
      </c>
      <c r="F197" s="487">
        <f t="shared" si="110"/>
        <v>0.1270783848</v>
      </c>
      <c r="G197" s="244"/>
      <c r="H197" s="244"/>
      <c r="I197" s="244"/>
      <c r="J197" s="489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44"/>
      <c r="V197" s="244"/>
      <c r="W197" s="244"/>
      <c r="X197" s="244"/>
      <c r="Y197" s="244"/>
      <c r="Z197" s="244"/>
    </row>
  </sheetData>
  <drawing r:id="rId1"/>
</worksheet>
</file>