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Holdings Q1 2025" sheetId="1" r:id="rId3"/>
  </sheets>
  <definedNames/>
  <calcPr/>
</workbook>
</file>

<file path=xl/sharedStrings.xml><?xml version="1.0" encoding="utf-8"?>
<sst xmlns="http://schemas.openxmlformats.org/spreadsheetml/2006/main" count="408" uniqueCount="201">
  <si>
    <t>AWP Stocks/ETFs (non-GSM)</t>
  </si>
  <si>
    <t>Diverse Technology</t>
  </si>
  <si>
    <t>% of portfolio assets</t>
  </si>
  <si>
    <t>Company</t>
  </si>
  <si>
    <t>Ticker</t>
  </si>
  <si>
    <t>TT Score</t>
  </si>
  <si>
    <t>Shares</t>
  </si>
  <si>
    <t>Starting position + adds</t>
  </si>
  <si>
    <t>Current position + adds/sales</t>
  </si>
  <si>
    <t xml:space="preserve">Price at start/add </t>
  </si>
  <si>
    <t>Day Chng %</t>
  </si>
  <si>
    <t>Current price</t>
  </si>
  <si>
    <t>Sale price/strike price</t>
  </si>
  <si>
    <t>Price change</t>
  </si>
  <si>
    <t xml:space="preserve">% Gain/loss </t>
  </si>
  <si>
    <t>Gain/Loss</t>
  </si>
  <si>
    <t>Div Yield</t>
  </si>
  <si>
    <t>Div Income</t>
  </si>
  <si>
    <t>Active CCD Info</t>
  </si>
  <si>
    <t>CCD Income</t>
  </si>
  <si>
    <t>Active collar/put info</t>
  </si>
  <si>
    <t>Sales in quarter</t>
  </si>
  <si>
    <t>Sell date</t>
  </si>
  <si>
    <t xml:space="preserve">Sale price </t>
  </si>
  <si>
    <t xml:space="preserve">Position size </t>
  </si>
  <si>
    <t>Adds in quarter</t>
  </si>
  <si>
    <t>Date added</t>
  </si>
  <si>
    <t>Buy in price</t>
  </si>
  <si>
    <t>Position size</t>
  </si>
  <si>
    <t>% of total assets</t>
  </si>
  <si>
    <t xml:space="preserve">Google </t>
  </si>
  <si>
    <t>GOOG</t>
  </si>
  <si>
    <t xml:space="preserve">Baidu </t>
  </si>
  <si>
    <t xml:space="preserve">BIDU </t>
  </si>
  <si>
    <t>Tesla *</t>
  </si>
  <si>
    <t>TSLA</t>
  </si>
  <si>
    <t>AMD *</t>
  </si>
  <si>
    <t>AMD</t>
  </si>
  <si>
    <t>Amazon *</t>
  </si>
  <si>
    <t>AMZN</t>
  </si>
  <si>
    <t>Palantir *</t>
  </si>
  <si>
    <t>PLTR</t>
  </si>
  <si>
    <t>100% - 1/17/24, $72.50, $3.40P</t>
  </si>
  <si>
    <t>Nvidia *</t>
  </si>
  <si>
    <t xml:space="preserve">NVDA </t>
  </si>
  <si>
    <t xml:space="preserve">Meta Platforms </t>
  </si>
  <si>
    <t>META</t>
  </si>
  <si>
    <t>Dell *</t>
  </si>
  <si>
    <t>DELL</t>
  </si>
  <si>
    <t>Salesforce *</t>
  </si>
  <si>
    <t>CRM</t>
  </si>
  <si>
    <t>Zscaler</t>
  </si>
  <si>
    <t>ZS</t>
  </si>
  <si>
    <t>OKTA</t>
  </si>
  <si>
    <t>Qualcomm *</t>
  </si>
  <si>
    <t>QCOM</t>
  </si>
  <si>
    <t>ASML Holdings</t>
  </si>
  <si>
    <t>ASML</t>
  </si>
  <si>
    <t>SentinelOne</t>
  </si>
  <si>
    <t>S</t>
  </si>
  <si>
    <t xml:space="preserve">Snap Inc. </t>
  </si>
  <si>
    <t>SNAP</t>
  </si>
  <si>
    <t>Total</t>
  </si>
  <si>
    <t>Oil</t>
  </si>
  <si>
    <t>Collar play/put</t>
  </si>
  <si>
    <t>Devon</t>
  </si>
  <si>
    <t>DVN</t>
  </si>
  <si>
    <t>Schlumberger</t>
  </si>
  <si>
    <t>SLB</t>
  </si>
  <si>
    <t>Hess Corp.</t>
  </si>
  <si>
    <t>HES</t>
  </si>
  <si>
    <t>Biotech/Pharma</t>
  </si>
  <si>
    <t>Regeneron</t>
  </si>
  <si>
    <t>REGN</t>
  </si>
  <si>
    <t xml:space="preserve">Amgen </t>
  </si>
  <si>
    <t>AMGN</t>
  </si>
  <si>
    <t>Pfizer</t>
  </si>
  <si>
    <t>PFE</t>
  </si>
  <si>
    <t xml:space="preserve">UnitedHealth </t>
  </si>
  <si>
    <t>UNH</t>
  </si>
  <si>
    <t xml:space="preserve">Total </t>
  </si>
  <si>
    <t xml:space="preserve">Defense </t>
  </si>
  <si>
    <t xml:space="preserve">General Dynamics </t>
  </si>
  <si>
    <t>GD</t>
  </si>
  <si>
    <t>Lockheed Martin</t>
  </si>
  <si>
    <t>LMT</t>
  </si>
  <si>
    <t xml:space="preserve">Northrop Grumman </t>
  </si>
  <si>
    <t>NOC</t>
  </si>
  <si>
    <t xml:space="preserve">L3 Harris </t>
  </si>
  <si>
    <t>LHX</t>
  </si>
  <si>
    <t xml:space="preserve">Industrials/Materials </t>
  </si>
  <si>
    <t xml:space="preserve">Mosaic </t>
  </si>
  <si>
    <t>MOS</t>
  </si>
  <si>
    <t xml:space="preserve">Intrepid Potash </t>
  </si>
  <si>
    <t>IPI</t>
  </si>
  <si>
    <t xml:space="preserve">Cameco </t>
  </si>
  <si>
    <t>CCJ</t>
  </si>
  <si>
    <t xml:space="preserve">Oklo </t>
  </si>
  <si>
    <t>OKLO</t>
  </si>
  <si>
    <t xml:space="preserve">Constellation </t>
  </si>
  <si>
    <t>CEG</t>
  </si>
  <si>
    <t xml:space="preserve">Lithium Americas </t>
  </si>
  <si>
    <t>LAC</t>
  </si>
  <si>
    <t xml:space="preserve">Albemarle </t>
  </si>
  <si>
    <t>ALB</t>
  </si>
  <si>
    <t>GSMs (gold, silver, miners)</t>
  </si>
  <si>
    <t>Company/Asset</t>
  </si>
  <si>
    <t>Physical Gold</t>
  </si>
  <si>
    <t>Gold</t>
  </si>
  <si>
    <t>Total physical GSM</t>
  </si>
  <si>
    <t>Physical Silver</t>
  </si>
  <si>
    <t>Silver</t>
  </si>
  <si>
    <t xml:space="preserve">Physical GSM % of portfolio </t>
  </si>
  <si>
    <t xml:space="preserve">Gold miner ETF </t>
  </si>
  <si>
    <t>GDX</t>
  </si>
  <si>
    <t>Total non-physical GSM</t>
  </si>
  <si>
    <t>Junior Gold miner ETF</t>
  </si>
  <si>
    <t>GDXJ</t>
  </si>
  <si>
    <t>Non-physical GSM %</t>
  </si>
  <si>
    <t>Agnico Eagle Mines *</t>
  </si>
  <si>
    <t>AEM</t>
  </si>
  <si>
    <t>Newmont *</t>
  </si>
  <si>
    <t>NEM</t>
  </si>
  <si>
    <t xml:space="preserve">Barrick Gold </t>
  </si>
  <si>
    <t>GOLD</t>
  </si>
  <si>
    <t xml:space="preserve">Pan American Silver </t>
  </si>
  <si>
    <t>PAAS</t>
  </si>
  <si>
    <t xml:space="preserve">Hecla Mining </t>
  </si>
  <si>
    <t>HL</t>
  </si>
  <si>
    <t>B2Gold</t>
  </si>
  <si>
    <t>BTG</t>
  </si>
  <si>
    <t>Gold/silver mining ETF</t>
  </si>
  <si>
    <t>SLVP</t>
  </si>
  <si>
    <t xml:space="preserve">Digital Asset Basket </t>
  </si>
  <si>
    <t>Coin</t>
  </si>
  <si>
    <t>Coin/stock</t>
  </si>
  <si>
    <t>N/A</t>
  </si>
  <si>
    <t xml:space="preserve">Bitcoin </t>
  </si>
  <si>
    <t>BTCUSD</t>
  </si>
  <si>
    <t xml:space="preserve">Ethereum </t>
  </si>
  <si>
    <t>ETHUSD</t>
  </si>
  <si>
    <t xml:space="preserve">Total Assets </t>
  </si>
  <si>
    <t>Position %</t>
  </si>
  <si>
    <t>Starting position w adds</t>
  </si>
  <si>
    <t xml:space="preserve">Starting position </t>
  </si>
  <si>
    <t>Current position w adds/sales</t>
  </si>
  <si>
    <t xml:space="preserve">Gain/loss </t>
  </si>
  <si>
    <t>Covered call dividends/CCD</t>
  </si>
  <si>
    <t>Dividends/D</t>
  </si>
  <si>
    <t>Collar/Put options</t>
  </si>
  <si>
    <t>Stock/ETF gain w/CCD/D/P</t>
  </si>
  <si>
    <t xml:space="preserve">Diversified Tech Segment </t>
  </si>
  <si>
    <t>"Other" Stock Segments</t>
  </si>
  <si>
    <t>Gold/Silver/Miners (GSMs)</t>
  </si>
  <si>
    <t>Cryptocurrency Basket</t>
  </si>
  <si>
    <t>Cash/Money Market</t>
  </si>
  <si>
    <t>AWP at the start of 2025</t>
  </si>
  <si>
    <t xml:space="preserve">AWP Current Total </t>
  </si>
  <si>
    <t xml:space="preserve">YTD Profit/Loss </t>
  </si>
  <si>
    <t>2025 YTD Return</t>
  </si>
  <si>
    <t xml:space="preserve">Total   </t>
  </si>
  <si>
    <t>Core positions are marked with an *</t>
  </si>
  <si>
    <t xml:space="preserve">Major Averages </t>
  </si>
  <si>
    <t>Start Q1 2025</t>
  </si>
  <si>
    <t xml:space="preserve">Current </t>
  </si>
  <si>
    <t>QTD Gain/Loss</t>
  </si>
  <si>
    <t>Change QTD</t>
  </si>
  <si>
    <t>CCD Table - Shares</t>
  </si>
  <si>
    <t>Stock</t>
  </si>
  <si>
    <t>CCD date</t>
  </si>
  <si>
    <t>Expiration date</t>
  </si>
  <si>
    <t>Strike price</t>
  </si>
  <si>
    <t>Option premium</t>
  </si>
  <si>
    <t>Total premium</t>
  </si>
  <si>
    <t>Close date</t>
  </si>
  <si>
    <t>Close premium</t>
  </si>
  <si>
    <t>Profit/loss</t>
  </si>
  <si>
    <t>Collar/Put Table</t>
  </si>
  <si>
    <t>Collar/Put date</t>
  </si>
  <si>
    <t xml:space="preserve">Dow Jones </t>
  </si>
  <si>
    <t>.DJI</t>
  </si>
  <si>
    <t>S&amp;P 500</t>
  </si>
  <si>
    <t>.INX</t>
  </si>
  <si>
    <t>Nasdaq</t>
  </si>
  <si>
    <t>.IXIC</t>
  </si>
  <si>
    <t>Russell 2000</t>
  </si>
  <si>
    <t>RUT</t>
  </si>
  <si>
    <t>NYSE Composite</t>
  </si>
  <si>
    <t>NYA</t>
  </si>
  <si>
    <t>Start 2025</t>
  </si>
  <si>
    <t>YTD Gain/Loss</t>
  </si>
  <si>
    <t>Change YTD</t>
  </si>
  <si>
    <t xml:space="preserve">The All-Weather Portfolio </t>
  </si>
  <si>
    <t>https://rc.seekingalpha.com/group/All-Weather-Portfolio-Updates</t>
  </si>
  <si>
    <t>The Financial Prophet</t>
  </si>
  <si>
    <t>https://rc.seekingalpha.com/group/the-financial-prophet</t>
  </si>
  <si>
    <t>Ask The Prophet</t>
  </si>
  <si>
    <t>https://rc.seekingalpha.com/group/Ask-The-Prophet</t>
  </si>
  <si>
    <t xml:space="preserve">The Prophet's ETF Portfolio </t>
  </si>
  <si>
    <t>https://seekingalpha.com/mp/1129-the-financial-prophet/articles/5986827-the-all-weather-etf-portfolio-embedded</t>
  </si>
  <si>
    <t xml:space="preserve">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</si>
</sst>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[Green]▲ 0.00;[Red]▼ -0.00"/>
    <numFmt numFmtId="167" formatCode="[Green]▲ 0.00%;[Red]▼ -0.00%"/>
    <numFmt numFmtId="168" formatCode="m/d/yy"/>
  </numFmts>
  <fonts count="13">
    <font>
      <sz val="10.0"/>
      <color rgb="FF000000"/>
      <name val="Arial"/>
    </font>
    <font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color rgb="FFFF0000"/>
      <name val="Arial"/>
    </font>
    <font>
      <b/>
      <color rgb="FF222222"/>
      <name val="Arial"/>
    </font>
    <font>
      <color rgb="FF222222"/>
      <name val="Arial"/>
    </font>
    <font>
      <color rgb="FF00FF00"/>
      <name val="Arial"/>
    </font>
    <font>
      <b/>
      <color rgb="FF1F1F1F"/>
      <name val="Google Sans"/>
    </font>
    <font>
      <sz val="10.0"/>
      <name val="Arial"/>
    </font>
    <font>
      <b/>
      <sz val="11.0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3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164" xfId="0" applyAlignment="1" applyBorder="1" applyFont="1" applyNumberFormat="1">
      <alignment vertical="bottom"/>
    </xf>
    <xf borderId="4" fillId="3" fontId="3" numFmtId="0" xfId="0" applyAlignment="1" applyBorder="1" applyFont="1">
      <alignment vertical="bottom"/>
    </xf>
    <xf borderId="4" fillId="3" fontId="2" numFmtId="165" xfId="0" applyAlignment="1" applyBorder="1" applyFont="1" applyNumberFormat="1">
      <alignment vertical="bottom"/>
    </xf>
    <xf borderId="4" fillId="3" fontId="2" numFmtId="164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4" fillId="0" fontId="1" numFmtId="10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1" numFmtId="3" xfId="0" applyAlignment="1" applyBorder="1" applyFont="1" applyNumberFormat="1">
      <alignment horizontal="right" vertical="bottom"/>
    </xf>
    <xf borderId="4" fillId="0" fontId="1" numFmtId="165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horizontal="right" readingOrder="0" vertical="bottom"/>
    </xf>
    <xf borderId="4" fillId="4" fontId="1" numFmtId="166" xfId="0" applyAlignment="1" applyBorder="1" applyFill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4" fillId="4" fontId="1" numFmtId="167" xfId="0" applyAlignment="1" applyBorder="1" applyFont="1" applyNumberFormat="1">
      <alignment horizontal="right" vertical="bottom"/>
    </xf>
    <xf borderId="4" fillId="5" fontId="1" numFmtId="164" xfId="0" applyAlignment="1" applyBorder="1" applyFill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1" numFmtId="168" xfId="0" applyAlignment="1" applyBorder="1" applyFont="1" applyNumberFormat="1">
      <alignment vertical="bottom"/>
    </xf>
    <xf borderId="1" fillId="2" fontId="3" numFmtId="10" xfId="0" applyAlignment="1" applyBorder="1" applyFont="1" applyNumberFormat="1">
      <alignment horizontal="right" vertical="bottom"/>
    </xf>
    <xf borderId="4" fillId="0" fontId="1" numFmtId="10" xfId="0" applyAlignment="1" applyBorder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4" fillId="0" fontId="1" numFmtId="3" xfId="0" applyAlignment="1" applyBorder="1" applyFont="1" applyNumberFormat="1">
      <alignment horizontal="right" readingOrder="0" vertical="bottom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horizontal="right" vertical="bottom"/>
    </xf>
    <xf borderId="4" fillId="5" fontId="1" numFmtId="0" xfId="0" applyAlignment="1" applyBorder="1" applyFont="1">
      <alignment vertical="bottom"/>
    </xf>
    <xf borderId="4" fillId="5" fontId="2" numFmtId="0" xfId="0" applyAlignment="1" applyBorder="1" applyFont="1">
      <alignment readingOrder="0" vertical="bottom"/>
    </xf>
    <xf borderId="4" fillId="0" fontId="1" numFmtId="165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vertical="bottom"/>
    </xf>
    <xf borderId="4" fillId="5" fontId="2" numFmtId="0" xfId="0" applyAlignment="1" applyBorder="1" applyFont="1">
      <alignment horizontal="right" readingOrder="0" vertical="bottom"/>
    </xf>
    <xf borderId="4" fillId="0" fontId="1" numFmtId="168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right" readingOrder="0" vertical="bottom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horizontal="right" vertical="bottom"/>
    </xf>
    <xf borderId="4" fillId="3" fontId="3" numFmtId="165" xfId="0" applyAlignment="1" applyBorder="1" applyFont="1" applyNumberFormat="1">
      <alignment horizontal="right" vertical="bottom"/>
    </xf>
    <xf borderId="4" fillId="3" fontId="1" numFmtId="164" xfId="0" applyAlignment="1" applyBorder="1" applyFont="1" applyNumberFormat="1">
      <alignment vertical="bottom"/>
    </xf>
    <xf borderId="4" fillId="3" fontId="3" numFmtId="10" xfId="0" applyAlignment="1" applyBorder="1" applyFont="1" applyNumberFormat="1">
      <alignment horizontal="right" vertical="bottom"/>
    </xf>
    <xf borderId="4" fillId="3" fontId="1" numFmtId="10" xfId="0" applyAlignment="1" applyBorder="1" applyFont="1" applyNumberFormat="1">
      <alignment vertical="bottom"/>
    </xf>
    <xf borderId="3" fillId="2" fontId="2" numFmtId="0" xfId="0" applyAlignment="1" applyBorder="1" applyFont="1">
      <alignment vertical="bottom"/>
    </xf>
    <xf borderId="4" fillId="2" fontId="2" numFmtId="10" xfId="0" applyAlignment="1" applyBorder="1" applyFont="1" applyNumberFormat="1">
      <alignment horizontal="right" vertical="bottom"/>
    </xf>
    <xf borderId="4" fillId="5" fontId="1" numFmtId="10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4" fillId="5" fontId="1" numFmtId="3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4" numFmtId="164" xfId="0" applyAlignment="1" applyBorder="1" applyFont="1" applyNumberFormat="1">
      <alignment horizontal="right" vertical="bottom"/>
    </xf>
    <xf borderId="3" fillId="5" fontId="1" numFmtId="0" xfId="0" applyAlignment="1" applyBorder="1" applyFont="1">
      <alignment vertical="bottom"/>
    </xf>
    <xf borderId="4" fillId="5" fontId="1" numFmtId="165" xfId="0" applyAlignment="1" applyBorder="1" applyFont="1" applyNumberFormat="1">
      <alignment vertical="bottom"/>
    </xf>
    <xf borderId="4" fillId="5" fontId="1" numFmtId="168" xfId="0" applyAlignment="1" applyBorder="1" applyFont="1" applyNumberFormat="1">
      <alignment vertical="bottom"/>
    </xf>
    <xf borderId="4" fillId="5" fontId="1" numFmtId="165" xfId="0" applyAlignment="1" applyBorder="1" applyFont="1" applyNumberFormat="1">
      <alignment horizontal="right" vertical="bottom"/>
    </xf>
    <xf borderId="4" fillId="3" fontId="1" numFmtId="3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vertical="bottom"/>
    </xf>
    <xf borderId="4" fillId="3" fontId="2" numFmtId="10" xfId="0" applyAlignment="1" applyBorder="1" applyFont="1" applyNumberFormat="1">
      <alignment horizontal="right" vertical="bottom"/>
    </xf>
    <xf borderId="4" fillId="3" fontId="2" numFmtId="165" xfId="0" applyAlignment="1" applyBorder="1" applyFont="1" applyNumberFormat="1">
      <alignment readingOrder="0" vertical="bottom"/>
    </xf>
    <xf borderId="4" fillId="3" fontId="2" numFmtId="164" xfId="0" applyAlignment="1" applyBorder="1" applyFont="1" applyNumberFormat="1">
      <alignment horizontal="right" vertical="bottom"/>
    </xf>
    <xf borderId="4" fillId="5" fontId="1" numFmtId="3" xfId="0" applyAlignment="1" applyBorder="1" applyFont="1" applyNumberFormat="1">
      <alignment horizontal="right" vertical="bottom"/>
    </xf>
    <xf borderId="4" fillId="5" fontId="4" numFmtId="165" xfId="0" applyAlignment="1" applyBorder="1" applyFont="1" applyNumberFormat="1">
      <alignment horizontal="right" vertical="bottom"/>
    </xf>
    <xf borderId="4" fillId="5" fontId="4" numFmtId="164" xfId="0" applyAlignment="1" applyBorder="1" applyFont="1" applyNumberFormat="1">
      <alignment horizontal="right" readingOrder="0" vertical="bottom"/>
    </xf>
    <xf borderId="4" fillId="5" fontId="1" numFmtId="164" xfId="0" applyAlignment="1" applyBorder="1" applyFont="1" applyNumberFormat="1">
      <alignment vertical="bottom"/>
    </xf>
    <xf borderId="4" fillId="5" fontId="1" numFmtId="168" xfId="0" applyAlignment="1" applyBorder="1" applyFont="1" applyNumberFormat="1">
      <alignment horizontal="right" vertical="bottom"/>
    </xf>
    <xf borderId="4" fillId="5" fontId="4" numFmtId="164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2" fillId="2" fontId="2" numFmtId="10" xfId="0" applyAlignment="1" applyBorder="1" applyFont="1" applyNumberFormat="1">
      <alignment horizontal="right" vertical="bottom"/>
    </xf>
    <xf borderId="4" fillId="5" fontId="3" numFmtId="0" xfId="0" applyAlignment="1" applyBorder="1" applyFont="1">
      <alignment vertical="bottom"/>
    </xf>
    <xf borderId="4" fillId="0" fontId="4" numFmtId="165" xfId="0" applyAlignment="1" applyBorder="1" applyFont="1" applyNumberFormat="1">
      <alignment horizontal="right" vertical="bottom"/>
    </xf>
    <xf borderId="4" fillId="4" fontId="1" numFmtId="0" xfId="0" applyAlignment="1" applyBorder="1" applyFont="1">
      <alignment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1" numFmtId="164" xfId="0" applyAlignment="1" applyBorder="1" applyFont="1" applyNumberFormat="1">
      <alignment vertical="bottom"/>
    </xf>
    <xf borderId="4" fillId="0" fontId="1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right" vertical="bottom"/>
    </xf>
    <xf borderId="4" fillId="0" fontId="4" numFmtId="164" xfId="0" applyAlignment="1" applyBorder="1" applyFont="1" applyNumberFormat="1">
      <alignment horizontal="right" readingOrder="0" vertical="bottom"/>
    </xf>
    <xf borderId="4" fillId="0" fontId="2" numFmtId="10" xfId="0" applyAlignment="1" applyBorder="1" applyFont="1" applyNumberFormat="1">
      <alignment horizontal="right" vertical="bottom"/>
    </xf>
    <xf borderId="4" fillId="4" fontId="5" numFmtId="166" xfId="0" applyAlignment="1" applyBorder="1" applyFont="1" applyNumberFormat="1">
      <alignment horizontal="right" vertical="bottom"/>
    </xf>
    <xf borderId="4" fillId="5" fontId="6" numFmtId="0" xfId="0" applyAlignment="1" applyBorder="1" applyFont="1">
      <alignment vertical="bottom"/>
    </xf>
    <xf borderId="4" fillId="4" fontId="1" numFmtId="166" xfId="0" applyAlignment="1" applyBorder="1" applyFont="1" applyNumberFormat="1">
      <alignment vertical="bottom"/>
    </xf>
    <xf borderId="1" fillId="0" fontId="4" numFmtId="165" xfId="0" applyAlignment="1" applyBorder="1" applyFont="1" applyNumberFormat="1">
      <alignment horizontal="right" readingOrder="0" vertical="bottom"/>
    </xf>
    <xf borderId="4" fillId="0" fontId="7" numFmtId="164" xfId="0" applyAlignment="1" applyBorder="1" applyFont="1" applyNumberFormat="1">
      <alignment horizontal="right" vertical="bottom"/>
    </xf>
    <xf borderId="4" fillId="4" fontId="8" numFmtId="167" xfId="0" applyAlignment="1" applyBorder="1" applyFont="1" applyNumberFormat="1">
      <alignment horizontal="right" vertical="bottom"/>
    </xf>
    <xf borderId="4" fillId="0" fontId="7" numFmtId="16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3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4" fillId="2" fontId="2" numFmtId="165" xfId="0" applyAlignment="1" applyBorder="1" applyFont="1" applyNumberFormat="1">
      <alignment horizontal="right" vertical="bottom"/>
    </xf>
    <xf borderId="1" fillId="5" fontId="9" numFmtId="0" xfId="0" applyAlignment="1" applyBorder="1" applyFont="1">
      <alignment vertical="bottom"/>
    </xf>
    <xf borderId="4" fillId="4" fontId="1" numFmtId="167" xfId="0" applyAlignment="1" applyBorder="1" applyFont="1" applyNumberFormat="1">
      <alignment vertical="bottom"/>
    </xf>
    <xf borderId="0" fillId="4" fontId="8" numFmtId="167" xfId="0" applyAlignment="1" applyFont="1" applyNumberFormat="1">
      <alignment horizontal="right" vertical="bottom"/>
    </xf>
    <xf borderId="4" fillId="2" fontId="1" numFmtId="167" xfId="0" applyAlignment="1" applyBorder="1" applyFont="1" applyNumberFormat="1">
      <alignment vertical="bottom"/>
    </xf>
    <xf borderId="4" fillId="2" fontId="1" numFmtId="165" xfId="0" applyAlignment="1" applyBorder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4" fillId="0" fontId="10" numFmtId="165" xfId="0" applyAlignment="1" applyBorder="1" applyFont="1" applyNumberFormat="1">
      <alignment horizontal="right" readingOrder="0" vertical="bottom"/>
    </xf>
    <xf borderId="4" fillId="5" fontId="1" numFmtId="0" xfId="0" applyAlignment="1" applyBorder="1" applyFont="1">
      <alignment horizontal="right" vertical="bottom"/>
    </xf>
    <xf borderId="4" fillId="2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vertical="bottom"/>
    </xf>
    <xf borderId="4" fillId="3" fontId="2" numFmtId="165" xfId="0" applyAlignment="1" applyBorder="1" applyFont="1" applyNumberFormat="1">
      <alignment horizontal="right" readingOrder="0" vertical="bottom"/>
    </xf>
    <xf borderId="1" fillId="3" fontId="2" numFmtId="165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3" fillId="6" fontId="2" numFmtId="0" xfId="0" applyAlignment="1" applyBorder="1" applyFill="1" applyFont="1">
      <alignment vertical="bottom"/>
    </xf>
    <xf borderId="4" fillId="6" fontId="1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4" fillId="0" fontId="3" numFmtId="3" xfId="0" applyAlignment="1" applyBorder="1" applyFont="1" applyNumberFormat="1">
      <alignment horizontal="right" readingOrder="0" vertical="bottom"/>
    </xf>
    <xf borderId="4" fillId="0" fontId="3" numFmtId="3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4" fillId="4" fontId="2" numFmtId="167" xfId="0" applyAlignment="1" applyBorder="1" applyFont="1" applyNumberFormat="1">
      <alignment horizontal="right" vertical="bottom"/>
    </xf>
    <xf borderId="7" fillId="5" fontId="1" numFmtId="166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  <xf borderId="1" fillId="2" fontId="2" numFmtId="3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vertical="bottom"/>
    </xf>
    <xf borderId="1" fillId="5" fontId="1" numFmtId="168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1" fillId="5" fontId="1" numFmtId="165" xfId="0" applyAlignment="1" applyBorder="1" applyFont="1" applyNumberFormat="1">
      <alignment horizontal="right" vertical="bottom"/>
    </xf>
    <xf borderId="1" fillId="5" fontId="1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1" fillId="6" fontId="1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1" fillId="0" fontId="3" numFmtId="3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4" fontId="2" numFmtId="167" xfId="0" applyAlignment="1" applyBorder="1" applyFont="1" applyNumberFormat="1">
      <alignment horizontal="right" vertical="bottom"/>
    </xf>
    <xf borderId="1" fillId="5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3" fontId="2" numFmtId="165" xfId="0" applyAlignment="1" applyBorder="1" applyFont="1" applyNumberFormat="1">
      <alignment horizontal="right" vertical="bottom"/>
    </xf>
    <xf borderId="1" fillId="3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2" fontId="1" numFmtId="3" xfId="0" applyAlignment="1" applyBorder="1" applyFont="1" applyNumberFormat="1">
      <alignment vertical="bottom"/>
    </xf>
    <xf borderId="1" fillId="5" fontId="1" numFmtId="0" xfId="0" applyAlignment="1" applyBorder="1" applyFont="1">
      <alignment vertical="bottom"/>
    </xf>
    <xf borderId="1" fillId="5" fontId="1" numFmtId="165" xfId="0" applyAlignment="1" applyBorder="1" applyFont="1" applyNumberFormat="1">
      <alignment vertical="bottom"/>
    </xf>
    <xf borderId="1" fillId="5" fontId="1" numFmtId="168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1" fillId="5" fontId="1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3.38"/>
    <col customWidth="1" min="3" max="3" width="20.38"/>
    <col customWidth="1" min="4" max="4" width="19.13"/>
    <col customWidth="1" min="5" max="5" width="24.75"/>
    <col customWidth="1" min="8" max="8" width="23.25"/>
    <col customWidth="1" min="9" max="9" width="24.38"/>
    <col customWidth="1" min="10" max="10" width="15.38"/>
    <col customWidth="1" min="11" max="11" width="22.13"/>
    <col customWidth="1" min="12" max="12" width="11.5"/>
    <col customWidth="1" min="13" max="13" width="11.7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6.13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7" t="s">
        <v>13</v>
      </c>
      <c r="O2" s="4" t="s">
        <v>14</v>
      </c>
      <c r="P2" s="7" t="s">
        <v>15</v>
      </c>
      <c r="Q2" s="4" t="s">
        <v>16</v>
      </c>
      <c r="R2" s="8" t="s">
        <v>17</v>
      </c>
      <c r="S2" s="7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9" t="s">
        <v>23</v>
      </c>
      <c r="Y2" s="9" t="s">
        <v>24</v>
      </c>
      <c r="Z2" s="4" t="s">
        <v>25</v>
      </c>
      <c r="AA2" s="4" t="s">
        <v>26</v>
      </c>
      <c r="AB2" s="4" t="s">
        <v>27</v>
      </c>
      <c r="AC2" s="4" t="s">
        <v>28</v>
      </c>
    </row>
    <row r="3">
      <c r="A3" s="10" t="s">
        <v>29</v>
      </c>
      <c r="B3" s="10" t="s">
        <v>29</v>
      </c>
      <c r="C3" s="11">
        <f>I3/E69</f>
        <v>0.01322854484</v>
      </c>
      <c r="D3" s="12" t="s">
        <v>30</v>
      </c>
      <c r="E3" s="12" t="s">
        <v>31</v>
      </c>
      <c r="F3" s="13">
        <v>7.8</v>
      </c>
      <c r="G3" s="14">
        <v>2000.0</v>
      </c>
      <c r="H3" s="15">
        <f t="shared" ref="H3:H7" si="1">G3*J3</f>
        <v>380880</v>
      </c>
      <c r="I3" s="15">
        <f t="shared" ref="I3:I7" si="2">H3+P3</f>
        <v>380880</v>
      </c>
      <c r="J3" s="16">
        <v>190.44</v>
      </c>
      <c r="K3" s="17">
        <f>IFERROR(__xludf.DUMMYFUNCTION("GOOGLEFINANCE(E3,""changepct"")"),-1.17)</f>
        <v>-1.17</v>
      </c>
      <c r="L3" s="18">
        <f>IFERROR(__xludf.DUMMYFUNCTION("googlefinance(E3,""price"")"),190.44)</f>
        <v>190.44</v>
      </c>
      <c r="M3" s="19"/>
      <c r="N3" s="20">
        <f t="shared" ref="N3:N18" si="3">L3-J3</f>
        <v>0</v>
      </c>
      <c r="O3" s="21">
        <f t="shared" ref="O3:O7" si="4">L3/J3-1</f>
        <v>0</v>
      </c>
      <c r="P3" s="15">
        <f t="shared" ref="P3:P7" si="5">H3*O3</f>
        <v>0</v>
      </c>
      <c r="Q3" s="11">
        <v>0.0011</v>
      </c>
      <c r="R3" s="15"/>
      <c r="S3" s="22"/>
      <c r="T3" s="23"/>
      <c r="U3" s="23"/>
      <c r="V3" s="24"/>
      <c r="W3" s="25"/>
      <c r="X3" s="19"/>
      <c r="Y3" s="23"/>
      <c r="Z3" s="24"/>
      <c r="AA3" s="24"/>
      <c r="AB3" s="19"/>
      <c r="AC3" s="23"/>
    </row>
    <row r="4">
      <c r="A4" s="26">
        <f>(I19+I24+I45)/E69</f>
        <v>0.6996924957</v>
      </c>
      <c r="B4" s="26">
        <f>I19/E69</f>
        <v>0.5501798616</v>
      </c>
      <c r="C4" s="11">
        <f>I4/E69</f>
        <v>0.02635393703</v>
      </c>
      <c r="D4" s="12" t="s">
        <v>32</v>
      </c>
      <c r="E4" s="12" t="s">
        <v>33</v>
      </c>
      <c r="F4" s="13">
        <v>7.9</v>
      </c>
      <c r="G4" s="14">
        <v>9000.0</v>
      </c>
      <c r="H4" s="15">
        <f t="shared" si="1"/>
        <v>758790</v>
      </c>
      <c r="I4" s="15">
        <f t="shared" si="2"/>
        <v>758790</v>
      </c>
      <c r="J4" s="16">
        <v>84.31</v>
      </c>
      <c r="K4" s="17">
        <f>IFERROR(__xludf.DUMMYFUNCTION("GOOGLEFINANCE(E4,""changepct"")"),0.31)</f>
        <v>0.31</v>
      </c>
      <c r="L4" s="18">
        <f>IFERROR(__xludf.DUMMYFUNCTION("googlefinance(E4,""price"")"),84.31)</f>
        <v>84.31</v>
      </c>
      <c r="M4" s="19"/>
      <c r="N4" s="20">
        <f t="shared" si="3"/>
        <v>0</v>
      </c>
      <c r="O4" s="21">
        <f t="shared" si="4"/>
        <v>0</v>
      </c>
      <c r="P4" s="15">
        <f t="shared" si="5"/>
        <v>0</v>
      </c>
      <c r="Q4" s="27"/>
      <c r="R4" s="23"/>
      <c r="S4" s="28"/>
      <c r="T4" s="23"/>
      <c r="U4" s="23"/>
      <c r="V4" s="24"/>
      <c r="W4" s="25"/>
      <c r="X4" s="19"/>
      <c r="Y4" s="23"/>
      <c r="Z4" s="24"/>
      <c r="AA4" s="24"/>
      <c r="AB4" s="19"/>
      <c r="AC4" s="23"/>
    </row>
    <row r="5">
      <c r="A5" s="29"/>
      <c r="B5" s="24"/>
      <c r="C5" s="11">
        <f>I5/E69</f>
        <v>0.112207846</v>
      </c>
      <c r="D5" s="12" t="s">
        <v>34</v>
      </c>
      <c r="E5" s="12" t="s">
        <v>35</v>
      </c>
      <c r="F5" s="13">
        <v>8.1</v>
      </c>
      <c r="G5" s="30">
        <v>8000.0</v>
      </c>
      <c r="H5" s="15">
        <f t="shared" si="1"/>
        <v>3230720</v>
      </c>
      <c r="I5" s="15">
        <f t="shared" si="2"/>
        <v>3230720</v>
      </c>
      <c r="J5" s="16">
        <v>403.84</v>
      </c>
      <c r="K5" s="17">
        <f>IFERROR(__xludf.DUMMYFUNCTION("GOOGLEFINANCE(E5,""changepct"")"),-3.25)</f>
        <v>-3.25</v>
      </c>
      <c r="L5" s="18">
        <f>IFERROR(__xludf.DUMMYFUNCTION("googlefinance(E5,""price"")"),403.84)</f>
        <v>403.84</v>
      </c>
      <c r="M5" s="19"/>
      <c r="N5" s="20">
        <f t="shared" si="3"/>
        <v>0</v>
      </c>
      <c r="O5" s="21">
        <f t="shared" si="4"/>
        <v>0</v>
      </c>
      <c r="P5" s="15">
        <f t="shared" si="5"/>
        <v>0</v>
      </c>
      <c r="Q5" s="27"/>
      <c r="R5" s="23"/>
      <c r="S5" s="22"/>
      <c r="T5" s="15"/>
      <c r="U5" s="23"/>
      <c r="V5" s="24"/>
      <c r="W5" s="25"/>
      <c r="X5" s="19"/>
      <c r="Y5" s="23"/>
      <c r="Z5" s="24"/>
      <c r="AA5" s="25"/>
      <c r="AB5" s="19"/>
      <c r="AC5" s="23"/>
    </row>
    <row r="6">
      <c r="A6" s="29"/>
      <c r="B6" s="24"/>
      <c r="C6" s="11">
        <f>I6/E69</f>
        <v>0.1006853139</v>
      </c>
      <c r="D6" s="31" t="s">
        <v>36</v>
      </c>
      <c r="E6" s="31" t="s">
        <v>37</v>
      </c>
      <c r="F6" s="32">
        <v>8.2</v>
      </c>
      <c r="G6" s="30">
        <v>24000.0</v>
      </c>
      <c r="H6" s="15">
        <f t="shared" si="1"/>
        <v>2898960</v>
      </c>
      <c r="I6" s="15">
        <f t="shared" si="2"/>
        <v>2898960</v>
      </c>
      <c r="J6" s="16">
        <v>120.79</v>
      </c>
      <c r="K6" s="17">
        <f>IFERROR(__xludf.DUMMYFUNCTION("GOOGLEFINANCE(E6,""changepct"")"),-1.35)</f>
        <v>-1.35</v>
      </c>
      <c r="L6" s="18">
        <f>IFERROR(__xludf.DUMMYFUNCTION("googlefinance(E6,""price"")"),120.79)</f>
        <v>120.79</v>
      </c>
      <c r="M6" s="19"/>
      <c r="N6" s="20">
        <f t="shared" si="3"/>
        <v>0</v>
      </c>
      <c r="O6" s="21">
        <f t="shared" si="4"/>
        <v>0</v>
      </c>
      <c r="P6" s="15">
        <f t="shared" si="5"/>
        <v>0</v>
      </c>
      <c r="Q6" s="27"/>
      <c r="R6" s="23"/>
      <c r="S6" s="22"/>
      <c r="T6" s="23"/>
      <c r="U6" s="23"/>
      <c r="V6" s="24"/>
      <c r="W6" s="25"/>
      <c r="X6" s="19"/>
      <c r="Y6" s="23"/>
      <c r="Z6" s="33"/>
      <c r="AA6" s="25"/>
      <c r="AB6" s="19"/>
      <c r="AC6" s="23"/>
    </row>
    <row r="7">
      <c r="A7" s="29"/>
      <c r="B7" s="24"/>
      <c r="C7" s="11">
        <f>I7/E69</f>
        <v>0.01523950038</v>
      </c>
      <c r="D7" s="31" t="s">
        <v>38</v>
      </c>
      <c r="E7" s="31" t="s">
        <v>39</v>
      </c>
      <c r="F7" s="32">
        <v>7.9</v>
      </c>
      <c r="G7" s="14">
        <v>2000.0</v>
      </c>
      <c r="H7" s="15">
        <f t="shared" si="1"/>
        <v>438780</v>
      </c>
      <c r="I7" s="15">
        <f t="shared" si="2"/>
        <v>438780</v>
      </c>
      <c r="J7" s="16">
        <v>219.39</v>
      </c>
      <c r="K7" s="17">
        <f>IFERROR(__xludf.DUMMYFUNCTION("GOOGLEFINANCE(E7,""changepct"")"),-0.86)</f>
        <v>-0.86</v>
      </c>
      <c r="L7" s="18">
        <f>IFERROR(__xludf.DUMMYFUNCTION("googlefinance(E7,""price"")"),219.39)</f>
        <v>219.39</v>
      </c>
      <c r="M7" s="19"/>
      <c r="N7" s="20">
        <f t="shared" si="3"/>
        <v>0</v>
      </c>
      <c r="O7" s="21">
        <f t="shared" si="4"/>
        <v>0</v>
      </c>
      <c r="P7" s="15">
        <f t="shared" si="5"/>
        <v>0</v>
      </c>
      <c r="Q7" s="27"/>
      <c r="R7" s="23"/>
      <c r="S7" s="22"/>
      <c r="T7" s="23"/>
      <c r="U7" s="23"/>
      <c r="V7" s="24"/>
      <c r="W7" s="25"/>
      <c r="X7" s="19"/>
      <c r="Y7" s="23"/>
      <c r="Z7" s="33"/>
      <c r="AA7" s="25"/>
      <c r="AB7" s="19"/>
      <c r="AC7" s="23"/>
    </row>
    <row r="8">
      <c r="A8" s="29"/>
      <c r="B8" s="24"/>
      <c r="C8" s="11">
        <f>I8/E69</f>
        <v>0.02518035866</v>
      </c>
      <c r="D8" s="34" t="s">
        <v>40</v>
      </c>
      <c r="E8" s="31" t="s">
        <v>41</v>
      </c>
      <c r="F8" s="32">
        <v>7.7</v>
      </c>
      <c r="G8" s="14">
        <v>10000.0</v>
      </c>
      <c r="H8" s="35">
        <v>725000.0</v>
      </c>
      <c r="I8" s="35">
        <v>725000.0</v>
      </c>
      <c r="J8" s="16">
        <v>75.63</v>
      </c>
      <c r="K8" s="17">
        <f>IFERROR(__xludf.DUMMYFUNCTION("GOOGLEFINANCE(E8,""changepct"")"),-2.01)</f>
        <v>-2.01</v>
      </c>
      <c r="L8" s="18">
        <f>IFERROR(__xludf.DUMMYFUNCTION("googlefinance(E8,""price"")"),75.63)</f>
        <v>75.63</v>
      </c>
      <c r="M8" s="20">
        <v>72.5</v>
      </c>
      <c r="N8" s="20">
        <f t="shared" si="3"/>
        <v>0</v>
      </c>
      <c r="O8" s="21">
        <f>M8/J8-1</f>
        <v>-0.04138569351</v>
      </c>
      <c r="P8" s="35">
        <v>0.0</v>
      </c>
      <c r="Q8" s="27"/>
      <c r="R8" s="23"/>
      <c r="S8" s="36" t="s">
        <v>42</v>
      </c>
      <c r="T8" s="15"/>
      <c r="U8" s="23"/>
      <c r="V8" s="24"/>
      <c r="W8" s="25"/>
      <c r="X8" s="19"/>
      <c r="Y8" s="23"/>
      <c r="Z8" s="24"/>
      <c r="AA8" s="25"/>
      <c r="AB8" s="19"/>
      <c r="AC8" s="23"/>
    </row>
    <row r="9">
      <c r="A9" s="29"/>
      <c r="B9" s="24"/>
      <c r="C9" s="11">
        <f>I9/E69</f>
        <v>0.02798458233</v>
      </c>
      <c r="D9" s="31" t="s">
        <v>43</v>
      </c>
      <c r="E9" s="31" t="s">
        <v>44</v>
      </c>
      <c r="F9" s="32">
        <v>7.8</v>
      </c>
      <c r="G9" s="14">
        <v>6000.0</v>
      </c>
      <c r="H9" s="15">
        <f t="shared" ref="H9:H18" si="6">G9*J9</f>
        <v>805740</v>
      </c>
      <c r="I9" s="15">
        <f t="shared" ref="I9:I18" si="7">H9+P9</f>
        <v>805740</v>
      </c>
      <c r="J9" s="16">
        <v>134.29</v>
      </c>
      <c r="K9" s="17">
        <f>IFERROR(__xludf.DUMMYFUNCTION("GOOGLEFINANCE(E9,""changepct"")"),-2.33)</f>
        <v>-2.33</v>
      </c>
      <c r="L9" s="18">
        <f>IFERROR(__xludf.DUMMYFUNCTION("googlefinance(E9,""price"")"),134.29)</f>
        <v>134.29</v>
      </c>
      <c r="M9" s="19"/>
      <c r="N9" s="20">
        <f t="shared" si="3"/>
        <v>0</v>
      </c>
      <c r="O9" s="21">
        <f t="shared" ref="O9:O18" si="8">L9/J9-1</f>
        <v>0</v>
      </c>
      <c r="P9" s="15">
        <f t="shared" ref="P9:P18" si="9">H9*O9</f>
        <v>0</v>
      </c>
      <c r="Q9" s="11">
        <v>3.0E-4</v>
      </c>
      <c r="R9" s="15"/>
      <c r="S9" s="19"/>
      <c r="T9" s="23"/>
      <c r="U9" s="23"/>
      <c r="V9" s="24"/>
      <c r="W9" s="25"/>
      <c r="X9" s="19"/>
      <c r="Y9" s="23"/>
      <c r="Z9" s="24"/>
      <c r="AA9" s="25"/>
      <c r="AB9" s="19"/>
      <c r="AC9" s="23"/>
    </row>
    <row r="10">
      <c r="A10" s="29"/>
      <c r="B10" s="24"/>
      <c r="C10" s="11">
        <f>I10/E69</f>
        <v>0.01016782883</v>
      </c>
      <c r="D10" s="31" t="s">
        <v>45</v>
      </c>
      <c r="E10" s="31" t="s">
        <v>46</v>
      </c>
      <c r="F10" s="32">
        <v>7.9</v>
      </c>
      <c r="G10" s="14">
        <v>500.0</v>
      </c>
      <c r="H10" s="15">
        <f t="shared" si="6"/>
        <v>292755</v>
      </c>
      <c r="I10" s="15">
        <f t="shared" si="7"/>
        <v>292755</v>
      </c>
      <c r="J10" s="16">
        <v>585.51</v>
      </c>
      <c r="K10" s="17">
        <f>IFERROR(__xludf.DUMMYFUNCTION("GOOGLEFINANCE(E10,""changepct"")"),-0.97)</f>
        <v>-0.97</v>
      </c>
      <c r="L10" s="18">
        <f>IFERROR(__xludf.DUMMYFUNCTION("googlefinance(E10,""price"")"),585.51)</f>
        <v>585.51</v>
      </c>
      <c r="M10" s="19"/>
      <c r="N10" s="20">
        <f t="shared" si="3"/>
        <v>0</v>
      </c>
      <c r="O10" s="21">
        <f t="shared" si="8"/>
        <v>0</v>
      </c>
      <c r="P10" s="15">
        <f t="shared" si="9"/>
        <v>0</v>
      </c>
      <c r="Q10" s="11">
        <v>0.0035</v>
      </c>
      <c r="R10" s="15"/>
      <c r="S10" s="19"/>
      <c r="T10" s="23"/>
      <c r="U10" s="23"/>
      <c r="V10" s="24"/>
      <c r="W10" s="25"/>
      <c r="X10" s="19"/>
      <c r="Y10" s="23"/>
      <c r="Z10" s="24"/>
      <c r="AA10" s="25"/>
      <c r="AB10" s="19"/>
      <c r="AC10" s="23"/>
    </row>
    <row r="11">
      <c r="A11" s="29"/>
      <c r="B11" s="24"/>
      <c r="C11" s="11">
        <f>I11/E69</f>
        <v>0.04002461423</v>
      </c>
      <c r="D11" s="31" t="s">
        <v>47</v>
      </c>
      <c r="E11" s="31" t="s">
        <v>48</v>
      </c>
      <c r="F11" s="32">
        <v>8.0</v>
      </c>
      <c r="G11" s="30">
        <v>10000.0</v>
      </c>
      <c r="H11" s="15">
        <f t="shared" si="6"/>
        <v>1152400</v>
      </c>
      <c r="I11" s="15">
        <f t="shared" si="7"/>
        <v>1152400</v>
      </c>
      <c r="J11" s="16">
        <v>115.24</v>
      </c>
      <c r="K11" s="17">
        <f>IFERROR(__xludf.DUMMYFUNCTION("GOOGLEFINANCE(E11,""changepct"")"),0.37)</f>
        <v>0.37</v>
      </c>
      <c r="L11" s="18">
        <f>IFERROR(__xludf.DUMMYFUNCTION("googlefinance(E11,""price"")"),115.24)</f>
        <v>115.24</v>
      </c>
      <c r="M11" s="19"/>
      <c r="N11" s="20">
        <f t="shared" si="3"/>
        <v>0</v>
      </c>
      <c r="O11" s="21">
        <f t="shared" si="8"/>
        <v>0</v>
      </c>
      <c r="P11" s="15">
        <f t="shared" si="9"/>
        <v>0</v>
      </c>
      <c r="Q11" s="11">
        <v>0.015</v>
      </c>
      <c r="R11" s="15"/>
      <c r="S11" s="19"/>
      <c r="T11" s="23"/>
      <c r="U11" s="23"/>
      <c r="V11" s="24"/>
      <c r="W11" s="25"/>
      <c r="X11" s="19"/>
      <c r="Y11" s="23"/>
      <c r="Z11" s="24"/>
      <c r="AA11" s="25"/>
      <c r="AB11" s="19"/>
      <c r="AC11" s="23"/>
    </row>
    <row r="12">
      <c r="A12" s="29"/>
      <c r="B12" s="24"/>
      <c r="C12" s="11">
        <f>I12/E69</f>
        <v>0.03251301803</v>
      </c>
      <c r="D12" s="34" t="s">
        <v>49</v>
      </c>
      <c r="E12" s="34" t="s">
        <v>50</v>
      </c>
      <c r="F12" s="37">
        <v>8.0</v>
      </c>
      <c r="G12" s="30">
        <v>2800.0</v>
      </c>
      <c r="H12" s="15">
        <f t="shared" si="6"/>
        <v>936124</v>
      </c>
      <c r="I12" s="15">
        <f t="shared" si="7"/>
        <v>936124</v>
      </c>
      <c r="J12" s="16">
        <v>334.33</v>
      </c>
      <c r="K12" s="17">
        <f>IFERROR(__xludf.DUMMYFUNCTION("GOOGLEFINANCE(E12,""changepct"")"),-0.42)</f>
        <v>-0.42</v>
      </c>
      <c r="L12" s="18">
        <f>IFERROR(__xludf.DUMMYFUNCTION("googlefinance(E12,""price"")"),334.33)</f>
        <v>334.33</v>
      </c>
      <c r="M12" s="20"/>
      <c r="N12" s="20">
        <f t="shared" si="3"/>
        <v>0</v>
      </c>
      <c r="O12" s="21">
        <f t="shared" si="8"/>
        <v>0</v>
      </c>
      <c r="P12" s="15">
        <f t="shared" si="9"/>
        <v>0</v>
      </c>
      <c r="Q12" s="11">
        <v>0.0043</v>
      </c>
      <c r="R12" s="23"/>
      <c r="S12" s="19"/>
      <c r="T12" s="23"/>
      <c r="U12" s="23"/>
      <c r="V12" s="12"/>
      <c r="W12" s="38"/>
      <c r="X12" s="20"/>
      <c r="Y12" s="15"/>
      <c r="Z12" s="24"/>
      <c r="AA12" s="25"/>
      <c r="AB12" s="19"/>
      <c r="AC12" s="23"/>
    </row>
    <row r="13">
      <c r="A13" s="29"/>
      <c r="B13" s="24"/>
      <c r="C13" s="11">
        <f>I13/E69</f>
        <v>0.009398872771</v>
      </c>
      <c r="D13" s="31" t="s">
        <v>51</v>
      </c>
      <c r="E13" s="31" t="s">
        <v>52</v>
      </c>
      <c r="F13" s="32">
        <v>7.7</v>
      </c>
      <c r="G13" s="30">
        <v>1500.0</v>
      </c>
      <c r="H13" s="15">
        <f t="shared" si="6"/>
        <v>270615</v>
      </c>
      <c r="I13" s="15">
        <f t="shared" si="7"/>
        <v>270615</v>
      </c>
      <c r="J13" s="16">
        <v>180.41</v>
      </c>
      <c r="K13" s="17">
        <f>IFERROR(__xludf.DUMMYFUNCTION("GOOGLEFINANCE(E13,""changepct"")"),-1.49)</f>
        <v>-1.49</v>
      </c>
      <c r="L13" s="18">
        <f>IFERROR(__xludf.DUMMYFUNCTION("googlefinance(E13,""price"")"),180.41)</f>
        <v>180.41</v>
      </c>
      <c r="M13" s="20"/>
      <c r="N13" s="20">
        <f t="shared" si="3"/>
        <v>0</v>
      </c>
      <c r="O13" s="21">
        <f t="shared" si="8"/>
        <v>0</v>
      </c>
      <c r="P13" s="15">
        <f t="shared" si="9"/>
        <v>0</v>
      </c>
      <c r="Q13" s="27"/>
      <c r="R13" s="23"/>
      <c r="S13" s="19"/>
      <c r="T13" s="23"/>
      <c r="U13" s="23"/>
      <c r="V13" s="12"/>
      <c r="W13" s="38"/>
      <c r="X13" s="20"/>
      <c r="Y13" s="15"/>
      <c r="Z13" s="12"/>
      <c r="AA13" s="38"/>
      <c r="AB13" s="20"/>
      <c r="AC13" s="15"/>
    </row>
    <row r="14">
      <c r="A14" s="29"/>
      <c r="B14" s="24"/>
      <c r="C14" s="11">
        <f>I14/E69</f>
        <v>0.0082105335</v>
      </c>
      <c r="D14" s="12" t="s">
        <v>53</v>
      </c>
      <c r="E14" s="12" t="s">
        <v>53</v>
      </c>
      <c r="F14" s="39">
        <v>7.8</v>
      </c>
      <c r="G14" s="30">
        <v>3000.0</v>
      </c>
      <c r="H14" s="15">
        <f t="shared" si="6"/>
        <v>236400</v>
      </c>
      <c r="I14" s="15">
        <f t="shared" si="7"/>
        <v>236400</v>
      </c>
      <c r="J14" s="16">
        <v>78.8</v>
      </c>
      <c r="K14" s="17">
        <f>IFERROR(__xludf.DUMMYFUNCTION("GOOGLEFINANCE(E14,""changepct"")"),-1.05)</f>
        <v>-1.05</v>
      </c>
      <c r="L14" s="18">
        <f>IFERROR(__xludf.DUMMYFUNCTION("googlefinance(E14,""price"")"),78.8)</f>
        <v>78.8</v>
      </c>
      <c r="M14" s="20"/>
      <c r="N14" s="20">
        <f t="shared" si="3"/>
        <v>0</v>
      </c>
      <c r="O14" s="21">
        <f t="shared" si="8"/>
        <v>0</v>
      </c>
      <c r="P14" s="15">
        <f t="shared" si="9"/>
        <v>0</v>
      </c>
      <c r="Q14" s="27"/>
      <c r="R14" s="23"/>
      <c r="S14" s="19"/>
      <c r="T14" s="23"/>
      <c r="U14" s="23"/>
      <c r="V14" s="12"/>
      <c r="W14" s="38"/>
      <c r="X14" s="20"/>
      <c r="Y14" s="15"/>
      <c r="Z14" s="12"/>
      <c r="AA14" s="38"/>
      <c r="AB14" s="20"/>
      <c r="AC14" s="15"/>
    </row>
    <row r="15">
      <c r="A15" s="29"/>
      <c r="B15" s="24"/>
      <c r="C15" s="11">
        <f>I15/E69</f>
        <v>0.04268366011</v>
      </c>
      <c r="D15" s="34" t="s">
        <v>54</v>
      </c>
      <c r="E15" s="31" t="s">
        <v>55</v>
      </c>
      <c r="F15" s="32">
        <v>8.0</v>
      </c>
      <c r="G15" s="30">
        <v>8000.0</v>
      </c>
      <c r="H15" s="15">
        <f t="shared" si="6"/>
        <v>1228960</v>
      </c>
      <c r="I15" s="15">
        <f t="shared" si="7"/>
        <v>1228960</v>
      </c>
      <c r="J15" s="16">
        <v>153.62</v>
      </c>
      <c r="K15" s="17">
        <f>IFERROR(__xludf.DUMMYFUNCTION("GOOGLEFINANCE(E15,""changepct"")"),-0.62)</f>
        <v>-0.62</v>
      </c>
      <c r="L15" s="18">
        <f>IFERROR(__xludf.DUMMYFUNCTION("googlefinance(E15,""price"")"),153.62)</f>
        <v>153.62</v>
      </c>
      <c r="M15" s="19"/>
      <c r="N15" s="20">
        <f t="shared" si="3"/>
        <v>0</v>
      </c>
      <c r="O15" s="21">
        <f t="shared" si="8"/>
        <v>0</v>
      </c>
      <c r="P15" s="15">
        <f t="shared" si="9"/>
        <v>0</v>
      </c>
      <c r="Q15" s="11">
        <v>0.02</v>
      </c>
      <c r="R15" s="15"/>
      <c r="S15" s="19"/>
      <c r="T15" s="23"/>
      <c r="U15" s="23"/>
      <c r="V15" s="24"/>
      <c r="W15" s="25"/>
      <c r="X15" s="19"/>
      <c r="Y15" s="23"/>
      <c r="Z15" s="12"/>
      <c r="AA15" s="38"/>
      <c r="AB15" s="20"/>
      <c r="AC15" s="15"/>
    </row>
    <row r="16">
      <c r="A16" s="29"/>
      <c r="B16" s="24"/>
      <c r="C16" s="11">
        <f>I16/E69</f>
        <v>0.01805379619</v>
      </c>
      <c r="D16" s="31" t="s">
        <v>56</v>
      </c>
      <c r="E16" s="31" t="s">
        <v>57</v>
      </c>
      <c r="F16" s="37">
        <v>7.8</v>
      </c>
      <c r="G16" s="30">
        <v>750.0</v>
      </c>
      <c r="H16" s="15">
        <f t="shared" si="6"/>
        <v>519810</v>
      </c>
      <c r="I16" s="15">
        <f t="shared" si="7"/>
        <v>519810</v>
      </c>
      <c r="J16" s="16">
        <v>693.08</v>
      </c>
      <c r="K16" s="17">
        <f>IFERROR(__xludf.DUMMYFUNCTION("GOOGLEFINANCE(E16,""changepct"")"),-0.44)</f>
        <v>-0.44</v>
      </c>
      <c r="L16" s="18">
        <f>IFERROR(__xludf.DUMMYFUNCTION("googlefinance(E16,""price"")"),693.08)</f>
        <v>693.08</v>
      </c>
      <c r="M16" s="19"/>
      <c r="N16" s="20">
        <f t="shared" si="3"/>
        <v>0</v>
      </c>
      <c r="O16" s="21">
        <f t="shared" si="8"/>
        <v>0</v>
      </c>
      <c r="P16" s="15">
        <f t="shared" si="9"/>
        <v>0</v>
      </c>
      <c r="Q16" s="11">
        <v>0.01</v>
      </c>
      <c r="R16" s="23"/>
      <c r="S16" s="19"/>
      <c r="T16" s="23"/>
      <c r="U16" s="23"/>
      <c r="V16" s="24"/>
      <c r="W16" s="25"/>
      <c r="X16" s="19"/>
      <c r="Y16" s="23"/>
      <c r="Z16" s="12"/>
      <c r="AA16" s="38"/>
      <c r="AB16" s="20"/>
      <c r="AC16" s="15"/>
    </row>
    <row r="17">
      <c r="A17" s="29"/>
      <c r="B17" s="24"/>
      <c r="C17" s="11">
        <f>I17/E69</f>
        <v>0.03084159792</v>
      </c>
      <c r="D17" s="31" t="s">
        <v>58</v>
      </c>
      <c r="E17" s="31" t="s">
        <v>59</v>
      </c>
      <c r="F17" s="32">
        <v>7.9</v>
      </c>
      <c r="G17" s="30">
        <v>40000.0</v>
      </c>
      <c r="H17" s="15">
        <f t="shared" si="6"/>
        <v>888000</v>
      </c>
      <c r="I17" s="15">
        <f t="shared" si="7"/>
        <v>888000</v>
      </c>
      <c r="J17" s="16">
        <v>22.2</v>
      </c>
      <c r="K17" s="17">
        <f>IFERROR(__xludf.DUMMYFUNCTION("GOOGLEFINANCE(E17,""changepct"")"),-1.16)</f>
        <v>-1.16</v>
      </c>
      <c r="L17" s="18">
        <f>IFERROR(__xludf.DUMMYFUNCTION("googlefinance(E17,""price"")"),22.2)</f>
        <v>22.2</v>
      </c>
      <c r="M17" s="19"/>
      <c r="N17" s="20">
        <f t="shared" si="3"/>
        <v>0</v>
      </c>
      <c r="O17" s="21">
        <f t="shared" si="8"/>
        <v>0</v>
      </c>
      <c r="P17" s="15">
        <f t="shared" si="9"/>
        <v>0</v>
      </c>
      <c r="Q17" s="27"/>
      <c r="R17" s="23"/>
      <c r="S17" s="19"/>
      <c r="T17" s="23"/>
      <c r="U17" s="23"/>
      <c r="V17" s="24"/>
      <c r="W17" s="25"/>
      <c r="X17" s="19"/>
      <c r="Y17" s="23"/>
      <c r="Z17" s="12"/>
      <c r="AA17" s="38"/>
      <c r="AB17" s="20"/>
      <c r="AC17" s="15"/>
    </row>
    <row r="18">
      <c r="A18" s="29"/>
      <c r="B18" s="24"/>
      <c r="C18" s="11">
        <f>I18/E69</f>
        <v>0.03740585693</v>
      </c>
      <c r="D18" s="31" t="s">
        <v>60</v>
      </c>
      <c r="E18" s="31" t="s">
        <v>61</v>
      </c>
      <c r="F18" s="32">
        <v>8.0</v>
      </c>
      <c r="G18" s="30">
        <v>100000.0</v>
      </c>
      <c r="H18" s="15">
        <f t="shared" si="6"/>
        <v>1077000</v>
      </c>
      <c r="I18" s="15">
        <f t="shared" si="7"/>
        <v>1077000</v>
      </c>
      <c r="J18" s="16">
        <v>10.77</v>
      </c>
      <c r="K18" s="17">
        <f>IFERROR(__xludf.DUMMYFUNCTION("GOOGLEFINANCE(E18,""changepct"")"),-0.83)</f>
        <v>-0.83</v>
      </c>
      <c r="L18" s="18">
        <f>IFERROR(__xludf.DUMMYFUNCTION("googlefinance(E18,""price"")"),10.77)</f>
        <v>10.77</v>
      </c>
      <c r="M18" s="19"/>
      <c r="N18" s="20">
        <f t="shared" si="3"/>
        <v>0</v>
      </c>
      <c r="O18" s="21">
        <f t="shared" si="8"/>
        <v>0</v>
      </c>
      <c r="P18" s="15">
        <f t="shared" si="9"/>
        <v>0</v>
      </c>
      <c r="Q18" s="27"/>
      <c r="R18" s="23"/>
      <c r="S18" s="19"/>
      <c r="T18" s="23"/>
      <c r="U18" s="23"/>
      <c r="V18" s="24"/>
      <c r="W18" s="25"/>
      <c r="X18" s="19"/>
      <c r="Y18" s="23"/>
      <c r="Z18" s="24"/>
      <c r="AA18" s="25"/>
      <c r="AB18" s="19"/>
      <c r="AC18" s="23"/>
    </row>
    <row r="19">
      <c r="A19" s="40"/>
      <c r="B19" s="41"/>
      <c r="C19" s="4" t="s">
        <v>62</v>
      </c>
      <c r="D19" s="41"/>
      <c r="E19" s="41"/>
      <c r="F19" s="41"/>
      <c r="G19" s="42"/>
      <c r="H19" s="43">
        <f t="shared" ref="H19:I19" si="10">SUM(H3:H18)</f>
        <v>15840934</v>
      </c>
      <c r="I19" s="44">
        <f t="shared" si="10"/>
        <v>15840934</v>
      </c>
      <c r="J19" s="45"/>
      <c r="K19" s="45"/>
      <c r="L19" s="45"/>
      <c r="M19" s="41"/>
      <c r="N19" s="41"/>
      <c r="O19" s="46">
        <f>(P19+T19+U19+R19)/I19</f>
        <v>0</v>
      </c>
      <c r="P19" s="44">
        <f>SUM(P3:P18)</f>
        <v>0</v>
      </c>
      <c r="Q19" s="47"/>
      <c r="R19" s="43">
        <f>SUM(R3:R18)</f>
        <v>0</v>
      </c>
      <c r="S19" s="41"/>
      <c r="T19" s="43">
        <f t="shared" ref="T19:U19" si="11">SUM(T3:T18)</f>
        <v>0</v>
      </c>
      <c r="U19" s="43">
        <f t="shared" si="11"/>
        <v>0</v>
      </c>
      <c r="V19" s="4" t="s">
        <v>62</v>
      </c>
      <c r="W19" s="41"/>
      <c r="X19" s="45"/>
      <c r="Y19" s="43">
        <f>SUM(Y3:Y18)</f>
        <v>0</v>
      </c>
      <c r="Z19" s="4" t="s">
        <v>62</v>
      </c>
      <c r="AA19" s="41"/>
      <c r="AB19" s="45"/>
      <c r="AC19" s="43">
        <f>SUM(AC3:AC18)</f>
        <v>0</v>
      </c>
    </row>
    <row r="20">
      <c r="A20" s="40"/>
      <c r="B20" s="4" t="s">
        <v>63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5" t="s">
        <v>8</v>
      </c>
      <c r="J20" s="5" t="s">
        <v>9</v>
      </c>
      <c r="K20" s="6" t="s">
        <v>10</v>
      </c>
      <c r="L20" s="6" t="s">
        <v>11</v>
      </c>
      <c r="M20" s="7" t="s">
        <v>12</v>
      </c>
      <c r="N20" s="7" t="s">
        <v>13</v>
      </c>
      <c r="O20" s="4" t="s">
        <v>14</v>
      </c>
      <c r="P20" s="7" t="s">
        <v>15</v>
      </c>
      <c r="Q20" s="4" t="s">
        <v>16</v>
      </c>
      <c r="R20" s="4" t="s">
        <v>17</v>
      </c>
      <c r="S20" s="7" t="s">
        <v>18</v>
      </c>
      <c r="T20" s="4" t="s">
        <v>19</v>
      </c>
      <c r="U20" s="4" t="s">
        <v>64</v>
      </c>
      <c r="V20" s="4" t="s">
        <v>21</v>
      </c>
      <c r="W20" s="4" t="s">
        <v>22</v>
      </c>
      <c r="X20" s="9" t="s">
        <v>23</v>
      </c>
      <c r="Y20" s="9" t="s">
        <v>24</v>
      </c>
      <c r="Z20" s="4" t="s">
        <v>25</v>
      </c>
      <c r="AA20" s="4" t="s">
        <v>26</v>
      </c>
      <c r="AB20" s="4" t="s">
        <v>27</v>
      </c>
      <c r="AC20" s="4" t="s">
        <v>28</v>
      </c>
    </row>
    <row r="21">
      <c r="A21" s="48" t="s">
        <v>29</v>
      </c>
      <c r="B21" s="49">
        <f>I24/E69</f>
        <v>0.0644759581</v>
      </c>
      <c r="C21" s="50">
        <f>I21/E69</f>
        <v>0.02273525901</v>
      </c>
      <c r="D21" s="51" t="s">
        <v>65</v>
      </c>
      <c r="E21" s="51" t="s">
        <v>66</v>
      </c>
      <c r="F21" s="13">
        <v>7.8</v>
      </c>
      <c r="G21" s="52">
        <v>20000.0</v>
      </c>
      <c r="H21" s="15">
        <f t="shared" ref="H21:H23" si="12">J21*G21</f>
        <v>654600</v>
      </c>
      <c r="I21" s="15">
        <f t="shared" ref="I21:I23" si="13">H21+P21</f>
        <v>654600</v>
      </c>
      <c r="J21" s="53">
        <v>32.73</v>
      </c>
      <c r="K21" s="17">
        <f>IFERROR(__xludf.DUMMYFUNCTION("GOOGLEFINANCE(E21,""changepct"")"),2.38)</f>
        <v>2.38</v>
      </c>
      <c r="L21" s="20">
        <f>IFERROR(__xludf.DUMMYFUNCTION("googlefinance(E21,""price"")"),32.73)</f>
        <v>32.73</v>
      </c>
      <c r="M21" s="54"/>
      <c r="N21" s="20">
        <f t="shared" ref="N21:N23" si="14">L21-J21</f>
        <v>0</v>
      </c>
      <c r="O21" s="21">
        <f t="shared" ref="O21:O23" si="15">L21/J21-1</f>
        <v>0</v>
      </c>
      <c r="P21" s="15">
        <f t="shared" ref="P21:P23" si="16">H21*O21</f>
        <v>0</v>
      </c>
      <c r="Q21" s="50">
        <v>0.052</v>
      </c>
      <c r="R21" s="23"/>
      <c r="S21" s="19"/>
      <c r="T21" s="23"/>
      <c r="U21" s="24"/>
      <c r="V21" s="12"/>
      <c r="W21" s="38"/>
      <c r="X21" s="20"/>
      <c r="Y21" s="15"/>
      <c r="Z21" s="24"/>
      <c r="AA21" s="24"/>
      <c r="AB21" s="19"/>
      <c r="AC21" s="23"/>
    </row>
    <row r="22">
      <c r="A22" s="55"/>
      <c r="B22" s="33"/>
      <c r="C22" s="50">
        <f>I22/E69</f>
        <v>0.01864249561</v>
      </c>
      <c r="D22" s="51" t="s">
        <v>67</v>
      </c>
      <c r="E22" s="51" t="s">
        <v>68</v>
      </c>
      <c r="F22" s="39">
        <v>7.8</v>
      </c>
      <c r="G22" s="52">
        <v>14000.0</v>
      </c>
      <c r="H22" s="15">
        <f t="shared" si="12"/>
        <v>536760</v>
      </c>
      <c r="I22" s="15">
        <f t="shared" si="13"/>
        <v>536760</v>
      </c>
      <c r="J22" s="53">
        <v>38.34</v>
      </c>
      <c r="K22" s="17">
        <f>IFERROR(__xludf.DUMMYFUNCTION("GOOGLEFINANCE(E22,""changepct"")"),1.4)</f>
        <v>1.4</v>
      </c>
      <c r="L22" s="20">
        <f>IFERROR(__xludf.DUMMYFUNCTION("googlefinance(E22,""price"")"),38.34)</f>
        <v>38.34</v>
      </c>
      <c r="M22" s="22"/>
      <c r="N22" s="20">
        <f t="shared" si="14"/>
        <v>0</v>
      </c>
      <c r="O22" s="21">
        <f t="shared" si="15"/>
        <v>0</v>
      </c>
      <c r="P22" s="15">
        <f t="shared" si="16"/>
        <v>0</v>
      </c>
      <c r="Q22" s="50">
        <v>0.026</v>
      </c>
      <c r="R22" s="56"/>
      <c r="S22" s="33"/>
      <c r="T22" s="56"/>
      <c r="U22" s="33"/>
      <c r="V22" s="33"/>
      <c r="W22" s="57"/>
      <c r="X22" s="22"/>
      <c r="Y22" s="56"/>
      <c r="Z22" s="33"/>
      <c r="AA22" s="57"/>
      <c r="AB22" s="22"/>
      <c r="AC22" s="56"/>
    </row>
    <row r="23">
      <c r="A23" s="55"/>
      <c r="B23" s="33"/>
      <c r="C23" s="50">
        <f>I23/E69</f>
        <v>0.02309820349</v>
      </c>
      <c r="D23" s="51" t="s">
        <v>69</v>
      </c>
      <c r="E23" s="51" t="s">
        <v>70</v>
      </c>
      <c r="F23" s="13">
        <v>7.8</v>
      </c>
      <c r="G23" s="52">
        <v>5000.0</v>
      </c>
      <c r="H23" s="15">
        <f t="shared" si="12"/>
        <v>665050</v>
      </c>
      <c r="I23" s="15">
        <f t="shared" si="13"/>
        <v>665050</v>
      </c>
      <c r="J23" s="53">
        <v>133.01</v>
      </c>
      <c r="K23" s="17">
        <f>IFERROR(__xludf.DUMMYFUNCTION("GOOGLEFINANCE(E23,""changepct"")"),1.76)</f>
        <v>1.76</v>
      </c>
      <c r="L23" s="20">
        <f>IFERROR(__xludf.DUMMYFUNCTION("googlefinance(E23,""price"")"),133.01)</f>
        <v>133.01</v>
      </c>
      <c r="M23" s="22"/>
      <c r="N23" s="20">
        <f t="shared" si="14"/>
        <v>0</v>
      </c>
      <c r="O23" s="21">
        <f t="shared" si="15"/>
        <v>0</v>
      </c>
      <c r="P23" s="15">
        <f t="shared" si="16"/>
        <v>0</v>
      </c>
      <c r="Q23" s="50">
        <v>0.015</v>
      </c>
      <c r="R23" s="58"/>
      <c r="S23" s="33"/>
      <c r="T23" s="56"/>
      <c r="U23" s="33"/>
      <c r="V23" s="33"/>
      <c r="W23" s="57"/>
      <c r="X23" s="22"/>
      <c r="Y23" s="56"/>
      <c r="Z23" s="33"/>
      <c r="AA23" s="57"/>
      <c r="AB23" s="22"/>
      <c r="AC23" s="56"/>
    </row>
    <row r="24">
      <c r="A24" s="40"/>
      <c r="B24" s="41"/>
      <c r="C24" s="4" t="s">
        <v>62</v>
      </c>
      <c r="D24" s="41"/>
      <c r="E24" s="41"/>
      <c r="F24" s="41"/>
      <c r="G24" s="59"/>
      <c r="H24" s="43">
        <f t="shared" ref="H24:I24" si="17">SUM(H21:H23)</f>
        <v>1856410</v>
      </c>
      <c r="I24" s="44">
        <f t="shared" si="17"/>
        <v>1856410</v>
      </c>
      <c r="J24" s="45"/>
      <c r="K24" s="45"/>
      <c r="L24" s="45"/>
      <c r="M24" s="41"/>
      <c r="N24" s="41"/>
      <c r="O24" s="46">
        <f>P24/H24</f>
        <v>0</v>
      </c>
      <c r="P24" s="44">
        <f>SUM(P21:P23)</f>
        <v>0</v>
      </c>
      <c r="Q24" s="41"/>
      <c r="R24" s="43">
        <f>SUM(R21:R23)</f>
        <v>0</v>
      </c>
      <c r="S24" s="41"/>
      <c r="T24" s="43">
        <f>SUM(T21:T23)</f>
        <v>0</v>
      </c>
      <c r="U24" s="41"/>
      <c r="V24" s="4" t="s">
        <v>62</v>
      </c>
      <c r="W24" s="41"/>
      <c r="X24" s="45"/>
      <c r="Y24" s="43">
        <f>SUM(Y21:Y23)</f>
        <v>0</v>
      </c>
      <c r="Z24" s="4" t="s">
        <v>62</v>
      </c>
      <c r="AA24" s="41"/>
      <c r="AB24" s="45"/>
      <c r="AC24" s="43">
        <f>SUM(AC21:AC23)</f>
        <v>0</v>
      </c>
    </row>
    <row r="25">
      <c r="A25" s="40"/>
      <c r="B25" s="4" t="s">
        <v>71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5" t="s">
        <v>8</v>
      </c>
      <c r="J25" s="5" t="s">
        <v>9</v>
      </c>
      <c r="K25" s="6" t="s">
        <v>10</v>
      </c>
      <c r="L25" s="6" t="s">
        <v>11</v>
      </c>
      <c r="M25" s="7" t="s">
        <v>12</v>
      </c>
      <c r="N25" s="7" t="s">
        <v>13</v>
      </c>
      <c r="O25" s="4" t="s">
        <v>14</v>
      </c>
      <c r="P25" s="7" t="s">
        <v>15</v>
      </c>
      <c r="Q25" s="4" t="s">
        <v>16</v>
      </c>
      <c r="R25" s="4" t="s">
        <v>17</v>
      </c>
      <c r="S25" s="7" t="s">
        <v>18</v>
      </c>
      <c r="T25" s="4" t="s">
        <v>19</v>
      </c>
      <c r="U25" s="4" t="s">
        <v>64</v>
      </c>
      <c r="V25" s="4" t="s">
        <v>21</v>
      </c>
      <c r="W25" s="4" t="s">
        <v>22</v>
      </c>
      <c r="X25" s="9" t="s">
        <v>23</v>
      </c>
      <c r="Y25" s="9" t="s">
        <v>24</v>
      </c>
      <c r="Z25" s="4" t="s">
        <v>25</v>
      </c>
      <c r="AA25" s="4" t="s">
        <v>26</v>
      </c>
      <c r="AB25" s="4" t="s">
        <v>27</v>
      </c>
      <c r="AC25" s="4" t="s">
        <v>28</v>
      </c>
    </row>
    <row r="26">
      <c r="A26" s="48" t="s">
        <v>29</v>
      </c>
      <c r="B26" s="49">
        <f>I30/E69</f>
        <v>0.04207952252</v>
      </c>
      <c r="C26" s="11">
        <f>I26/E69</f>
        <v>0.008659108565</v>
      </c>
      <c r="D26" s="31" t="s">
        <v>72</v>
      </c>
      <c r="E26" s="31" t="s">
        <v>73</v>
      </c>
      <c r="F26" s="32">
        <v>7.7</v>
      </c>
      <c r="G26" s="14">
        <v>350.0</v>
      </c>
      <c r="H26" s="15">
        <f t="shared" ref="H26:H29" si="18">G26*J26</f>
        <v>249315.5</v>
      </c>
      <c r="I26" s="15">
        <f t="shared" ref="I26:I29" si="19">H26+P26</f>
        <v>249315.5</v>
      </c>
      <c r="J26" s="16">
        <v>712.33</v>
      </c>
      <c r="K26" s="17">
        <f>IFERROR(__xludf.DUMMYFUNCTION("GOOGLEFINANCE(E26,""changepct"")"),1.39)</f>
        <v>1.39</v>
      </c>
      <c r="L26" s="18">
        <f>IFERROR(__xludf.DUMMYFUNCTION("googlefinance(E26,""price"")"),712.33)</f>
        <v>712.33</v>
      </c>
      <c r="M26" s="19"/>
      <c r="N26" s="20">
        <f t="shared" ref="N26:N29" si="20">L26-J26</f>
        <v>0</v>
      </c>
      <c r="O26" s="21">
        <f t="shared" ref="O26:O29" si="21">L26/J26-1</f>
        <v>0</v>
      </c>
      <c r="P26" s="15">
        <f t="shared" ref="P26:P29" si="22">H26*O26</f>
        <v>0</v>
      </c>
      <c r="Q26" s="27"/>
      <c r="R26" s="23"/>
      <c r="S26" s="19"/>
      <c r="T26" s="23"/>
      <c r="U26" s="23"/>
      <c r="V26" s="24"/>
      <c r="W26" s="25"/>
      <c r="X26" s="19"/>
      <c r="Y26" s="23"/>
      <c r="Z26" s="12"/>
      <c r="AA26" s="38"/>
      <c r="AB26" s="20"/>
      <c r="AC26" s="15"/>
    </row>
    <row r="27">
      <c r="A27" s="29"/>
      <c r="B27" s="24"/>
      <c r="C27" s="11">
        <f>I27/E69</f>
        <v>0.01357863865</v>
      </c>
      <c r="D27" s="31" t="s">
        <v>74</v>
      </c>
      <c r="E27" s="31" t="s">
        <v>75</v>
      </c>
      <c r="F27" s="32">
        <v>7.8</v>
      </c>
      <c r="G27" s="14">
        <v>1500.0</v>
      </c>
      <c r="H27" s="15">
        <f t="shared" si="18"/>
        <v>390960</v>
      </c>
      <c r="I27" s="15">
        <f t="shared" si="19"/>
        <v>390960</v>
      </c>
      <c r="J27" s="16">
        <v>260.64</v>
      </c>
      <c r="K27" s="17">
        <f>IFERROR(__xludf.DUMMYFUNCTION("GOOGLEFINANCE(E27,""changepct"")"),0.52)</f>
        <v>0.52</v>
      </c>
      <c r="L27" s="18">
        <f>IFERROR(__xludf.DUMMYFUNCTION("googlefinance(E27,""price"")"),260.64)</f>
        <v>260.64</v>
      </c>
      <c r="M27" s="19"/>
      <c r="N27" s="20">
        <f t="shared" si="20"/>
        <v>0</v>
      </c>
      <c r="O27" s="21">
        <f t="shared" si="21"/>
        <v>0</v>
      </c>
      <c r="P27" s="15">
        <f t="shared" si="22"/>
        <v>0</v>
      </c>
      <c r="Q27" s="11">
        <v>0.033</v>
      </c>
      <c r="R27" s="23"/>
      <c r="S27" s="19"/>
      <c r="T27" s="23"/>
      <c r="U27" s="23"/>
      <c r="V27" s="24"/>
      <c r="W27" s="25"/>
      <c r="X27" s="19"/>
      <c r="Y27" s="23"/>
      <c r="Z27" s="12"/>
      <c r="AA27" s="38"/>
      <c r="AB27" s="20"/>
      <c r="AC27" s="15"/>
    </row>
    <row r="28">
      <c r="A28" s="29"/>
      <c r="B28" s="24"/>
      <c r="C28" s="11">
        <f>I28/E69</f>
        <v>0.01105712963</v>
      </c>
      <c r="D28" s="31" t="s">
        <v>76</v>
      </c>
      <c r="E28" s="31" t="s">
        <v>77</v>
      </c>
      <c r="F28" s="32">
        <v>7.8</v>
      </c>
      <c r="G28" s="14">
        <v>12000.0</v>
      </c>
      <c r="H28" s="15">
        <f t="shared" si="18"/>
        <v>318360</v>
      </c>
      <c r="I28" s="15">
        <f t="shared" si="19"/>
        <v>318360</v>
      </c>
      <c r="J28" s="16">
        <v>26.53</v>
      </c>
      <c r="K28" s="17">
        <f>IFERROR(__xludf.DUMMYFUNCTION("GOOGLEFINANCE(E28,""changepct"")"),0.42)</f>
        <v>0.42</v>
      </c>
      <c r="L28" s="18">
        <f>IFERROR(__xludf.DUMMYFUNCTION("googlefinance(E28,""price"")"),26.53)</f>
        <v>26.53</v>
      </c>
      <c r="M28" s="19"/>
      <c r="N28" s="20">
        <f t="shared" si="20"/>
        <v>0</v>
      </c>
      <c r="O28" s="21">
        <f t="shared" si="21"/>
        <v>0</v>
      </c>
      <c r="P28" s="15">
        <f t="shared" si="22"/>
        <v>0</v>
      </c>
      <c r="Q28" s="11">
        <v>0.066</v>
      </c>
      <c r="R28" s="23"/>
      <c r="S28" s="19"/>
      <c r="T28" s="23"/>
      <c r="U28" s="23"/>
      <c r="V28" s="24"/>
      <c r="W28" s="25"/>
      <c r="X28" s="19"/>
      <c r="Y28" s="23"/>
      <c r="Z28" s="12"/>
      <c r="AA28" s="38"/>
      <c r="AB28" s="20"/>
      <c r="AC28" s="15"/>
    </row>
    <row r="29">
      <c r="A29" s="29"/>
      <c r="B29" s="24"/>
      <c r="C29" s="11">
        <f>I29/E69</f>
        <v>0.008784645677</v>
      </c>
      <c r="D29" s="31" t="s">
        <v>78</v>
      </c>
      <c r="E29" s="31" t="s">
        <v>79</v>
      </c>
      <c r="F29" s="32">
        <v>7.7</v>
      </c>
      <c r="G29" s="14">
        <v>500.0</v>
      </c>
      <c r="H29" s="15">
        <f t="shared" si="18"/>
        <v>252930</v>
      </c>
      <c r="I29" s="15">
        <f t="shared" si="19"/>
        <v>252930</v>
      </c>
      <c r="J29" s="16">
        <v>505.86</v>
      </c>
      <c r="K29" s="17">
        <f>IFERROR(__xludf.DUMMYFUNCTION("GOOGLEFINANCE(E29,""changepct"")"),-0.38)</f>
        <v>-0.38</v>
      </c>
      <c r="L29" s="18">
        <f>IFERROR(__xludf.DUMMYFUNCTION("googlefinance(E29,""price"")"),505.86)</f>
        <v>505.86</v>
      </c>
      <c r="M29" s="19"/>
      <c r="N29" s="20">
        <f t="shared" si="20"/>
        <v>0</v>
      </c>
      <c r="O29" s="21">
        <f t="shared" si="21"/>
        <v>0</v>
      </c>
      <c r="P29" s="15">
        <f t="shared" si="22"/>
        <v>0</v>
      </c>
      <c r="Q29" s="11">
        <v>0.015</v>
      </c>
      <c r="R29" s="23"/>
      <c r="S29" s="19"/>
      <c r="T29" s="23"/>
      <c r="U29" s="23"/>
      <c r="V29" s="24"/>
      <c r="W29" s="25"/>
      <c r="X29" s="19"/>
      <c r="Y29" s="23"/>
      <c r="Z29" s="12"/>
      <c r="AA29" s="38"/>
      <c r="AB29" s="20"/>
      <c r="AC29" s="15"/>
    </row>
    <row r="30">
      <c r="A30" s="40"/>
      <c r="B30" s="41"/>
      <c r="C30" s="4" t="s">
        <v>80</v>
      </c>
      <c r="D30" s="41"/>
      <c r="E30" s="41"/>
      <c r="F30" s="41"/>
      <c r="G30" s="41"/>
      <c r="H30" s="43">
        <f t="shared" ref="H30:I30" si="23">SUM(H26:H29)</f>
        <v>1211565.5</v>
      </c>
      <c r="I30" s="44">
        <f t="shared" si="23"/>
        <v>1211565.5</v>
      </c>
      <c r="J30" s="60"/>
      <c r="K30" s="45"/>
      <c r="L30" s="45"/>
      <c r="M30" s="41"/>
      <c r="N30" s="41"/>
      <c r="O30" s="61">
        <f>P30/I30</f>
        <v>0</v>
      </c>
      <c r="P30" s="44">
        <f>SUM(P26:P29)</f>
        <v>0</v>
      </c>
      <c r="Q30" s="41"/>
      <c r="R30" s="62">
        <f>SUM(R26:R29)</f>
        <v>0</v>
      </c>
      <c r="S30" s="41"/>
      <c r="T30" s="41"/>
      <c r="U30" s="41"/>
      <c r="V30" s="41"/>
      <c r="W30" s="41"/>
      <c r="X30" s="45"/>
      <c r="Y30" s="63">
        <f>SUM(Y26:Y29)</f>
        <v>0</v>
      </c>
      <c r="Z30" s="41"/>
      <c r="AA30" s="41"/>
      <c r="AB30" s="41"/>
      <c r="AC30" s="43">
        <f>SUM(AC26:AC29)</f>
        <v>0</v>
      </c>
    </row>
    <row r="31">
      <c r="A31" s="40"/>
      <c r="B31" s="4" t="s">
        <v>81</v>
      </c>
      <c r="C31" s="4" t="s">
        <v>2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5" t="s">
        <v>8</v>
      </c>
      <c r="J31" s="5" t="s">
        <v>9</v>
      </c>
      <c r="K31" s="6" t="s">
        <v>10</v>
      </c>
      <c r="L31" s="6" t="s">
        <v>11</v>
      </c>
      <c r="M31" s="7" t="s">
        <v>12</v>
      </c>
      <c r="N31" s="7" t="s">
        <v>13</v>
      </c>
      <c r="O31" s="4" t="s">
        <v>14</v>
      </c>
      <c r="P31" s="7" t="s">
        <v>15</v>
      </c>
      <c r="Q31" s="4" t="s">
        <v>16</v>
      </c>
      <c r="R31" s="4" t="s">
        <v>17</v>
      </c>
      <c r="S31" s="7" t="s">
        <v>18</v>
      </c>
      <c r="T31" s="4" t="s">
        <v>19</v>
      </c>
      <c r="U31" s="4" t="s">
        <v>64</v>
      </c>
      <c r="V31" s="4" t="s">
        <v>21</v>
      </c>
      <c r="W31" s="4" t="s">
        <v>22</v>
      </c>
      <c r="X31" s="9" t="s">
        <v>23</v>
      </c>
      <c r="Y31" s="9" t="s">
        <v>24</v>
      </c>
      <c r="Z31" s="4" t="s">
        <v>25</v>
      </c>
      <c r="AA31" s="4" t="s">
        <v>26</v>
      </c>
      <c r="AB31" s="4" t="s">
        <v>27</v>
      </c>
      <c r="AC31" s="4" t="s">
        <v>28</v>
      </c>
    </row>
    <row r="32">
      <c r="A32" s="48" t="s">
        <v>29</v>
      </c>
      <c r="B32" s="49">
        <f>I36/E69</f>
        <v>0.05355921331</v>
      </c>
      <c r="C32" s="50">
        <f>I32/E69</f>
        <v>0.009151410625</v>
      </c>
      <c r="D32" s="31" t="s">
        <v>82</v>
      </c>
      <c r="E32" s="31" t="s">
        <v>83</v>
      </c>
      <c r="F32" s="32">
        <v>7.7</v>
      </c>
      <c r="G32" s="64">
        <v>1000.0</v>
      </c>
      <c r="H32" s="58">
        <f t="shared" ref="H32:H35" si="24">G32*J32</f>
        <v>263490</v>
      </c>
      <c r="I32" s="65">
        <f t="shared" ref="I32:I35" si="25">H32+P32</f>
        <v>263490</v>
      </c>
      <c r="J32" s="66">
        <v>263.49</v>
      </c>
      <c r="K32" s="17">
        <f>IFERROR(__xludf.DUMMYFUNCTION("GOOGLEFINANCE(E32,""changepct"")"),0.04)</f>
        <v>0.04</v>
      </c>
      <c r="L32" s="54">
        <f>IFERROR(__xludf.DUMMYFUNCTION("googlefinance(E32,""price"")"),263.49)</f>
        <v>263.49</v>
      </c>
      <c r="M32" s="22"/>
      <c r="N32" s="54">
        <f t="shared" ref="N32:N35" si="26">L32-J32</f>
        <v>0</v>
      </c>
      <c r="O32" s="21">
        <f t="shared" ref="O32:O35" si="27">L32/J32-1</f>
        <v>0</v>
      </c>
      <c r="P32" s="65">
        <f t="shared" ref="P32:P35" si="28">H32*O32</f>
        <v>0</v>
      </c>
      <c r="Q32" s="50">
        <v>0.022</v>
      </c>
      <c r="R32" s="33"/>
      <c r="S32" s="33"/>
      <c r="T32" s="33"/>
      <c r="U32" s="33"/>
      <c r="V32" s="33"/>
      <c r="W32" s="33"/>
      <c r="X32" s="67"/>
      <c r="Y32" s="56"/>
      <c r="Z32" s="31"/>
      <c r="AA32" s="68"/>
      <c r="AB32" s="69"/>
      <c r="AC32" s="58"/>
    </row>
    <row r="33">
      <c r="A33" s="55"/>
      <c r="B33" s="33"/>
      <c r="C33" s="50">
        <f>I33/E69</f>
        <v>0.01350195143</v>
      </c>
      <c r="D33" s="31" t="s">
        <v>84</v>
      </c>
      <c r="E33" s="31" t="s">
        <v>85</v>
      </c>
      <c r="F33" s="32">
        <v>7.8</v>
      </c>
      <c r="G33" s="64">
        <v>800.0</v>
      </c>
      <c r="H33" s="58">
        <f t="shared" si="24"/>
        <v>388752</v>
      </c>
      <c r="I33" s="65">
        <f t="shared" si="25"/>
        <v>388752</v>
      </c>
      <c r="J33" s="66">
        <v>485.94</v>
      </c>
      <c r="K33" s="17">
        <f>IFERROR(__xludf.DUMMYFUNCTION("GOOGLEFINANCE(E33,""changepct"")"),0.53)</f>
        <v>0.53</v>
      </c>
      <c r="L33" s="54">
        <f>IFERROR(__xludf.DUMMYFUNCTION("googlefinance(E33,""price"")"),485.94)</f>
        <v>485.94</v>
      </c>
      <c r="M33" s="22"/>
      <c r="N33" s="54">
        <f t="shared" si="26"/>
        <v>0</v>
      </c>
      <c r="O33" s="21">
        <f t="shared" si="27"/>
        <v>0</v>
      </c>
      <c r="P33" s="65">
        <f t="shared" si="28"/>
        <v>0</v>
      </c>
      <c r="Q33" s="50">
        <v>0.027</v>
      </c>
      <c r="R33" s="33"/>
      <c r="S33" s="33"/>
      <c r="T33" s="33"/>
      <c r="U33" s="33"/>
      <c r="V33" s="33"/>
      <c r="W33" s="33"/>
      <c r="X33" s="67"/>
      <c r="Y33" s="56"/>
      <c r="Z33" s="31"/>
      <c r="AA33" s="68"/>
      <c r="AB33" s="69"/>
      <c r="AC33" s="58"/>
    </row>
    <row r="34">
      <c r="A34" s="55"/>
      <c r="B34" s="33"/>
      <c r="C34" s="50">
        <f>I34/E69</f>
        <v>0.01629915933</v>
      </c>
      <c r="D34" s="31" t="s">
        <v>86</v>
      </c>
      <c r="E34" s="31" t="s">
        <v>87</v>
      </c>
      <c r="F34" s="32">
        <v>7.7</v>
      </c>
      <c r="G34" s="64">
        <v>1000.0</v>
      </c>
      <c r="H34" s="58">
        <f t="shared" si="24"/>
        <v>469290</v>
      </c>
      <c r="I34" s="65">
        <f t="shared" si="25"/>
        <v>469290</v>
      </c>
      <c r="J34" s="66">
        <v>469.29</v>
      </c>
      <c r="K34" s="17">
        <f>IFERROR(__xludf.DUMMYFUNCTION("GOOGLEFINANCE(E34,""changepct"")"),0.59)</f>
        <v>0.59</v>
      </c>
      <c r="L34" s="54">
        <f>IFERROR(__xludf.DUMMYFUNCTION("googlefinance(E34,""price"")"),469.29)</f>
        <v>469.29</v>
      </c>
      <c r="M34" s="22"/>
      <c r="N34" s="54">
        <f t="shared" si="26"/>
        <v>0</v>
      </c>
      <c r="O34" s="21">
        <f t="shared" si="27"/>
        <v>0</v>
      </c>
      <c r="P34" s="65">
        <f t="shared" si="28"/>
        <v>0</v>
      </c>
      <c r="Q34" s="50">
        <v>0.018</v>
      </c>
      <c r="R34" s="33"/>
      <c r="S34" s="33"/>
      <c r="T34" s="33"/>
      <c r="U34" s="33"/>
      <c r="V34" s="33"/>
      <c r="W34" s="33"/>
      <c r="X34" s="67"/>
      <c r="Y34" s="56"/>
      <c r="Z34" s="31"/>
      <c r="AA34" s="68"/>
      <c r="AB34" s="69"/>
      <c r="AC34" s="58"/>
    </row>
    <row r="35">
      <c r="A35" s="55"/>
      <c r="B35" s="33"/>
      <c r="C35" s="50">
        <f>I35/E69</f>
        <v>0.01460669191</v>
      </c>
      <c r="D35" s="31" t="s">
        <v>88</v>
      </c>
      <c r="E35" s="31" t="s">
        <v>89</v>
      </c>
      <c r="F35" s="32">
        <v>7.8</v>
      </c>
      <c r="G35" s="52">
        <v>2000.0</v>
      </c>
      <c r="H35" s="58">
        <f t="shared" si="24"/>
        <v>420560</v>
      </c>
      <c r="I35" s="65">
        <f t="shared" si="25"/>
        <v>420560</v>
      </c>
      <c r="J35" s="66">
        <v>210.28</v>
      </c>
      <c r="K35" s="17">
        <f>IFERROR(__xludf.DUMMYFUNCTION("GOOGLEFINANCE(E35,""changepct"")"),0.64)</f>
        <v>0.64</v>
      </c>
      <c r="L35" s="54">
        <f>IFERROR(__xludf.DUMMYFUNCTION("googlefinance(E35,""price"")"),210.28)</f>
        <v>210.28</v>
      </c>
      <c r="M35" s="22"/>
      <c r="N35" s="54">
        <f t="shared" si="26"/>
        <v>0</v>
      </c>
      <c r="O35" s="21">
        <f t="shared" si="27"/>
        <v>0</v>
      </c>
      <c r="P35" s="65">
        <f t="shared" si="28"/>
        <v>0</v>
      </c>
      <c r="Q35" s="50">
        <v>0.022</v>
      </c>
      <c r="R35" s="33"/>
      <c r="S35" s="33"/>
      <c r="T35" s="33"/>
      <c r="U35" s="33"/>
      <c r="V35" s="33"/>
      <c r="W35" s="33"/>
      <c r="X35" s="67"/>
      <c r="Y35" s="56"/>
      <c r="Z35" s="31"/>
      <c r="AA35" s="68"/>
      <c r="AB35" s="69"/>
      <c r="AC35" s="58"/>
    </row>
    <row r="36">
      <c r="A36" s="40"/>
      <c r="B36" s="41"/>
      <c r="C36" s="4" t="s">
        <v>62</v>
      </c>
      <c r="D36" s="41"/>
      <c r="E36" s="41"/>
      <c r="F36" s="41"/>
      <c r="G36" s="41"/>
      <c r="H36" s="43">
        <f t="shared" ref="H36:I36" si="29">SUM(H32:H35)</f>
        <v>1542092</v>
      </c>
      <c r="I36" s="44">
        <f t="shared" si="29"/>
        <v>1542092</v>
      </c>
      <c r="J36" s="60"/>
      <c r="K36" s="45"/>
      <c r="L36" s="45"/>
      <c r="M36" s="41"/>
      <c r="N36" s="41"/>
      <c r="O36" s="61">
        <f>P36/I36</f>
        <v>0</v>
      </c>
      <c r="P36" s="44">
        <f>SUM(P32:P35)</f>
        <v>0</v>
      </c>
      <c r="Q36" s="41"/>
      <c r="R36" s="62">
        <f>SUM(R32:R35)</f>
        <v>0</v>
      </c>
      <c r="S36" s="41"/>
      <c r="T36" s="41"/>
      <c r="U36" s="41"/>
      <c r="V36" s="41"/>
      <c r="W36" s="41"/>
      <c r="X36" s="60"/>
      <c r="Y36" s="43">
        <f>SUM(Y32:Y35)</f>
        <v>0</v>
      </c>
      <c r="Z36" s="41"/>
      <c r="AA36" s="41"/>
      <c r="AB36" s="41"/>
      <c r="AC36" s="43">
        <f>SUM(AC32:AC35)</f>
        <v>0</v>
      </c>
    </row>
    <row r="37">
      <c r="A37" s="40"/>
      <c r="B37" s="4" t="s">
        <v>90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5" t="s">
        <v>8</v>
      </c>
      <c r="J37" s="5" t="s">
        <v>9</v>
      </c>
      <c r="K37" s="6" t="s">
        <v>10</v>
      </c>
      <c r="L37" s="6" t="s">
        <v>11</v>
      </c>
      <c r="M37" s="7" t="s">
        <v>12</v>
      </c>
      <c r="N37" s="7" t="s">
        <v>13</v>
      </c>
      <c r="O37" s="4" t="s">
        <v>14</v>
      </c>
      <c r="P37" s="7" t="s">
        <v>15</v>
      </c>
      <c r="Q37" s="4" t="s">
        <v>16</v>
      </c>
      <c r="R37" s="4" t="s">
        <v>17</v>
      </c>
      <c r="S37" s="7" t="s">
        <v>18</v>
      </c>
      <c r="T37" s="4" t="s">
        <v>19</v>
      </c>
      <c r="U37" s="4" t="s">
        <v>64</v>
      </c>
      <c r="V37" s="4" t="s">
        <v>21</v>
      </c>
      <c r="W37" s="4" t="s">
        <v>22</v>
      </c>
      <c r="X37" s="9" t="s">
        <v>23</v>
      </c>
      <c r="Y37" s="9" t="s">
        <v>24</v>
      </c>
      <c r="Z37" s="4" t="s">
        <v>25</v>
      </c>
      <c r="AA37" s="4" t="s">
        <v>26</v>
      </c>
      <c r="AB37" s="4" t="s">
        <v>27</v>
      </c>
      <c r="AC37" s="4" t="s">
        <v>28</v>
      </c>
    </row>
    <row r="38">
      <c r="A38" s="70" t="s">
        <v>29</v>
      </c>
      <c r="B38" s="71">
        <f>I45/E69</f>
        <v>0.08503667606</v>
      </c>
      <c r="C38" s="11">
        <f>I38/E69</f>
        <v>0.008537009874</v>
      </c>
      <c r="D38" s="72" t="s">
        <v>91</v>
      </c>
      <c r="E38" s="12" t="s">
        <v>92</v>
      </c>
      <c r="F38" s="13">
        <v>7.8</v>
      </c>
      <c r="G38" s="14">
        <v>10000.0</v>
      </c>
      <c r="H38" s="15">
        <f t="shared" ref="H38:H44" si="30">G38*J38</f>
        <v>245800</v>
      </c>
      <c r="I38" s="15">
        <f t="shared" ref="I38:I44" si="31">H38+P38</f>
        <v>245800</v>
      </c>
      <c r="J38" s="16">
        <v>24.58</v>
      </c>
      <c r="K38" s="17">
        <f>IFERROR(__xludf.DUMMYFUNCTION("GOOGLEFINANCE(E38,""changepct"")"),2.42)</f>
        <v>2.42</v>
      </c>
      <c r="L38" s="20">
        <f>IFERROR(__xludf.DUMMYFUNCTION("googlefinance(E38,""price"")"),24.58)</f>
        <v>24.58</v>
      </c>
      <c r="M38" s="19"/>
      <c r="N38" s="20">
        <f t="shared" ref="N38:N44" si="32">L38-J38</f>
        <v>0</v>
      </c>
      <c r="O38" s="21">
        <f t="shared" ref="O38:O44" si="33">L38/J38-1</f>
        <v>0</v>
      </c>
      <c r="P38" s="73">
        <f t="shared" ref="P38:P44" si="34">H38*O38</f>
        <v>0</v>
      </c>
      <c r="Q38" s="24"/>
      <c r="R38" s="23"/>
      <c r="S38" s="19"/>
      <c r="T38" s="23"/>
      <c r="U38" s="23"/>
      <c r="V38" s="12"/>
      <c r="W38" s="38"/>
      <c r="X38" s="20"/>
      <c r="Y38" s="15"/>
      <c r="Z38" s="24"/>
      <c r="AA38" s="25"/>
      <c r="AB38" s="19"/>
      <c r="AC38" s="23"/>
    </row>
    <row r="39">
      <c r="A39" s="29"/>
      <c r="B39" s="24"/>
      <c r="C39" s="11">
        <f>I39/E69</f>
        <v>0.005709863398</v>
      </c>
      <c r="D39" s="72" t="s">
        <v>93</v>
      </c>
      <c r="E39" s="12" t="s">
        <v>94</v>
      </c>
      <c r="F39" s="39">
        <v>7.5</v>
      </c>
      <c r="G39" s="14">
        <v>7500.0</v>
      </c>
      <c r="H39" s="15">
        <f t="shared" si="30"/>
        <v>164400</v>
      </c>
      <c r="I39" s="15">
        <f t="shared" si="31"/>
        <v>164400</v>
      </c>
      <c r="J39" s="16">
        <v>21.92</v>
      </c>
      <c r="K39" s="17">
        <f>IFERROR(__xludf.DUMMYFUNCTION("GOOGLEFINANCE(E39,""changepct"")"),3.45)</f>
        <v>3.45</v>
      </c>
      <c r="L39" s="20">
        <f>IFERROR(__xludf.DUMMYFUNCTION("googlefinance(E39,""price"")"),21.92)</f>
        <v>21.92</v>
      </c>
      <c r="M39" s="19"/>
      <c r="N39" s="20">
        <f t="shared" si="32"/>
        <v>0</v>
      </c>
      <c r="O39" s="21">
        <f t="shared" si="33"/>
        <v>0</v>
      </c>
      <c r="P39" s="73">
        <f t="shared" si="34"/>
        <v>0</v>
      </c>
      <c r="Q39" s="27"/>
      <c r="R39" s="23"/>
      <c r="S39" s="19"/>
      <c r="T39" s="23"/>
      <c r="U39" s="23"/>
      <c r="V39" s="24"/>
      <c r="W39" s="25"/>
      <c r="X39" s="19"/>
      <c r="Y39" s="23"/>
      <c r="Z39" s="12"/>
      <c r="AA39" s="38"/>
      <c r="AB39" s="20"/>
      <c r="AC39" s="15"/>
    </row>
    <row r="40">
      <c r="A40" s="29"/>
      <c r="B40" s="24"/>
      <c r="C40" s="11">
        <f>I40/E69</f>
        <v>0.02677279927</v>
      </c>
      <c r="D40" s="72" t="s">
        <v>95</v>
      </c>
      <c r="E40" s="12" t="s">
        <v>96</v>
      </c>
      <c r="F40" s="13">
        <v>7.9</v>
      </c>
      <c r="G40" s="30">
        <v>15000.0</v>
      </c>
      <c r="H40" s="15">
        <f t="shared" si="30"/>
        <v>770850</v>
      </c>
      <c r="I40" s="15">
        <f t="shared" si="31"/>
        <v>770850</v>
      </c>
      <c r="J40" s="16">
        <v>51.39</v>
      </c>
      <c r="K40" s="17">
        <f>IFERROR(__xludf.DUMMYFUNCTION("GOOGLEFINANCE(E40,""changepct"")"),0.12)</f>
        <v>0.12</v>
      </c>
      <c r="L40" s="20">
        <f>IFERROR(__xludf.DUMMYFUNCTION("googlefinance(E40,""price"")"),51.39)</f>
        <v>51.39</v>
      </c>
      <c r="M40" s="19"/>
      <c r="N40" s="20">
        <f t="shared" si="32"/>
        <v>0</v>
      </c>
      <c r="O40" s="21">
        <f t="shared" si="33"/>
        <v>0</v>
      </c>
      <c r="P40" s="73">
        <f t="shared" si="34"/>
        <v>0</v>
      </c>
      <c r="Q40" s="27"/>
      <c r="R40" s="23"/>
      <c r="S40" s="19"/>
      <c r="T40" s="23"/>
      <c r="U40" s="23"/>
      <c r="V40" s="24"/>
      <c r="W40" s="25"/>
      <c r="X40" s="19"/>
      <c r="Y40" s="23"/>
      <c r="Z40" s="12"/>
      <c r="AA40" s="38"/>
      <c r="AB40" s="20"/>
      <c r="AC40" s="15"/>
    </row>
    <row r="41">
      <c r="A41" s="29"/>
      <c r="B41" s="24"/>
      <c r="C41" s="11">
        <f>I41/E69</f>
        <v>0.02212051094</v>
      </c>
      <c r="D41" s="72" t="s">
        <v>97</v>
      </c>
      <c r="E41" s="12" t="s">
        <v>98</v>
      </c>
      <c r="F41" s="39">
        <v>7.5</v>
      </c>
      <c r="G41" s="30">
        <v>30000.0</v>
      </c>
      <c r="H41" s="15">
        <f t="shared" si="30"/>
        <v>636900</v>
      </c>
      <c r="I41" s="15">
        <f t="shared" si="31"/>
        <v>636900</v>
      </c>
      <c r="J41" s="16">
        <v>21.23</v>
      </c>
      <c r="K41" s="17">
        <f>IFERROR(__xludf.DUMMYFUNCTION("GOOGLEFINANCE(E41,""changepct"")"),-10.23)</f>
        <v>-10.23</v>
      </c>
      <c r="L41" s="20">
        <f>IFERROR(__xludf.DUMMYFUNCTION("googlefinance(E41,""price"")"),21.23)</f>
        <v>21.23</v>
      </c>
      <c r="M41" s="19"/>
      <c r="N41" s="20">
        <f t="shared" si="32"/>
        <v>0</v>
      </c>
      <c r="O41" s="21">
        <f t="shared" si="33"/>
        <v>0</v>
      </c>
      <c r="P41" s="73">
        <f t="shared" si="34"/>
        <v>0</v>
      </c>
      <c r="Q41" s="27"/>
      <c r="R41" s="23"/>
      <c r="S41" s="19"/>
      <c r="T41" s="23"/>
      <c r="U41" s="23"/>
      <c r="V41" s="24"/>
      <c r="W41" s="25"/>
      <c r="X41" s="19"/>
      <c r="Y41" s="23"/>
      <c r="Z41" s="12"/>
      <c r="AA41" s="38"/>
      <c r="AB41" s="20"/>
      <c r="AC41" s="15"/>
    </row>
    <row r="42">
      <c r="A42" s="29"/>
      <c r="B42" s="24"/>
      <c r="C42" s="11">
        <f>I42/E69</f>
        <v>0.007769790394</v>
      </c>
      <c r="D42" s="72" t="s">
        <v>99</v>
      </c>
      <c r="E42" s="12" t="s">
        <v>100</v>
      </c>
      <c r="F42" s="13">
        <v>7.8</v>
      </c>
      <c r="G42" s="14">
        <v>1000.0</v>
      </c>
      <c r="H42" s="15">
        <f t="shared" si="30"/>
        <v>223710</v>
      </c>
      <c r="I42" s="15">
        <f t="shared" si="31"/>
        <v>223710</v>
      </c>
      <c r="J42" s="16">
        <v>223.71</v>
      </c>
      <c r="K42" s="17">
        <f>IFERROR(__xludf.DUMMYFUNCTION("GOOGLEFINANCE(E42,""changepct"")"),-1.15)</f>
        <v>-1.15</v>
      </c>
      <c r="L42" s="20">
        <f>IFERROR(__xludf.DUMMYFUNCTION("googlefinance(E42,""price"")"),223.71)</f>
        <v>223.71</v>
      </c>
      <c r="M42" s="19"/>
      <c r="N42" s="20">
        <f t="shared" si="32"/>
        <v>0</v>
      </c>
      <c r="O42" s="21">
        <f t="shared" si="33"/>
        <v>0</v>
      </c>
      <c r="P42" s="73">
        <f t="shared" si="34"/>
        <v>0</v>
      </c>
      <c r="Q42" s="27"/>
      <c r="R42" s="23"/>
      <c r="S42" s="19"/>
      <c r="T42" s="23"/>
      <c r="U42" s="23"/>
      <c r="V42" s="24"/>
      <c r="W42" s="25"/>
      <c r="X42" s="19"/>
      <c r="Y42" s="23"/>
      <c r="Z42" s="12"/>
      <c r="AA42" s="38"/>
      <c r="AB42" s="20"/>
      <c r="AC42" s="15"/>
    </row>
    <row r="43">
      <c r="A43" s="29"/>
      <c r="B43" s="24"/>
      <c r="C43" s="11">
        <f>I43/E69</f>
        <v>0.005157632084</v>
      </c>
      <c r="D43" s="72" t="s">
        <v>101</v>
      </c>
      <c r="E43" s="12" t="s">
        <v>102</v>
      </c>
      <c r="F43" s="13">
        <v>7.3</v>
      </c>
      <c r="G43" s="30">
        <v>50000.0</v>
      </c>
      <c r="H43" s="15">
        <f t="shared" si="30"/>
        <v>148500</v>
      </c>
      <c r="I43" s="15">
        <f t="shared" si="31"/>
        <v>148500</v>
      </c>
      <c r="J43" s="16">
        <v>2.97</v>
      </c>
      <c r="K43" s="17">
        <f>IFERROR(__xludf.DUMMYFUNCTION("GOOGLEFINANCE(E43,""changepct"")"),-1.0)</f>
        <v>-1</v>
      </c>
      <c r="L43" s="20">
        <f>IFERROR(__xludf.DUMMYFUNCTION("googlefinance(E43,""price"")"),2.97)</f>
        <v>2.97</v>
      </c>
      <c r="M43" s="19"/>
      <c r="N43" s="20">
        <f t="shared" si="32"/>
        <v>0</v>
      </c>
      <c r="O43" s="21">
        <f t="shared" si="33"/>
        <v>0</v>
      </c>
      <c r="P43" s="73">
        <f t="shared" si="34"/>
        <v>0</v>
      </c>
      <c r="Q43" s="27"/>
      <c r="R43" s="23"/>
      <c r="S43" s="19"/>
      <c r="T43" s="23"/>
      <c r="U43" s="23"/>
      <c r="V43" s="24"/>
      <c r="W43" s="25"/>
      <c r="X43" s="19"/>
      <c r="Y43" s="23"/>
      <c r="Z43" s="12"/>
      <c r="AA43" s="38"/>
      <c r="AB43" s="20"/>
      <c r="AC43" s="15"/>
    </row>
    <row r="44">
      <c r="A44" s="29"/>
      <c r="B44" s="24"/>
      <c r="C44" s="11">
        <f>I44/E69</f>
        <v>0.008969070097</v>
      </c>
      <c r="D44" s="72" t="s">
        <v>103</v>
      </c>
      <c r="E44" s="12" t="s">
        <v>104</v>
      </c>
      <c r="F44" s="13">
        <v>7.8</v>
      </c>
      <c r="G44" s="30">
        <v>3000.0</v>
      </c>
      <c r="H44" s="15">
        <f t="shared" si="30"/>
        <v>258240</v>
      </c>
      <c r="I44" s="15">
        <f t="shared" si="31"/>
        <v>258240</v>
      </c>
      <c r="J44" s="16">
        <v>86.08</v>
      </c>
      <c r="K44" s="17">
        <f>IFERROR(__xludf.DUMMYFUNCTION("GOOGLEFINANCE(E44,""changepct"")"),-0.07)</f>
        <v>-0.07</v>
      </c>
      <c r="L44" s="20">
        <f>IFERROR(__xludf.DUMMYFUNCTION("googlefinance(E44,""price"")"),86.08)</f>
        <v>86.08</v>
      </c>
      <c r="M44" s="20"/>
      <c r="N44" s="20">
        <f t="shared" si="32"/>
        <v>0</v>
      </c>
      <c r="O44" s="21">
        <f t="shared" si="33"/>
        <v>0</v>
      </c>
      <c r="P44" s="73">
        <f t="shared" si="34"/>
        <v>0</v>
      </c>
      <c r="Q44" s="11">
        <v>0.015</v>
      </c>
      <c r="R44" s="23"/>
      <c r="S44" s="19"/>
      <c r="T44" s="23"/>
      <c r="U44" s="23"/>
      <c r="V44" s="12"/>
      <c r="W44" s="38"/>
      <c r="X44" s="20"/>
      <c r="Y44" s="15"/>
      <c r="Z44" s="24"/>
      <c r="AA44" s="25"/>
      <c r="AB44" s="19"/>
      <c r="AC44" s="23"/>
    </row>
    <row r="45">
      <c r="A45" s="40"/>
      <c r="B45" s="41"/>
      <c r="C45" s="4" t="s">
        <v>62</v>
      </c>
      <c r="D45" s="41"/>
      <c r="E45" s="41"/>
      <c r="F45" s="41"/>
      <c r="G45" s="59"/>
      <c r="H45" s="43">
        <f t="shared" ref="H45:I45" si="35">SUM(H38:H44)</f>
        <v>2448400</v>
      </c>
      <c r="I45" s="44">
        <f t="shared" si="35"/>
        <v>2448400</v>
      </c>
      <c r="J45" s="45"/>
      <c r="K45" s="45"/>
      <c r="L45" s="45"/>
      <c r="M45" s="41"/>
      <c r="N45" s="41"/>
      <c r="O45" s="46">
        <f>(P45+T45+U45+R45)/H45</f>
        <v>0</v>
      </c>
      <c r="P45" s="44">
        <f>SUM(P38:P44)</f>
        <v>0</v>
      </c>
      <c r="Q45" s="41"/>
      <c r="R45" s="43">
        <f>SUM(R38:R44)</f>
        <v>0</v>
      </c>
      <c r="S45" s="41"/>
      <c r="T45" s="43">
        <f t="shared" ref="T45:U45" si="36">SUM(T38:T44)</f>
        <v>0</v>
      </c>
      <c r="U45" s="43">
        <f t="shared" si="36"/>
        <v>0</v>
      </c>
      <c r="V45" s="4" t="s">
        <v>62</v>
      </c>
      <c r="W45" s="41"/>
      <c r="X45" s="45"/>
      <c r="Y45" s="43">
        <f>SUM(Y38:Y44)</f>
        <v>0</v>
      </c>
      <c r="Z45" s="4" t="s">
        <v>62</v>
      </c>
      <c r="AA45" s="41"/>
      <c r="AB45" s="45"/>
      <c r="AC45" s="43">
        <f>SUM(AC38:AC44)</f>
        <v>0</v>
      </c>
    </row>
    <row r="46">
      <c r="A46" s="40"/>
      <c r="B46" s="4" t="s">
        <v>105</v>
      </c>
      <c r="C46" s="4" t="s">
        <v>2</v>
      </c>
      <c r="D46" s="4" t="s">
        <v>106</v>
      </c>
      <c r="E46" s="4" t="s">
        <v>4</v>
      </c>
      <c r="F46" s="4" t="s">
        <v>5</v>
      </c>
      <c r="G46" s="4" t="s">
        <v>6</v>
      </c>
      <c r="H46" s="4" t="s">
        <v>7</v>
      </c>
      <c r="I46" s="5" t="s">
        <v>8</v>
      </c>
      <c r="J46" s="5" t="s">
        <v>9</v>
      </c>
      <c r="K46" s="6" t="s">
        <v>10</v>
      </c>
      <c r="L46" s="6" t="s">
        <v>11</v>
      </c>
      <c r="M46" s="7" t="s">
        <v>12</v>
      </c>
      <c r="N46" s="7" t="s">
        <v>13</v>
      </c>
      <c r="O46" s="4" t="s">
        <v>14</v>
      </c>
      <c r="P46" s="7" t="s">
        <v>15</v>
      </c>
      <c r="Q46" s="4" t="s">
        <v>16</v>
      </c>
      <c r="R46" s="4" t="s">
        <v>17</v>
      </c>
      <c r="S46" s="7" t="s">
        <v>18</v>
      </c>
      <c r="T46" s="4" t="s">
        <v>19</v>
      </c>
      <c r="U46" s="4" t="s">
        <v>64</v>
      </c>
      <c r="V46" s="4" t="s">
        <v>21</v>
      </c>
      <c r="W46" s="4" t="s">
        <v>22</v>
      </c>
      <c r="X46" s="9" t="s">
        <v>23</v>
      </c>
      <c r="Y46" s="9" t="s">
        <v>24</v>
      </c>
      <c r="Z46" s="4" t="s">
        <v>25</v>
      </c>
      <c r="AA46" s="4" t="s">
        <v>26</v>
      </c>
      <c r="AB46" s="4" t="s">
        <v>27</v>
      </c>
      <c r="AC46" s="4" t="s">
        <v>28</v>
      </c>
    </row>
    <row r="47">
      <c r="A47" s="48" t="s">
        <v>29</v>
      </c>
      <c r="B47" s="49">
        <f>I58/E69</f>
        <v>0.1900361668</v>
      </c>
      <c r="C47" s="11">
        <f>I47/E69</f>
        <v>0.02278388315</v>
      </c>
      <c r="D47" s="12" t="s">
        <v>107</v>
      </c>
      <c r="E47" s="12" t="s">
        <v>108</v>
      </c>
      <c r="F47" s="13">
        <v>8.5</v>
      </c>
      <c r="G47" s="14">
        <v>250.0</v>
      </c>
      <c r="H47" s="15">
        <f t="shared" ref="H47:H57" si="37">G47*J47</f>
        <v>656000</v>
      </c>
      <c r="I47" s="15">
        <f t="shared" ref="I47:I57" si="38">H47+P47</f>
        <v>656000</v>
      </c>
      <c r="J47" s="16">
        <v>2624.0</v>
      </c>
      <c r="K47" s="74"/>
      <c r="L47" s="75">
        <v>2624.0</v>
      </c>
      <c r="M47" s="76"/>
      <c r="N47" s="77">
        <f t="shared" ref="N47:N57" si="39">L47-J47</f>
        <v>0</v>
      </c>
      <c r="O47" s="21">
        <f t="shared" ref="O47:O57" si="40">L47/J47-1</f>
        <v>0</v>
      </c>
      <c r="P47" s="73">
        <f t="shared" ref="P47:P57" si="41">H47*O47</f>
        <v>0</v>
      </c>
      <c r="Q47" s="27"/>
      <c r="R47" s="23"/>
      <c r="S47" s="19"/>
      <c r="T47" s="23"/>
      <c r="U47" s="24"/>
      <c r="V47" s="24"/>
      <c r="W47" s="24"/>
      <c r="X47" s="19"/>
      <c r="Y47" s="23"/>
      <c r="Z47" s="24"/>
      <c r="AA47" s="24"/>
      <c r="AB47" s="19"/>
      <c r="AC47" s="23"/>
    </row>
    <row r="48">
      <c r="A48" s="78" t="s">
        <v>109</v>
      </c>
      <c r="B48" s="79">
        <f>I47+I48</f>
        <v>945000</v>
      </c>
      <c r="C48" s="11">
        <f>I48/E69</f>
        <v>0.01003741193</v>
      </c>
      <c r="D48" s="12" t="s">
        <v>110</v>
      </c>
      <c r="E48" s="12" t="s">
        <v>111</v>
      </c>
      <c r="F48" s="13">
        <v>8.4</v>
      </c>
      <c r="G48" s="14">
        <v>10000.0</v>
      </c>
      <c r="H48" s="15">
        <f t="shared" si="37"/>
        <v>289000</v>
      </c>
      <c r="I48" s="15">
        <f t="shared" si="38"/>
        <v>289000</v>
      </c>
      <c r="J48" s="16">
        <v>28.9</v>
      </c>
      <c r="K48" s="74"/>
      <c r="L48" s="80">
        <v>28.9</v>
      </c>
      <c r="M48" s="19"/>
      <c r="N48" s="20">
        <f t="shared" si="39"/>
        <v>0</v>
      </c>
      <c r="O48" s="21">
        <f t="shared" si="40"/>
        <v>0</v>
      </c>
      <c r="P48" s="15">
        <f t="shared" si="41"/>
        <v>0</v>
      </c>
      <c r="Q48" s="27"/>
      <c r="R48" s="23"/>
      <c r="S48" s="19"/>
      <c r="T48" s="23"/>
      <c r="U48" s="24"/>
      <c r="V48" s="24"/>
      <c r="W48" s="24"/>
      <c r="X48" s="19"/>
      <c r="Y48" s="23"/>
      <c r="Z48" s="24"/>
      <c r="AA48" s="24"/>
      <c r="AB48" s="19"/>
      <c r="AC48" s="23"/>
    </row>
    <row r="49">
      <c r="A49" s="78" t="s">
        <v>112</v>
      </c>
      <c r="B49" s="81">
        <f>B48/E69</f>
        <v>0.03282129508</v>
      </c>
      <c r="C49" s="11">
        <f>I49/E69</f>
        <v>0.00883309616</v>
      </c>
      <c r="D49" s="12" t="s">
        <v>113</v>
      </c>
      <c r="E49" s="12" t="s">
        <v>114</v>
      </c>
      <c r="F49" s="13">
        <v>7.9</v>
      </c>
      <c r="G49" s="14">
        <v>7500.0</v>
      </c>
      <c r="H49" s="15">
        <f t="shared" si="37"/>
        <v>254325</v>
      </c>
      <c r="I49" s="15">
        <f t="shared" si="38"/>
        <v>254325</v>
      </c>
      <c r="J49" s="16">
        <v>33.91</v>
      </c>
      <c r="K49" s="82">
        <f>IFERROR(__xludf.DUMMYFUNCTION("GOOGLEFINANCE(E49,""changepct"")"),0.41)</f>
        <v>0.41</v>
      </c>
      <c r="L49" s="18">
        <f>IFERROR(__xludf.DUMMYFUNCTION("googlefinance(E49,""price"")"),33.91)</f>
        <v>33.91</v>
      </c>
      <c r="M49" s="19"/>
      <c r="N49" s="20">
        <f t="shared" si="39"/>
        <v>0</v>
      </c>
      <c r="O49" s="21">
        <f t="shared" si="40"/>
        <v>0</v>
      </c>
      <c r="P49" s="15">
        <f t="shared" si="41"/>
        <v>0</v>
      </c>
      <c r="Q49" s="11">
        <v>0.016</v>
      </c>
      <c r="R49" s="15"/>
      <c r="S49" s="19"/>
      <c r="T49" s="23"/>
      <c r="U49" s="24"/>
      <c r="V49" s="24"/>
      <c r="W49" s="25"/>
      <c r="X49" s="19"/>
      <c r="Y49" s="23"/>
      <c r="Z49" s="24"/>
      <c r="AA49" s="24"/>
      <c r="AB49" s="19"/>
      <c r="AC49" s="23"/>
    </row>
    <row r="50">
      <c r="A50" s="78" t="s">
        <v>115</v>
      </c>
      <c r="B50" s="79">
        <f>I50+I49+I57+I53+I51+I55+I54+I52+I56</f>
        <v>4526575</v>
      </c>
      <c r="C50" s="11">
        <f>I50/E69</f>
        <v>0.005939091491</v>
      </c>
      <c r="D50" s="12" t="s">
        <v>116</v>
      </c>
      <c r="E50" s="12" t="s">
        <v>117</v>
      </c>
      <c r="F50" s="13">
        <v>7.8</v>
      </c>
      <c r="G50" s="14">
        <v>4000.0</v>
      </c>
      <c r="H50" s="15">
        <f t="shared" si="37"/>
        <v>171000</v>
      </c>
      <c r="I50" s="15">
        <f t="shared" si="38"/>
        <v>171000</v>
      </c>
      <c r="J50" s="16">
        <v>42.75</v>
      </c>
      <c r="K50" s="82">
        <f>IFERROR(__xludf.DUMMYFUNCTION("GOOGLEFINANCE(E50,""changepct"")"),1.02)</f>
        <v>1.02</v>
      </c>
      <c r="L50" s="18">
        <f>IFERROR(__xludf.DUMMYFUNCTION("googlefinance(E50,""price"")"),42.75)</f>
        <v>42.75</v>
      </c>
      <c r="M50" s="19"/>
      <c r="N50" s="20">
        <f t="shared" si="39"/>
        <v>0</v>
      </c>
      <c r="O50" s="21">
        <f t="shared" si="40"/>
        <v>0</v>
      </c>
      <c r="P50" s="15">
        <f t="shared" si="41"/>
        <v>0</v>
      </c>
      <c r="Q50" s="11">
        <v>0.026</v>
      </c>
      <c r="R50" s="15"/>
      <c r="S50" s="19"/>
      <c r="T50" s="23"/>
      <c r="U50" s="24"/>
      <c r="V50" s="24"/>
      <c r="W50" s="25"/>
      <c r="X50" s="19"/>
      <c r="Y50" s="23"/>
      <c r="Z50" s="24"/>
      <c r="AA50" s="24"/>
      <c r="AB50" s="19"/>
      <c r="AC50" s="23"/>
    </row>
    <row r="51">
      <c r="A51" s="78" t="s">
        <v>118</v>
      </c>
      <c r="B51" s="81">
        <f>B50/E69</f>
        <v>0.1572148717</v>
      </c>
      <c r="C51" s="11">
        <f>I51/E69</f>
        <v>0.02716352898</v>
      </c>
      <c r="D51" s="12" t="s">
        <v>119</v>
      </c>
      <c r="E51" s="12" t="s">
        <v>120</v>
      </c>
      <c r="F51" s="13">
        <v>8.1</v>
      </c>
      <c r="G51" s="30">
        <v>10000.0</v>
      </c>
      <c r="H51" s="15">
        <f t="shared" si="37"/>
        <v>782100</v>
      </c>
      <c r="I51" s="15">
        <f t="shared" si="38"/>
        <v>782100</v>
      </c>
      <c r="J51" s="16">
        <v>78.21</v>
      </c>
      <c r="K51" s="82">
        <f>IFERROR(__xludf.DUMMYFUNCTION("GOOGLEFINANCE(E51,""changepct"")"),0.46)</f>
        <v>0.46</v>
      </c>
      <c r="L51" s="18">
        <f>IFERROR(__xludf.DUMMYFUNCTION("googlefinance(E51,""price"")"),78.21)</f>
        <v>78.21</v>
      </c>
      <c r="M51" s="19"/>
      <c r="N51" s="20">
        <f t="shared" si="39"/>
        <v>0</v>
      </c>
      <c r="O51" s="21">
        <f t="shared" si="40"/>
        <v>0</v>
      </c>
      <c r="P51" s="15">
        <f t="shared" si="41"/>
        <v>0</v>
      </c>
      <c r="Q51" s="11">
        <v>0.032</v>
      </c>
      <c r="R51" s="15"/>
      <c r="S51" s="19"/>
      <c r="T51" s="23"/>
      <c r="U51" s="24"/>
      <c r="V51" s="24"/>
      <c r="W51" s="24"/>
      <c r="X51" s="19"/>
      <c r="Y51" s="23"/>
      <c r="Z51" s="24"/>
      <c r="AA51" s="25"/>
      <c r="AB51" s="19"/>
      <c r="AC51" s="23"/>
    </row>
    <row r="52">
      <c r="A52" s="29"/>
      <c r="B52" s="24"/>
      <c r="C52" s="11">
        <f>I52/E69</f>
        <v>0.03878122549</v>
      </c>
      <c r="D52" s="12" t="s">
        <v>121</v>
      </c>
      <c r="E52" s="12" t="s">
        <v>122</v>
      </c>
      <c r="F52" s="13">
        <v>8.1</v>
      </c>
      <c r="G52" s="30">
        <v>30000.0</v>
      </c>
      <c r="H52" s="15">
        <f t="shared" si="37"/>
        <v>1116600</v>
      </c>
      <c r="I52" s="15">
        <f t="shared" si="38"/>
        <v>1116600</v>
      </c>
      <c r="J52" s="16">
        <v>37.22</v>
      </c>
      <c r="K52" s="82">
        <f>IFERROR(__xludf.DUMMYFUNCTION("GOOGLEFINANCE(E52,""changepct"")"),0.59)</f>
        <v>0.59</v>
      </c>
      <c r="L52" s="18">
        <f>IFERROR(__xludf.DUMMYFUNCTION("googlefinance(E52,""price"")"),37.22)</f>
        <v>37.22</v>
      </c>
      <c r="M52" s="19"/>
      <c r="N52" s="20">
        <f t="shared" si="39"/>
        <v>0</v>
      </c>
      <c r="O52" s="21">
        <f t="shared" si="40"/>
        <v>0</v>
      </c>
      <c r="P52" s="15">
        <f t="shared" si="41"/>
        <v>0</v>
      </c>
      <c r="Q52" s="11">
        <v>0.027</v>
      </c>
      <c r="R52" s="15"/>
      <c r="S52" s="19"/>
      <c r="T52" s="23"/>
      <c r="U52" s="24"/>
      <c r="V52" s="24"/>
      <c r="W52" s="25"/>
      <c r="X52" s="19"/>
      <c r="Y52" s="23"/>
      <c r="Z52" s="12"/>
      <c r="AA52" s="38"/>
      <c r="AB52" s="20"/>
      <c r="AC52" s="15"/>
    </row>
    <row r="53">
      <c r="A53" s="29"/>
      <c r="B53" s="24"/>
      <c r="C53" s="11">
        <f>I53/E69</f>
        <v>0.0215335481</v>
      </c>
      <c r="D53" s="12" t="s">
        <v>123</v>
      </c>
      <c r="E53" s="12" t="s">
        <v>124</v>
      </c>
      <c r="F53" s="13">
        <v>7.8</v>
      </c>
      <c r="G53" s="30">
        <v>40000.0</v>
      </c>
      <c r="H53" s="15">
        <f t="shared" si="37"/>
        <v>620000</v>
      </c>
      <c r="I53" s="15">
        <f t="shared" si="38"/>
        <v>620000</v>
      </c>
      <c r="J53" s="16">
        <v>15.5</v>
      </c>
      <c r="K53" s="82">
        <f>IFERROR(__xludf.DUMMYFUNCTION("GOOGLEFINANCE(E53,""changepct"")"),0.26)</f>
        <v>0.26</v>
      </c>
      <c r="L53" s="18">
        <f>IFERROR(__xludf.DUMMYFUNCTION("googlefinance(E53,""price"")"),15.5)</f>
        <v>15.5</v>
      </c>
      <c r="M53" s="19"/>
      <c r="N53" s="20">
        <f t="shared" si="39"/>
        <v>0</v>
      </c>
      <c r="O53" s="21">
        <f t="shared" si="40"/>
        <v>0</v>
      </c>
      <c r="P53" s="15">
        <f t="shared" si="41"/>
        <v>0</v>
      </c>
      <c r="Q53" s="11">
        <v>0.0255</v>
      </c>
      <c r="R53" s="15"/>
      <c r="S53" s="19"/>
      <c r="T53" s="23"/>
      <c r="U53" s="24"/>
      <c r="V53" s="24"/>
      <c r="W53" s="25"/>
      <c r="X53" s="19"/>
      <c r="Y53" s="23"/>
      <c r="Z53" s="24"/>
      <c r="AA53" s="25"/>
      <c r="AB53" s="19"/>
      <c r="AC53" s="23"/>
    </row>
    <row r="54">
      <c r="A54" s="29"/>
      <c r="B54" s="24"/>
      <c r="C54" s="11">
        <f>I54/E69</f>
        <v>0.0140454304</v>
      </c>
      <c r="D54" s="12" t="s">
        <v>125</v>
      </c>
      <c r="E54" s="12" t="s">
        <v>126</v>
      </c>
      <c r="F54" s="13">
        <v>8.0</v>
      </c>
      <c r="G54" s="30">
        <v>20000.0</v>
      </c>
      <c r="H54" s="15">
        <f t="shared" si="37"/>
        <v>404400</v>
      </c>
      <c r="I54" s="15">
        <f t="shared" si="38"/>
        <v>404400</v>
      </c>
      <c r="J54" s="16">
        <v>20.22</v>
      </c>
      <c r="K54" s="82">
        <f>IFERROR(__xludf.DUMMYFUNCTION("GOOGLEFINANCE(E54,""changepct"")"),1.4)</f>
        <v>1.4</v>
      </c>
      <c r="L54" s="18">
        <f>IFERROR(__xludf.DUMMYFUNCTION("googlefinance(E54,""price"")"),20.22)</f>
        <v>20.22</v>
      </c>
      <c r="M54" s="19"/>
      <c r="N54" s="20">
        <f t="shared" si="39"/>
        <v>0</v>
      </c>
      <c r="O54" s="21">
        <f t="shared" si="40"/>
        <v>0</v>
      </c>
      <c r="P54" s="15">
        <f t="shared" si="41"/>
        <v>0</v>
      </c>
      <c r="Q54" s="11">
        <v>0.02</v>
      </c>
      <c r="R54" s="15"/>
      <c r="S54" s="19"/>
      <c r="T54" s="15"/>
      <c r="U54" s="24"/>
      <c r="V54" s="24"/>
      <c r="W54" s="25"/>
      <c r="X54" s="19"/>
      <c r="Y54" s="23"/>
      <c r="Z54" s="12"/>
      <c r="AA54" s="38"/>
      <c r="AB54" s="20"/>
      <c r="AC54" s="15"/>
    </row>
    <row r="55">
      <c r="A55" s="29"/>
      <c r="B55" s="24"/>
      <c r="C55" s="11">
        <f>I55/E69</f>
        <v>0.02643243029</v>
      </c>
      <c r="D55" s="72" t="s">
        <v>127</v>
      </c>
      <c r="E55" s="12" t="s">
        <v>128</v>
      </c>
      <c r="F55" s="13">
        <v>7.9</v>
      </c>
      <c r="G55" s="30">
        <v>155000.0</v>
      </c>
      <c r="H55" s="15">
        <f t="shared" si="37"/>
        <v>761050</v>
      </c>
      <c r="I55" s="15">
        <f t="shared" si="38"/>
        <v>761050</v>
      </c>
      <c r="J55" s="16">
        <v>4.91</v>
      </c>
      <c r="K55" s="82">
        <f>IFERROR(__xludf.DUMMYFUNCTION("GOOGLEFINANCE(E55,""changepct"")"),1.03)</f>
        <v>1.03</v>
      </c>
      <c r="L55" s="18">
        <f>IFERROR(__xludf.DUMMYFUNCTION("googlefinance(E55,""price"")"),4.91)</f>
        <v>4.91</v>
      </c>
      <c r="M55" s="19"/>
      <c r="N55" s="20">
        <f t="shared" si="39"/>
        <v>0</v>
      </c>
      <c r="O55" s="21">
        <f t="shared" si="40"/>
        <v>0</v>
      </c>
      <c r="P55" s="15">
        <f t="shared" si="41"/>
        <v>0</v>
      </c>
      <c r="Q55" s="11">
        <v>0.0045</v>
      </c>
      <c r="R55" s="15"/>
      <c r="S55" s="19"/>
      <c r="T55" s="23"/>
      <c r="U55" s="24"/>
      <c r="V55" s="24"/>
      <c r="W55" s="25"/>
      <c r="X55" s="19"/>
      <c r="Y55" s="23"/>
      <c r="Z55" s="12"/>
      <c r="AA55" s="38"/>
      <c r="AB55" s="20"/>
      <c r="AC55" s="15"/>
    </row>
    <row r="56">
      <c r="A56" s="29"/>
      <c r="B56" s="24"/>
      <c r="C56" s="11">
        <f>I56/E69</f>
        <v>0.008474493122</v>
      </c>
      <c r="D56" s="72" t="s">
        <v>129</v>
      </c>
      <c r="E56" s="12" t="s">
        <v>130</v>
      </c>
      <c r="F56" s="13">
        <v>7.7</v>
      </c>
      <c r="G56" s="14">
        <v>100000.0</v>
      </c>
      <c r="H56" s="15">
        <f t="shared" si="37"/>
        <v>244000</v>
      </c>
      <c r="I56" s="15">
        <f t="shared" si="38"/>
        <v>244000</v>
      </c>
      <c r="J56" s="16">
        <v>2.44</v>
      </c>
      <c r="K56" s="82">
        <f>IFERROR(__xludf.DUMMYFUNCTION("GOOGLEFINANCE(E56,""changepct"")"),0.83)</f>
        <v>0.83</v>
      </c>
      <c r="L56" s="18">
        <f>IFERROR(__xludf.DUMMYFUNCTION("googlefinance(E56,""price"")"),2.44)</f>
        <v>2.44</v>
      </c>
      <c r="M56" s="19"/>
      <c r="N56" s="20">
        <f t="shared" si="39"/>
        <v>0</v>
      </c>
      <c r="O56" s="21">
        <f t="shared" si="40"/>
        <v>0</v>
      </c>
      <c r="P56" s="15">
        <f t="shared" si="41"/>
        <v>0</v>
      </c>
      <c r="Q56" s="11">
        <v>0.06</v>
      </c>
      <c r="R56" s="23"/>
      <c r="S56" s="19"/>
      <c r="T56" s="23"/>
      <c r="U56" s="24"/>
      <c r="V56" s="24"/>
      <c r="W56" s="25"/>
      <c r="X56" s="19"/>
      <c r="Y56" s="23"/>
      <c r="Z56" s="12"/>
      <c r="AA56" s="38"/>
      <c r="AB56" s="20"/>
      <c r="AC56" s="15"/>
    </row>
    <row r="57">
      <c r="A57" s="29"/>
      <c r="B57" s="24"/>
      <c r="C57" s="11">
        <f>I57/E69</f>
        <v>0.006012027702</v>
      </c>
      <c r="D57" s="72" t="s">
        <v>131</v>
      </c>
      <c r="E57" s="12" t="s">
        <v>132</v>
      </c>
      <c r="F57" s="13">
        <v>7.9</v>
      </c>
      <c r="G57" s="14">
        <v>15000.0</v>
      </c>
      <c r="H57" s="15">
        <f t="shared" si="37"/>
        <v>173100</v>
      </c>
      <c r="I57" s="15">
        <f t="shared" si="38"/>
        <v>173100</v>
      </c>
      <c r="J57" s="16">
        <v>11.54</v>
      </c>
      <c r="K57" s="82">
        <f>IFERROR(__xludf.DUMMYFUNCTION("GOOGLEFINANCE(E57,""changepct"")"),0.87)</f>
        <v>0.87</v>
      </c>
      <c r="L57" s="18">
        <f>IFERROR(__xludf.DUMMYFUNCTION("googlefinance(E57,""price"")"),11.54)</f>
        <v>11.54</v>
      </c>
      <c r="M57" s="19"/>
      <c r="N57" s="20">
        <f t="shared" si="39"/>
        <v>0</v>
      </c>
      <c r="O57" s="21">
        <f t="shared" si="40"/>
        <v>0</v>
      </c>
      <c r="P57" s="15">
        <f t="shared" si="41"/>
        <v>0</v>
      </c>
      <c r="Q57" s="11">
        <v>0.01</v>
      </c>
      <c r="R57" s="15"/>
      <c r="S57" s="19"/>
      <c r="T57" s="23"/>
      <c r="U57" s="24"/>
      <c r="V57" s="24"/>
      <c r="W57" s="25"/>
      <c r="X57" s="19"/>
      <c r="Y57" s="23"/>
      <c r="Z57" s="24"/>
      <c r="AA57" s="25"/>
      <c r="AB57" s="19"/>
      <c r="AC57" s="23"/>
    </row>
    <row r="58">
      <c r="A58" s="40"/>
      <c r="B58" s="41"/>
      <c r="C58" s="4" t="s">
        <v>62</v>
      </c>
      <c r="D58" s="41"/>
      <c r="E58" s="41"/>
      <c r="F58" s="41"/>
      <c r="G58" s="42"/>
      <c r="H58" s="43">
        <f t="shared" ref="H58:I58" si="42">SUM(H47:H57)</f>
        <v>5471575</v>
      </c>
      <c r="I58" s="44">
        <f t="shared" si="42"/>
        <v>5471575</v>
      </c>
      <c r="J58" s="45"/>
      <c r="K58" s="45"/>
      <c r="L58" s="41"/>
      <c r="M58" s="41"/>
      <c r="N58" s="41"/>
      <c r="O58" s="46">
        <f>P58/(I58+R58+T58)</f>
        <v>0</v>
      </c>
      <c r="P58" s="44">
        <f>SUM(P47:P57)</f>
        <v>0</v>
      </c>
      <c r="Q58" s="41"/>
      <c r="R58" s="43">
        <f>SUM(R47:R57)</f>
        <v>0</v>
      </c>
      <c r="S58" s="41"/>
      <c r="T58" s="43">
        <f>SUM(T47:T57)</f>
        <v>0</v>
      </c>
      <c r="U58" s="41"/>
      <c r="V58" s="4" t="s">
        <v>62</v>
      </c>
      <c r="W58" s="41"/>
      <c r="X58" s="45"/>
      <c r="Y58" s="43">
        <f>SUM(Y47:Y57)</f>
        <v>0</v>
      </c>
      <c r="Z58" s="4" t="s">
        <v>62</v>
      </c>
      <c r="AA58" s="41"/>
      <c r="AB58" s="41"/>
      <c r="AC58" s="43">
        <f>SUM(AC47:AC57)</f>
        <v>0</v>
      </c>
    </row>
    <row r="59">
      <c r="A59" s="40"/>
      <c r="B59" s="4" t="s">
        <v>133</v>
      </c>
      <c r="C59" s="4" t="s">
        <v>2</v>
      </c>
      <c r="D59" s="4" t="s">
        <v>134</v>
      </c>
      <c r="E59" s="4" t="s">
        <v>4</v>
      </c>
      <c r="F59" s="4" t="s">
        <v>5</v>
      </c>
      <c r="G59" s="4" t="s">
        <v>135</v>
      </c>
      <c r="H59" s="4" t="s">
        <v>7</v>
      </c>
      <c r="I59" s="5" t="s">
        <v>8</v>
      </c>
      <c r="J59" s="5" t="s">
        <v>9</v>
      </c>
      <c r="K59" s="6" t="s">
        <v>10</v>
      </c>
      <c r="L59" s="6" t="s">
        <v>11</v>
      </c>
      <c r="M59" s="7" t="s">
        <v>12</v>
      </c>
      <c r="N59" s="7" t="s">
        <v>13</v>
      </c>
      <c r="O59" s="4" t="s">
        <v>14</v>
      </c>
      <c r="P59" s="7" t="s">
        <v>15</v>
      </c>
      <c r="Q59" s="4" t="s">
        <v>136</v>
      </c>
      <c r="R59" s="4" t="s">
        <v>17</v>
      </c>
      <c r="S59" s="7" t="s">
        <v>18</v>
      </c>
      <c r="T59" s="4" t="s">
        <v>19</v>
      </c>
      <c r="U59" s="4" t="s">
        <v>19</v>
      </c>
      <c r="V59" s="4" t="s">
        <v>21</v>
      </c>
      <c r="W59" s="4" t="s">
        <v>22</v>
      </c>
      <c r="X59" s="9" t="s">
        <v>23</v>
      </c>
      <c r="Y59" s="9" t="s">
        <v>24</v>
      </c>
      <c r="Z59" s="4" t="s">
        <v>25</v>
      </c>
      <c r="AA59" s="4" t="s">
        <v>26</v>
      </c>
      <c r="AB59" s="4" t="s">
        <v>27</v>
      </c>
      <c r="AC59" s="4" t="s">
        <v>28</v>
      </c>
    </row>
    <row r="60">
      <c r="A60" s="48" t="s">
        <v>29</v>
      </c>
      <c r="B60" s="49">
        <f>I62/E69</f>
        <v>0.01556580309</v>
      </c>
      <c r="C60" s="11">
        <f>I60/E69</f>
        <v>0.009765637719</v>
      </c>
      <c r="D60" s="83" t="s">
        <v>137</v>
      </c>
      <c r="E60" s="12" t="s">
        <v>138</v>
      </c>
      <c r="F60" s="13">
        <v>7.9</v>
      </c>
      <c r="G60" s="14">
        <v>3.0</v>
      </c>
      <c r="H60" s="15">
        <f t="shared" ref="H60:H61" si="43">G60*J60</f>
        <v>281175</v>
      </c>
      <c r="I60" s="15">
        <f t="shared" ref="I60:I61" si="44">H60+P60</f>
        <v>281175</v>
      </c>
      <c r="J60" s="35">
        <v>93725.0</v>
      </c>
      <c r="K60" s="84"/>
      <c r="L60" s="85">
        <v>93725.0</v>
      </c>
      <c r="M60" s="76"/>
      <c r="N60" s="86">
        <f t="shared" ref="N60:N61" si="45">L60-J60</f>
        <v>0</v>
      </c>
      <c r="O60" s="87">
        <f t="shared" ref="O60:O61" si="46">L60/J60-1</f>
        <v>0</v>
      </c>
      <c r="P60" s="88">
        <f t="shared" ref="P60:P61" si="47">H60*O60</f>
        <v>0</v>
      </c>
      <c r="Q60" s="24"/>
      <c r="R60" s="24"/>
      <c r="S60" s="23"/>
      <c r="T60" s="24"/>
      <c r="U60" s="24"/>
      <c r="V60" s="24"/>
      <c r="W60" s="25"/>
      <c r="X60" s="23"/>
      <c r="Y60" s="23"/>
      <c r="Z60" s="89"/>
      <c r="AA60" s="90"/>
      <c r="AB60" s="91"/>
      <c r="AC60" s="91"/>
    </row>
    <row r="61">
      <c r="A61" s="29"/>
      <c r="B61" s="24"/>
      <c r="C61" s="11">
        <f>I61/E69</f>
        <v>0.005800165374</v>
      </c>
      <c r="D61" s="12" t="s">
        <v>139</v>
      </c>
      <c r="E61" s="31" t="s">
        <v>140</v>
      </c>
      <c r="F61" s="13">
        <v>7.8</v>
      </c>
      <c r="G61" s="14">
        <v>50.0</v>
      </c>
      <c r="H61" s="15">
        <f t="shared" si="43"/>
        <v>167000</v>
      </c>
      <c r="I61" s="15">
        <f t="shared" si="44"/>
        <v>167000</v>
      </c>
      <c r="J61" s="35">
        <v>3340.0</v>
      </c>
      <c r="K61" s="84"/>
      <c r="L61" s="85">
        <v>3340.0</v>
      </c>
      <c r="M61" s="76"/>
      <c r="N61" s="86">
        <f t="shared" si="45"/>
        <v>0</v>
      </c>
      <c r="O61" s="87">
        <f t="shared" si="46"/>
        <v>0</v>
      </c>
      <c r="P61" s="88">
        <f t="shared" si="47"/>
        <v>0</v>
      </c>
      <c r="Q61" s="24"/>
      <c r="R61" s="24"/>
      <c r="S61" s="23"/>
      <c r="T61" s="24"/>
      <c r="U61" s="24"/>
      <c r="V61" s="24"/>
      <c r="W61" s="25"/>
      <c r="X61" s="23"/>
      <c r="Y61" s="23"/>
      <c r="Z61" s="89"/>
      <c r="AA61" s="90"/>
      <c r="AB61" s="92"/>
      <c r="AC61" s="23"/>
    </row>
    <row r="62">
      <c r="A62" s="40"/>
      <c r="B62" s="41"/>
      <c r="C62" s="4" t="s">
        <v>62</v>
      </c>
      <c r="D62" s="41"/>
      <c r="E62" s="41"/>
      <c r="F62" s="41"/>
      <c r="G62" s="42"/>
      <c r="H62" s="43">
        <f t="shared" ref="H62:I62" si="48">SUM(H60:H61)</f>
        <v>448175</v>
      </c>
      <c r="I62" s="43">
        <f t="shared" si="48"/>
        <v>448175</v>
      </c>
      <c r="J62" s="45"/>
      <c r="K62" s="41"/>
      <c r="L62" s="41"/>
      <c r="M62" s="41"/>
      <c r="N62" s="41"/>
      <c r="O62" s="61">
        <f>F67</f>
        <v>0</v>
      </c>
      <c r="P62" s="43">
        <f>SUM(P60:P61)</f>
        <v>0</v>
      </c>
      <c r="Q62" s="41"/>
      <c r="R62" s="41"/>
      <c r="S62" s="93"/>
      <c r="T62" s="43">
        <f>SUM(T60:T61)</f>
        <v>0</v>
      </c>
      <c r="U62" s="41"/>
      <c r="V62" s="4" t="s">
        <v>62</v>
      </c>
      <c r="W62" s="41"/>
      <c r="X62" s="45"/>
      <c r="Y62" s="43">
        <f>SUM(Y60:Y61)</f>
        <v>0</v>
      </c>
      <c r="Z62" s="4" t="s">
        <v>62</v>
      </c>
      <c r="AA62" s="41"/>
      <c r="AB62" s="42"/>
      <c r="AC62" s="43">
        <f>SUM(AC60:AC61)</f>
        <v>0</v>
      </c>
    </row>
    <row r="63">
      <c r="A63" s="3" t="s">
        <v>141</v>
      </c>
      <c r="B63" s="4" t="s">
        <v>142</v>
      </c>
      <c r="C63" s="4" t="s">
        <v>143</v>
      </c>
      <c r="D63" s="4" t="s">
        <v>144</v>
      </c>
      <c r="E63" s="4" t="s">
        <v>145</v>
      </c>
      <c r="F63" s="4" t="s">
        <v>14</v>
      </c>
      <c r="G63" s="4" t="s">
        <v>146</v>
      </c>
      <c r="H63" s="4" t="s">
        <v>147</v>
      </c>
      <c r="I63" s="4" t="s">
        <v>148</v>
      </c>
      <c r="J63" s="4" t="s">
        <v>149</v>
      </c>
      <c r="K63" s="4" t="s">
        <v>150</v>
      </c>
      <c r="L63" s="41"/>
      <c r="M63" s="41"/>
      <c r="N63" s="41"/>
      <c r="O63" s="41"/>
      <c r="P63" s="41"/>
      <c r="Q63" s="41"/>
      <c r="R63" s="94"/>
      <c r="S63" s="95"/>
      <c r="T63" s="96"/>
      <c r="U63" s="94"/>
      <c r="V63" s="94"/>
      <c r="W63" s="94"/>
      <c r="X63" s="94"/>
      <c r="Y63" s="94"/>
      <c r="Z63" s="94"/>
      <c r="AA63" s="94"/>
      <c r="AB63" s="94"/>
      <c r="AC63" s="94"/>
    </row>
    <row r="64">
      <c r="A64" s="78" t="s">
        <v>151</v>
      </c>
      <c r="B64" s="11">
        <f>B4</f>
        <v>0.5501798616</v>
      </c>
      <c r="C64" s="15">
        <f>H19</f>
        <v>15840934</v>
      </c>
      <c r="D64" s="35">
        <v>1.5840934E7</v>
      </c>
      <c r="E64" s="15">
        <f>I19</f>
        <v>15840934</v>
      </c>
      <c r="F64" s="21">
        <f t="shared" ref="F64:G64" si="49">O19</f>
        <v>0</v>
      </c>
      <c r="G64" s="97">
        <f t="shared" si="49"/>
        <v>0</v>
      </c>
      <c r="H64" s="97">
        <f>T58+T45+T19+T24+T62+AB81</f>
        <v>0</v>
      </c>
      <c r="I64" s="97">
        <f>R58+R45+R19</f>
        <v>0</v>
      </c>
      <c r="J64" s="97">
        <f>AB81</f>
        <v>0</v>
      </c>
      <c r="K64" s="97">
        <f>G64+H64+G66+I64+J64+G65</f>
        <v>0</v>
      </c>
      <c r="L64" s="24"/>
      <c r="M64" s="24"/>
      <c r="N64" s="24"/>
      <c r="O64" s="24"/>
      <c r="P64" s="24"/>
      <c r="Q64" s="24"/>
      <c r="R64" s="94"/>
      <c r="S64" s="95"/>
      <c r="T64" s="94"/>
      <c r="U64" s="94"/>
      <c r="V64" s="94"/>
      <c r="W64" s="94"/>
      <c r="X64" s="94"/>
      <c r="Y64" s="94"/>
      <c r="Z64" s="94"/>
      <c r="AA64" s="94"/>
      <c r="AB64" s="94"/>
      <c r="AC64" s="94"/>
    </row>
    <row r="65">
      <c r="A65" s="98" t="s">
        <v>152</v>
      </c>
      <c r="B65" s="11">
        <f>(I24+I45+I36+I30)/E69</f>
        <v>0.24515137</v>
      </c>
      <c r="C65" s="15">
        <f>H24+H45+H30+H36</f>
        <v>7058467.5</v>
      </c>
      <c r="D65" s="35">
        <v>7058468.0</v>
      </c>
      <c r="E65" s="15">
        <f>I24+I45+I30+I36</f>
        <v>7058467.5</v>
      </c>
      <c r="F65" s="21">
        <f>G65/E65</f>
        <v>0</v>
      </c>
      <c r="G65" s="97">
        <f>P24+P45</f>
        <v>0</v>
      </c>
      <c r="H65" s="99"/>
      <c r="I65" s="99"/>
      <c r="J65" s="99"/>
      <c r="K65" s="100">
        <f>K64/(D65+D66+D64)</f>
        <v>0</v>
      </c>
      <c r="L65" s="24"/>
      <c r="M65" s="24"/>
      <c r="N65" s="24"/>
      <c r="O65" s="24"/>
      <c r="P65" s="24"/>
      <c r="Q65" s="24"/>
      <c r="R65" s="94"/>
      <c r="S65" s="95"/>
      <c r="T65" s="94"/>
      <c r="U65" s="94"/>
      <c r="V65" s="94"/>
      <c r="W65" s="94"/>
      <c r="X65" s="94"/>
      <c r="Y65" s="94"/>
      <c r="Z65" s="94"/>
      <c r="AA65" s="94"/>
      <c r="AB65" s="94"/>
      <c r="AC65" s="94"/>
    </row>
    <row r="66">
      <c r="A66" s="78" t="s">
        <v>153</v>
      </c>
      <c r="B66" s="11">
        <f>E66/E69</f>
        <v>0.1900361668</v>
      </c>
      <c r="C66" s="15">
        <f>H58</f>
        <v>5471575</v>
      </c>
      <c r="D66" s="35">
        <v>5471575.0</v>
      </c>
      <c r="E66" s="15">
        <f>I58</f>
        <v>5471575</v>
      </c>
      <c r="F66" s="21">
        <f t="shared" ref="F66:G66" si="50">O58</f>
        <v>0</v>
      </c>
      <c r="G66" s="97">
        <f t="shared" si="50"/>
        <v>0</v>
      </c>
      <c r="H66" s="101"/>
      <c r="I66" s="101"/>
      <c r="J66" s="101"/>
      <c r="K66" s="101"/>
      <c r="L66" s="24"/>
      <c r="M66" s="24"/>
      <c r="N66" s="24"/>
      <c r="O66" s="24"/>
      <c r="P66" s="24"/>
      <c r="Q66" s="24"/>
      <c r="R66" s="94"/>
      <c r="S66" s="95"/>
      <c r="T66" s="94"/>
      <c r="U66" s="94"/>
      <c r="V66" s="94"/>
      <c r="W66" s="94"/>
      <c r="X66" s="94"/>
      <c r="Y66" s="94"/>
      <c r="Z66" s="94"/>
      <c r="AA66" s="94"/>
      <c r="AB66" s="94"/>
      <c r="AC66" s="94"/>
    </row>
    <row r="67">
      <c r="A67" s="78" t="s">
        <v>154</v>
      </c>
      <c r="B67" s="11">
        <f>E67/E69</f>
        <v>0.01556580309</v>
      </c>
      <c r="C67" s="15">
        <f>H62</f>
        <v>448175</v>
      </c>
      <c r="D67" s="35">
        <v>448175.0</v>
      </c>
      <c r="E67" s="15">
        <f>I62</f>
        <v>448175</v>
      </c>
      <c r="F67" s="21">
        <f>G67/D67</f>
        <v>0</v>
      </c>
      <c r="G67" s="97">
        <f>P62</f>
        <v>0</v>
      </c>
      <c r="H67" s="102"/>
      <c r="I67" s="102"/>
      <c r="J67" s="102"/>
      <c r="K67" s="102"/>
      <c r="L67" s="24"/>
      <c r="M67" s="24"/>
      <c r="N67" s="24"/>
      <c r="O67" s="24"/>
      <c r="P67" s="24"/>
      <c r="Q67" s="24"/>
      <c r="R67" s="94"/>
      <c r="S67" s="95"/>
      <c r="T67" s="94"/>
      <c r="U67" s="94"/>
      <c r="V67" s="94"/>
      <c r="W67" s="94"/>
      <c r="X67" s="94"/>
      <c r="Y67" s="94"/>
      <c r="Z67" s="94"/>
      <c r="AA67" s="94"/>
      <c r="AB67" s="94"/>
      <c r="AC67" s="94"/>
    </row>
    <row r="68">
      <c r="A68" s="78" t="s">
        <v>155</v>
      </c>
      <c r="B68" s="11">
        <f>E68/E69</f>
        <v>-0.0009332014577</v>
      </c>
      <c r="C68" s="103" t="s">
        <v>136</v>
      </c>
      <c r="D68" s="104">
        <v>-26869.0</v>
      </c>
      <c r="E68" s="104">
        <v>-26869.0</v>
      </c>
      <c r="F68" s="105" t="s">
        <v>136</v>
      </c>
      <c r="G68" s="97">
        <f>H64+I64+J64</f>
        <v>0</v>
      </c>
      <c r="H68" s="106" t="s">
        <v>156</v>
      </c>
      <c r="I68" s="107" t="s">
        <v>157</v>
      </c>
      <c r="J68" s="107" t="s">
        <v>158</v>
      </c>
      <c r="K68" s="106" t="s">
        <v>159</v>
      </c>
      <c r="L68" s="24"/>
      <c r="M68" s="24"/>
      <c r="N68" s="24"/>
      <c r="O68" s="24"/>
      <c r="P68" s="24"/>
      <c r="Q68" s="24"/>
      <c r="R68" s="94"/>
      <c r="S68" s="95"/>
      <c r="T68" s="94"/>
      <c r="U68" s="94"/>
      <c r="V68" s="94"/>
      <c r="W68" s="94"/>
      <c r="X68" s="94"/>
      <c r="Y68" s="94"/>
      <c r="Z68" s="94"/>
      <c r="AA68" s="94"/>
      <c r="AB68" s="94"/>
      <c r="AC68" s="94"/>
    </row>
    <row r="69">
      <c r="A69" s="3" t="s">
        <v>160</v>
      </c>
      <c r="B69" s="61">
        <v>1.0</v>
      </c>
      <c r="C69" s="43" t="s">
        <v>136</v>
      </c>
      <c r="D69" s="43">
        <f t="shared" ref="D69:E69" si="51">SUM(D64:D68)</f>
        <v>28792283</v>
      </c>
      <c r="E69" s="43">
        <f t="shared" si="51"/>
        <v>28792282.5</v>
      </c>
      <c r="F69" s="21">
        <f>G69/D69</f>
        <v>0</v>
      </c>
      <c r="G69" s="43">
        <f>SUM(G64:G68)</f>
        <v>0</v>
      </c>
      <c r="H69" s="108">
        <v>2.8792283E7</v>
      </c>
      <c r="I69" s="109">
        <f>E69</f>
        <v>28792282.5</v>
      </c>
      <c r="J69" s="43">
        <f>I69-H69</f>
        <v>-0.5</v>
      </c>
      <c r="K69" s="21">
        <f>J69/H69</f>
        <v>-0.00000001736576429</v>
      </c>
      <c r="L69" s="41"/>
      <c r="M69" s="41"/>
      <c r="N69" s="41"/>
      <c r="O69" s="41"/>
      <c r="P69" s="41"/>
      <c r="Q69" s="41"/>
      <c r="R69" s="94"/>
      <c r="S69" s="95"/>
      <c r="T69" s="94"/>
      <c r="U69" s="94"/>
      <c r="V69" s="94"/>
      <c r="W69" s="94"/>
      <c r="X69" s="94"/>
      <c r="Y69" s="94"/>
      <c r="Z69" s="94"/>
      <c r="AA69" s="94"/>
      <c r="AB69" s="94"/>
      <c r="AC69" s="94"/>
    </row>
    <row r="70">
      <c r="A70" s="110" t="s">
        <v>161</v>
      </c>
      <c r="B70" s="89"/>
      <c r="C70" s="111"/>
      <c r="D70" s="111"/>
      <c r="E70" s="111"/>
      <c r="F70" s="111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4"/>
    </row>
    <row r="71">
      <c r="A71" s="112" t="s">
        <v>162</v>
      </c>
      <c r="B71" s="113"/>
      <c r="C71" s="114" t="s">
        <v>163</v>
      </c>
      <c r="D71" s="115" t="s">
        <v>164</v>
      </c>
      <c r="E71" s="115" t="s">
        <v>165</v>
      </c>
      <c r="F71" s="116" t="s">
        <v>166</v>
      </c>
      <c r="G71" s="95"/>
      <c r="H71" s="117" t="s">
        <v>167</v>
      </c>
      <c r="I71" s="117" t="s">
        <v>168</v>
      </c>
      <c r="J71" s="117" t="s">
        <v>169</v>
      </c>
      <c r="K71" s="117" t="s">
        <v>170</v>
      </c>
      <c r="L71" s="117" t="s">
        <v>171</v>
      </c>
      <c r="M71" s="117" t="s">
        <v>172</v>
      </c>
      <c r="N71" s="117" t="s">
        <v>173</v>
      </c>
      <c r="O71" s="117" t="s">
        <v>174</v>
      </c>
      <c r="P71" s="117" t="s">
        <v>175</v>
      </c>
      <c r="Q71" s="117" t="s">
        <v>176</v>
      </c>
      <c r="R71" s="94"/>
      <c r="S71" s="117" t="s">
        <v>177</v>
      </c>
      <c r="T71" s="117" t="s">
        <v>168</v>
      </c>
      <c r="U71" s="117" t="s">
        <v>178</v>
      </c>
      <c r="V71" s="117" t="s">
        <v>170</v>
      </c>
      <c r="W71" s="117" t="s">
        <v>171</v>
      </c>
      <c r="X71" s="117" t="s">
        <v>172</v>
      </c>
      <c r="Y71" s="117" t="s">
        <v>173</v>
      </c>
      <c r="Z71" s="117" t="s">
        <v>174</v>
      </c>
      <c r="AA71" s="117" t="s">
        <v>175</v>
      </c>
      <c r="AB71" s="117" t="s">
        <v>176</v>
      </c>
      <c r="AC71" s="94"/>
    </row>
    <row r="72">
      <c r="A72" s="78" t="s">
        <v>179</v>
      </c>
      <c r="B72" s="12" t="s">
        <v>180</v>
      </c>
      <c r="C72" s="118">
        <v>42544.0</v>
      </c>
      <c r="D72" s="119">
        <f>IFERROR(__xludf.DUMMYFUNCTION("googlefinance(B72,""price"")"),42544.22)</f>
        <v>42544.22</v>
      </c>
      <c r="E72" s="120">
        <f t="shared" ref="E72:E76" si="52">D72-C72</f>
        <v>0.22</v>
      </c>
      <c r="F72" s="121">
        <f t="shared" ref="F72:F76" si="53">D72/C72-1</f>
        <v>0.000005171116961</v>
      </c>
      <c r="G72" s="122"/>
      <c r="H72" s="123">
        <v>10000.0</v>
      </c>
      <c r="I72" s="124" t="s">
        <v>41</v>
      </c>
      <c r="J72" s="125">
        <v>45630.0</v>
      </c>
      <c r="K72" s="125">
        <v>45674.0</v>
      </c>
      <c r="L72" s="126">
        <v>72.5</v>
      </c>
      <c r="M72" s="126">
        <v>3.4</v>
      </c>
      <c r="N72" s="127">
        <v>34000.0</v>
      </c>
      <c r="O72" s="90"/>
      <c r="P72" s="128"/>
      <c r="Q72" s="127">
        <v>34000.0</v>
      </c>
      <c r="R72" s="94"/>
      <c r="S72" s="1"/>
      <c r="T72" s="89"/>
      <c r="U72" s="90"/>
      <c r="V72" s="90"/>
      <c r="W72" s="92"/>
      <c r="X72" s="128"/>
      <c r="Y72" s="91"/>
      <c r="Z72" s="90"/>
      <c r="AA72" s="128"/>
      <c r="AB72" s="91"/>
      <c r="AC72" s="94"/>
    </row>
    <row r="73">
      <c r="A73" s="78" t="s">
        <v>181</v>
      </c>
      <c r="B73" s="12" t="s">
        <v>182</v>
      </c>
      <c r="C73" s="118">
        <v>5882.0</v>
      </c>
      <c r="D73" s="119">
        <f>IFERROR(__xludf.DUMMYFUNCTION("googlefinance(B73,""price"")"),5881.63)</f>
        <v>5881.63</v>
      </c>
      <c r="E73" s="120">
        <f t="shared" si="52"/>
        <v>-0.37</v>
      </c>
      <c r="F73" s="121">
        <f t="shared" si="53"/>
        <v>-0.00006290377423</v>
      </c>
      <c r="G73" s="122"/>
      <c r="H73" s="123"/>
      <c r="I73" s="124"/>
      <c r="J73" s="125"/>
      <c r="K73" s="125"/>
      <c r="L73" s="126"/>
      <c r="M73" s="126"/>
      <c r="N73" s="127"/>
      <c r="O73" s="125"/>
      <c r="P73" s="126"/>
      <c r="Q73" s="127"/>
      <c r="R73" s="94"/>
      <c r="S73" s="1"/>
      <c r="T73" s="89"/>
      <c r="U73" s="90"/>
      <c r="V73" s="90"/>
      <c r="W73" s="92"/>
      <c r="X73" s="128"/>
      <c r="Y73" s="91"/>
      <c r="Z73" s="90"/>
      <c r="AA73" s="128"/>
      <c r="AB73" s="91"/>
      <c r="AC73" s="94"/>
    </row>
    <row r="74">
      <c r="A74" s="78" t="s">
        <v>183</v>
      </c>
      <c r="B74" s="12" t="s">
        <v>184</v>
      </c>
      <c r="C74" s="118">
        <v>19311.0</v>
      </c>
      <c r="D74" s="119">
        <f>IFERROR(__xludf.DUMMYFUNCTION("googlefinance(B74,""price"")"),19310.79)</f>
        <v>19310.79</v>
      </c>
      <c r="E74" s="120">
        <f t="shared" si="52"/>
        <v>-0.21</v>
      </c>
      <c r="F74" s="121">
        <f t="shared" si="53"/>
        <v>-0.00001087463104</v>
      </c>
      <c r="G74" s="122"/>
      <c r="H74" s="129"/>
      <c r="I74" s="130"/>
      <c r="J74" s="131"/>
      <c r="K74" s="131"/>
      <c r="L74" s="132"/>
      <c r="M74" s="132"/>
      <c r="N74" s="133"/>
      <c r="O74" s="131"/>
      <c r="P74" s="134"/>
      <c r="Q74" s="133"/>
      <c r="R74" s="94"/>
      <c r="S74" s="1"/>
      <c r="T74" s="89"/>
      <c r="U74" s="90"/>
      <c r="V74" s="90"/>
      <c r="W74" s="92"/>
      <c r="X74" s="128"/>
      <c r="Y74" s="91"/>
      <c r="Z74" s="90"/>
      <c r="AA74" s="128"/>
      <c r="AB74" s="91"/>
      <c r="AC74" s="94"/>
    </row>
    <row r="75">
      <c r="A75" s="78" t="s">
        <v>185</v>
      </c>
      <c r="B75" s="12" t="s">
        <v>186</v>
      </c>
      <c r="C75" s="119">
        <v>2230.0</v>
      </c>
      <c r="D75" s="119">
        <f>IFERROR(__xludf.DUMMYFUNCTION("googlefinance(B75,""price"")"),2230.16)</f>
        <v>2230.16</v>
      </c>
      <c r="E75" s="120">
        <f t="shared" si="52"/>
        <v>0.16</v>
      </c>
      <c r="F75" s="121">
        <f t="shared" si="53"/>
        <v>0.00007174887892</v>
      </c>
      <c r="G75" s="122"/>
      <c r="H75" s="129"/>
      <c r="I75" s="130"/>
      <c r="J75" s="131"/>
      <c r="K75" s="131"/>
      <c r="L75" s="132"/>
      <c r="M75" s="132"/>
      <c r="N75" s="133"/>
      <c r="O75" s="131"/>
      <c r="P75" s="132"/>
      <c r="Q75" s="133"/>
      <c r="R75" s="94"/>
      <c r="S75" s="1"/>
      <c r="T75" s="89"/>
      <c r="U75" s="90"/>
      <c r="V75" s="90"/>
      <c r="W75" s="92"/>
      <c r="X75" s="128"/>
      <c r="Y75" s="91"/>
      <c r="Z75" s="90"/>
      <c r="AA75" s="128"/>
      <c r="AB75" s="91"/>
      <c r="AC75" s="94"/>
    </row>
    <row r="76">
      <c r="A76" s="78" t="s">
        <v>187</v>
      </c>
      <c r="B76" s="12" t="s">
        <v>188</v>
      </c>
      <c r="C76" s="118">
        <v>19097.0</v>
      </c>
      <c r="D76" s="119">
        <f>IFERROR(__xludf.DUMMYFUNCTION("googlefinance(B76,""price"")"),19097.11)</f>
        <v>19097.11</v>
      </c>
      <c r="E76" s="120">
        <f t="shared" si="52"/>
        <v>0.11</v>
      </c>
      <c r="F76" s="121">
        <f t="shared" si="53"/>
        <v>0.000005760067026</v>
      </c>
      <c r="G76" s="122"/>
      <c r="H76" s="129"/>
      <c r="I76" s="135"/>
      <c r="J76" s="136"/>
      <c r="K76" s="136"/>
      <c r="L76" s="137"/>
      <c r="M76" s="137"/>
      <c r="N76" s="138"/>
      <c r="O76" s="136"/>
      <c r="P76" s="137"/>
      <c r="Q76" s="138"/>
      <c r="R76" s="94"/>
      <c r="S76" s="1"/>
      <c r="T76" s="89"/>
      <c r="U76" s="90"/>
      <c r="V76" s="90"/>
      <c r="W76" s="92"/>
      <c r="X76" s="128"/>
      <c r="Y76" s="91"/>
      <c r="Z76" s="90"/>
      <c r="AA76" s="128"/>
      <c r="AB76" s="91"/>
      <c r="AC76" s="94"/>
    </row>
    <row r="77">
      <c r="A77" s="94"/>
      <c r="B77" s="94"/>
      <c r="C77" s="94"/>
      <c r="D77" s="94"/>
      <c r="E77" s="94"/>
      <c r="F77" s="94"/>
      <c r="G77" s="94"/>
      <c r="H77" s="129"/>
      <c r="I77" s="135"/>
      <c r="J77" s="136"/>
      <c r="K77" s="136"/>
      <c r="L77" s="137"/>
      <c r="M77" s="137"/>
      <c r="N77" s="138"/>
      <c r="O77" s="136"/>
      <c r="P77" s="137"/>
      <c r="Q77" s="138"/>
      <c r="R77" s="94"/>
      <c r="S77" s="1"/>
      <c r="T77" s="89"/>
      <c r="U77" s="90"/>
      <c r="V77" s="90"/>
      <c r="W77" s="92"/>
      <c r="X77" s="128"/>
      <c r="Y77" s="91"/>
      <c r="Z77" s="90"/>
      <c r="AA77" s="128"/>
      <c r="AB77" s="91"/>
      <c r="AC77" s="94"/>
    </row>
    <row r="78">
      <c r="A78" s="116" t="s">
        <v>162</v>
      </c>
      <c r="B78" s="139"/>
      <c r="C78" s="140" t="s">
        <v>189</v>
      </c>
      <c r="D78" s="116" t="s">
        <v>164</v>
      </c>
      <c r="E78" s="116" t="s">
        <v>190</v>
      </c>
      <c r="F78" s="116" t="s">
        <v>191</v>
      </c>
      <c r="G78" s="94"/>
      <c r="H78" s="123"/>
      <c r="I78" s="124"/>
      <c r="J78" s="136"/>
      <c r="K78" s="125"/>
      <c r="L78" s="126"/>
      <c r="M78" s="126"/>
      <c r="N78" s="127"/>
      <c r="O78" s="136"/>
      <c r="P78" s="126"/>
      <c r="Q78" s="127"/>
      <c r="R78" s="94"/>
      <c r="S78" s="1"/>
      <c r="T78" s="89"/>
      <c r="U78" s="90"/>
      <c r="V78" s="90"/>
      <c r="W78" s="92"/>
      <c r="X78" s="128"/>
      <c r="Y78" s="91"/>
      <c r="Z78" s="90"/>
      <c r="AA78" s="128"/>
      <c r="AB78" s="91"/>
      <c r="AC78" s="94"/>
    </row>
    <row r="79">
      <c r="A79" s="135" t="s">
        <v>179</v>
      </c>
      <c r="B79" s="135" t="s">
        <v>180</v>
      </c>
      <c r="C79" s="118">
        <v>42544.0</v>
      </c>
      <c r="D79" s="141">
        <f>IFERROR(__xludf.DUMMYFUNCTION("googlefinance(B79,""price"")"),42544.22)</f>
        <v>42544.22</v>
      </c>
      <c r="E79" s="142">
        <f t="shared" ref="E79:E83" si="54">D79-C79</f>
        <v>0.22</v>
      </c>
      <c r="F79" s="143">
        <f t="shared" ref="F79:F83" si="55">D79/C79-1</f>
        <v>0.000005171116961</v>
      </c>
      <c r="G79" s="94"/>
      <c r="H79" s="123"/>
      <c r="I79" s="124"/>
      <c r="J79" s="125"/>
      <c r="K79" s="125"/>
      <c r="L79" s="126"/>
      <c r="M79" s="126"/>
      <c r="N79" s="127"/>
      <c r="O79" s="89"/>
      <c r="P79" s="128"/>
      <c r="Q79" s="127"/>
      <c r="R79" s="94"/>
      <c r="S79" s="1"/>
      <c r="T79" s="89"/>
      <c r="U79" s="90"/>
      <c r="V79" s="90"/>
      <c r="W79" s="92"/>
      <c r="X79" s="128"/>
      <c r="Y79" s="91"/>
      <c r="Z79" s="90"/>
      <c r="AA79" s="128"/>
      <c r="AB79" s="91"/>
      <c r="AC79" s="94"/>
    </row>
    <row r="80">
      <c r="A80" s="135" t="s">
        <v>181</v>
      </c>
      <c r="B80" s="135" t="s">
        <v>182</v>
      </c>
      <c r="C80" s="118">
        <v>5882.0</v>
      </c>
      <c r="D80" s="141">
        <f>IFERROR(__xludf.DUMMYFUNCTION("googlefinance(B80,""price"")"),5881.63)</f>
        <v>5881.63</v>
      </c>
      <c r="E80" s="142">
        <f t="shared" si="54"/>
        <v>-0.37</v>
      </c>
      <c r="F80" s="143">
        <f t="shared" si="55"/>
        <v>-0.00006290377423</v>
      </c>
      <c r="G80" s="94"/>
      <c r="H80" s="123"/>
      <c r="I80" s="124"/>
      <c r="J80" s="125"/>
      <c r="K80" s="125"/>
      <c r="L80" s="126"/>
      <c r="M80" s="126"/>
      <c r="N80" s="127"/>
      <c r="O80" s="89"/>
      <c r="P80" s="92"/>
      <c r="Q80" s="127"/>
      <c r="R80" s="94"/>
      <c r="S80" s="1"/>
      <c r="T80" s="89"/>
      <c r="U80" s="90"/>
      <c r="V80" s="90"/>
      <c r="W80" s="92"/>
      <c r="X80" s="128"/>
      <c r="Y80" s="91"/>
      <c r="Z80" s="90"/>
      <c r="AA80" s="128"/>
      <c r="AB80" s="91"/>
      <c r="AC80" s="94"/>
    </row>
    <row r="81">
      <c r="A81" s="135" t="s">
        <v>183</v>
      </c>
      <c r="B81" s="135" t="s">
        <v>184</v>
      </c>
      <c r="C81" s="118">
        <v>19311.0</v>
      </c>
      <c r="D81" s="141">
        <f>IFERROR(__xludf.DUMMYFUNCTION("googlefinance(B81,""price"")"),19310.79)</f>
        <v>19310.79</v>
      </c>
      <c r="E81" s="142">
        <f t="shared" si="54"/>
        <v>-0.21</v>
      </c>
      <c r="F81" s="143">
        <f t="shared" si="55"/>
        <v>-0.00001087463104</v>
      </c>
      <c r="G81" s="94"/>
      <c r="H81" s="123"/>
      <c r="I81" s="144"/>
      <c r="J81" s="131"/>
      <c r="K81" s="125"/>
      <c r="L81" s="132"/>
      <c r="M81" s="132"/>
      <c r="N81" s="133"/>
      <c r="O81" s="131"/>
      <c r="P81" s="132"/>
      <c r="Q81" s="133"/>
      <c r="R81" s="94"/>
      <c r="S81" s="145" t="s">
        <v>62</v>
      </c>
      <c r="T81" s="93"/>
      <c r="U81" s="93"/>
      <c r="V81" s="93"/>
      <c r="W81" s="93"/>
      <c r="X81" s="93"/>
      <c r="Y81" s="146">
        <f>SUM(Y72:Y80)</f>
        <v>0</v>
      </c>
      <c r="Z81" s="93"/>
      <c r="AA81" s="147"/>
      <c r="AB81" s="146">
        <f>SUM(AB72:AB80)</f>
        <v>0</v>
      </c>
      <c r="AC81" s="94"/>
    </row>
    <row r="82">
      <c r="A82" s="135" t="s">
        <v>185</v>
      </c>
      <c r="B82" s="135" t="s">
        <v>186</v>
      </c>
      <c r="C82" s="119">
        <v>2230.0</v>
      </c>
      <c r="D82" s="141">
        <f>IFERROR(__xludf.DUMMYFUNCTION("googlefinance(B82,""price"")"),2230.16)</f>
        <v>2230.16</v>
      </c>
      <c r="E82" s="142">
        <f t="shared" si="54"/>
        <v>0.16</v>
      </c>
      <c r="F82" s="143">
        <f t="shared" si="55"/>
        <v>0.00007174887892</v>
      </c>
      <c r="G82" s="94"/>
      <c r="H82" s="123"/>
      <c r="I82" s="124"/>
      <c r="J82" s="125"/>
      <c r="K82" s="125"/>
      <c r="L82" s="126"/>
      <c r="M82" s="126"/>
      <c r="N82" s="127"/>
      <c r="O82" s="125"/>
      <c r="P82" s="126"/>
      <c r="Q82" s="127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</row>
    <row r="83">
      <c r="A83" s="135" t="s">
        <v>187</v>
      </c>
      <c r="B83" s="135" t="s">
        <v>188</v>
      </c>
      <c r="C83" s="118">
        <v>19097.0</v>
      </c>
      <c r="D83" s="141">
        <f>IFERROR(__xludf.DUMMYFUNCTION("googlefinance(B83,""price"")"),19097.11)</f>
        <v>19097.11</v>
      </c>
      <c r="E83" s="142">
        <f t="shared" si="54"/>
        <v>0.11</v>
      </c>
      <c r="F83" s="143">
        <f t="shared" si="55"/>
        <v>0.000005760067026</v>
      </c>
      <c r="G83" s="94"/>
      <c r="H83" s="123"/>
      <c r="I83" s="124"/>
      <c r="J83" s="125"/>
      <c r="K83" s="125"/>
      <c r="L83" s="126"/>
      <c r="M83" s="126"/>
      <c r="N83" s="127"/>
      <c r="O83" s="90"/>
      <c r="P83" s="128"/>
      <c r="Q83" s="127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>
      <c r="A84" s="94"/>
      <c r="B84" s="94"/>
      <c r="C84" s="94"/>
      <c r="D84" s="94"/>
      <c r="E84" s="94"/>
      <c r="F84" s="94"/>
      <c r="G84" s="94"/>
      <c r="H84" s="123"/>
      <c r="I84" s="124"/>
      <c r="J84" s="125"/>
      <c r="K84" s="125"/>
      <c r="L84" s="126"/>
      <c r="M84" s="126"/>
      <c r="N84" s="127"/>
      <c r="O84" s="90"/>
      <c r="P84" s="128"/>
      <c r="Q84" s="127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</row>
    <row r="85">
      <c r="A85" s="148" t="s">
        <v>192</v>
      </c>
      <c r="B85" s="149" t="s">
        <v>193</v>
      </c>
      <c r="C85" s="94"/>
      <c r="D85" s="94"/>
      <c r="E85" s="94"/>
      <c r="F85" s="94"/>
      <c r="G85" s="94"/>
      <c r="H85" s="123"/>
      <c r="I85" s="124"/>
      <c r="J85" s="125"/>
      <c r="K85" s="125"/>
      <c r="L85" s="126"/>
      <c r="M85" s="126"/>
      <c r="N85" s="127"/>
      <c r="O85" s="125"/>
      <c r="P85" s="126"/>
      <c r="Q85" s="127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>
      <c r="A86" s="148" t="s">
        <v>194</v>
      </c>
      <c r="B86" s="149" t="s">
        <v>195</v>
      </c>
      <c r="C86" s="94"/>
      <c r="D86" s="94"/>
      <c r="E86" s="94"/>
      <c r="F86" s="94"/>
      <c r="G86" s="94"/>
      <c r="H86" s="150"/>
      <c r="I86" s="89"/>
      <c r="J86" s="90"/>
      <c r="K86" s="90"/>
      <c r="L86" s="128"/>
      <c r="M86" s="128"/>
      <c r="N86" s="91"/>
      <c r="O86" s="90"/>
      <c r="P86" s="128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</row>
    <row r="87">
      <c r="A87" s="148" t="s">
        <v>196</v>
      </c>
      <c r="B87" s="149" t="s">
        <v>197</v>
      </c>
      <c r="C87" s="94"/>
      <c r="D87" s="94"/>
      <c r="E87" s="94"/>
      <c r="F87" s="94"/>
      <c r="G87" s="94"/>
      <c r="H87" s="150"/>
      <c r="I87" s="89"/>
      <c r="J87" s="90"/>
      <c r="K87" s="90"/>
      <c r="L87" s="128"/>
      <c r="M87" s="128"/>
      <c r="N87" s="91"/>
      <c r="O87" s="90"/>
      <c r="P87" s="128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>
      <c r="A88" s="148" t="s">
        <v>198</v>
      </c>
      <c r="B88" s="149" t="s">
        <v>199</v>
      </c>
      <c r="C88" s="94"/>
      <c r="D88" s="94"/>
      <c r="E88" s="94"/>
      <c r="F88" s="94"/>
      <c r="G88" s="94"/>
      <c r="H88" s="150"/>
      <c r="I88" s="89"/>
      <c r="J88" s="90"/>
      <c r="K88" s="90"/>
      <c r="L88" s="128"/>
      <c r="M88" s="128"/>
      <c r="N88" s="91"/>
      <c r="O88" s="90"/>
      <c r="P88" s="128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</row>
    <row r="89">
      <c r="A89" s="94"/>
      <c r="B89" s="94"/>
      <c r="C89" s="94"/>
      <c r="D89" s="94"/>
      <c r="E89" s="94"/>
      <c r="F89" s="94"/>
      <c r="G89" s="94"/>
      <c r="H89" s="150"/>
      <c r="I89" s="89"/>
      <c r="J89" s="90"/>
      <c r="K89" s="90"/>
      <c r="L89" s="128"/>
      <c r="M89" s="128"/>
      <c r="N89" s="91"/>
      <c r="O89" s="90"/>
      <c r="P89" s="128"/>
      <c r="Q89" s="91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</row>
    <row r="90">
      <c r="A90" s="94"/>
      <c r="B90" s="94"/>
      <c r="C90" s="94"/>
      <c r="D90" s="94"/>
      <c r="E90" s="94"/>
      <c r="F90" s="94"/>
      <c r="G90" s="94"/>
      <c r="H90" s="150"/>
      <c r="I90" s="89"/>
      <c r="J90" s="90"/>
      <c r="K90" s="90"/>
      <c r="L90" s="128"/>
      <c r="M90" s="128"/>
      <c r="N90" s="91"/>
      <c r="O90" s="90"/>
      <c r="P90" s="128"/>
      <c r="Q90" s="91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</row>
    <row r="91">
      <c r="A91" s="94"/>
      <c r="B91" s="94"/>
      <c r="C91" s="94"/>
      <c r="D91" s="94"/>
      <c r="E91" s="94"/>
      <c r="F91" s="94"/>
      <c r="G91" s="94"/>
      <c r="H91" s="150"/>
      <c r="I91" s="151"/>
      <c r="J91" s="90"/>
      <c r="K91" s="90"/>
      <c r="L91" s="28"/>
      <c r="M91" s="28"/>
      <c r="N91" s="152"/>
      <c r="O91" s="153"/>
      <c r="P91" s="28"/>
      <c r="Q91" s="152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</row>
    <row r="92">
      <c r="A92" s="94"/>
      <c r="B92" s="94"/>
      <c r="C92" s="94"/>
      <c r="D92" s="94"/>
      <c r="E92" s="94"/>
      <c r="F92" s="94"/>
      <c r="G92" s="94"/>
      <c r="H92" s="150"/>
      <c r="I92" s="89"/>
      <c r="J92" s="90"/>
      <c r="K92" s="90"/>
      <c r="L92" s="128"/>
      <c r="M92" s="128"/>
      <c r="N92" s="91"/>
      <c r="O92" s="90"/>
      <c r="P92" s="128"/>
      <c r="Q92" s="91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>
      <c r="A93" s="154"/>
      <c r="B93" s="94"/>
      <c r="C93" s="94"/>
      <c r="D93" s="155"/>
      <c r="E93" s="94"/>
      <c r="F93" s="155"/>
      <c r="G93" s="94"/>
      <c r="H93" s="150"/>
      <c r="I93" s="89"/>
      <c r="J93" s="90"/>
      <c r="K93" s="90"/>
      <c r="L93" s="128"/>
      <c r="M93" s="128"/>
      <c r="N93" s="91"/>
      <c r="O93" s="90"/>
      <c r="P93" s="128"/>
      <c r="Q93" s="91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>
      <c r="A94" s="94"/>
      <c r="B94" s="94"/>
      <c r="C94" s="94"/>
      <c r="D94" s="155"/>
      <c r="E94" s="94"/>
      <c r="F94" s="155"/>
      <c r="G94" s="94"/>
      <c r="H94" s="150"/>
      <c r="I94" s="89"/>
      <c r="J94" s="90"/>
      <c r="K94" s="90"/>
      <c r="L94" s="128"/>
      <c r="M94" s="128"/>
      <c r="N94" s="91"/>
      <c r="O94" s="90"/>
      <c r="P94" s="128"/>
      <c r="Q94" s="91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</row>
    <row r="95">
      <c r="A95" s="94"/>
      <c r="B95" s="94"/>
      <c r="C95" s="94"/>
      <c r="D95" s="155"/>
      <c r="E95" s="94"/>
      <c r="F95" s="155"/>
      <c r="G95" s="94"/>
      <c r="H95" s="1"/>
      <c r="I95" s="89"/>
      <c r="J95" s="90"/>
      <c r="K95" s="90"/>
      <c r="L95" s="128"/>
      <c r="M95" s="128"/>
      <c r="N95" s="91"/>
      <c r="O95" s="90"/>
      <c r="P95" s="128"/>
      <c r="Q95" s="91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</row>
    <row r="96">
      <c r="A96" s="94"/>
      <c r="B96" s="94"/>
      <c r="C96" s="94"/>
      <c r="D96" s="155"/>
      <c r="E96" s="94"/>
      <c r="F96" s="155"/>
      <c r="G96" s="94"/>
      <c r="H96" s="150"/>
      <c r="I96" s="89"/>
      <c r="J96" s="90"/>
      <c r="K96" s="90"/>
      <c r="L96" s="128"/>
      <c r="M96" s="128"/>
      <c r="N96" s="91"/>
      <c r="O96" s="90"/>
      <c r="P96" s="128"/>
      <c r="Q96" s="91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</row>
    <row r="97">
      <c r="A97" s="94"/>
      <c r="B97" s="94"/>
      <c r="C97" s="94"/>
      <c r="D97" s="155"/>
      <c r="E97" s="94"/>
      <c r="F97" s="155"/>
      <c r="G97" s="94"/>
      <c r="H97" s="150"/>
      <c r="I97" s="89"/>
      <c r="J97" s="90"/>
      <c r="K97" s="90"/>
      <c r="L97" s="128"/>
      <c r="M97" s="128"/>
      <c r="N97" s="91"/>
      <c r="O97" s="90"/>
      <c r="P97" s="128"/>
      <c r="Q97" s="91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</row>
    <row r="98">
      <c r="A98" s="94"/>
      <c r="B98" s="94"/>
      <c r="C98" s="94"/>
      <c r="D98" s="94"/>
      <c r="E98" s="94"/>
      <c r="F98" s="94"/>
      <c r="G98" s="94"/>
      <c r="H98" s="150"/>
      <c r="I98" s="151"/>
      <c r="J98" s="153"/>
      <c r="K98" s="90"/>
      <c r="L98" s="156"/>
      <c r="M98" s="156"/>
      <c r="N98" s="152"/>
      <c r="O98" s="153"/>
      <c r="P98" s="28"/>
      <c r="Q98" s="152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</row>
    <row r="99">
      <c r="A99" s="94"/>
      <c r="B99" s="94"/>
      <c r="C99" s="94"/>
      <c r="D99" s="94"/>
      <c r="E99" s="94"/>
      <c r="F99" s="94"/>
      <c r="G99" s="94"/>
      <c r="H99" s="150"/>
      <c r="I99" s="89"/>
      <c r="J99" s="90"/>
      <c r="K99" s="90"/>
      <c r="L99" s="92"/>
      <c r="M99" s="128"/>
      <c r="N99" s="91"/>
      <c r="O99" s="90"/>
      <c r="P99" s="128"/>
      <c r="Q99" s="91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</row>
    <row r="100">
      <c r="A100" s="94"/>
      <c r="B100" s="94"/>
      <c r="C100" s="94"/>
      <c r="D100" s="94"/>
      <c r="E100" s="94"/>
      <c r="F100" s="94"/>
      <c r="G100" s="94"/>
      <c r="H100" s="150"/>
      <c r="I100" s="89"/>
      <c r="J100" s="90"/>
      <c r="K100" s="90"/>
      <c r="L100" s="128"/>
      <c r="M100" s="128"/>
      <c r="N100" s="91"/>
      <c r="O100" s="90"/>
      <c r="P100" s="128"/>
      <c r="Q100" s="91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</row>
    <row r="101">
      <c r="A101" s="94"/>
      <c r="B101" s="94"/>
      <c r="C101" s="94"/>
      <c r="D101" s="94"/>
      <c r="E101" s="94"/>
      <c r="F101" s="94"/>
      <c r="G101" s="94"/>
      <c r="H101" s="150"/>
      <c r="I101" s="89"/>
      <c r="J101" s="90"/>
      <c r="K101" s="90"/>
      <c r="L101" s="128"/>
      <c r="M101" s="128"/>
      <c r="N101" s="91"/>
      <c r="O101" s="90"/>
      <c r="P101" s="128"/>
      <c r="Q101" s="91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</row>
    <row r="102">
      <c r="A102" s="94"/>
      <c r="B102" s="94"/>
      <c r="C102" s="94"/>
      <c r="D102" s="94"/>
      <c r="E102" s="94"/>
      <c r="F102" s="94"/>
      <c r="G102" s="94"/>
      <c r="H102" s="150"/>
      <c r="I102" s="89"/>
      <c r="J102" s="90"/>
      <c r="K102" s="90"/>
      <c r="L102" s="128"/>
      <c r="M102" s="128"/>
      <c r="N102" s="91"/>
      <c r="O102" s="90"/>
      <c r="P102" s="128"/>
      <c r="Q102" s="91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</row>
    <row r="103">
      <c r="A103" s="94"/>
      <c r="B103" s="94"/>
      <c r="C103" s="94"/>
      <c r="D103" s="94"/>
      <c r="E103" s="94"/>
      <c r="F103" s="94"/>
      <c r="G103" s="94"/>
      <c r="H103" s="150"/>
      <c r="I103" s="89"/>
      <c r="J103" s="90"/>
      <c r="K103" s="90"/>
      <c r="L103" s="128"/>
      <c r="M103" s="128"/>
      <c r="N103" s="91"/>
      <c r="O103" s="90"/>
      <c r="P103" s="128"/>
      <c r="Q103" s="91"/>
      <c r="R103" s="94"/>
      <c r="S103" s="94" t="s">
        <v>200</v>
      </c>
      <c r="T103" s="94"/>
      <c r="U103" s="94"/>
      <c r="V103" s="94"/>
      <c r="W103" s="94"/>
      <c r="X103" s="94"/>
      <c r="Y103" s="94"/>
      <c r="Z103" s="94"/>
      <c r="AA103" s="94"/>
      <c r="AB103" s="94"/>
      <c r="AC103" s="94"/>
    </row>
    <row r="104">
      <c r="A104" s="94"/>
      <c r="B104" s="94"/>
      <c r="C104" s="94"/>
      <c r="D104" s="94"/>
      <c r="E104" s="94"/>
      <c r="F104" s="94"/>
      <c r="G104" s="94"/>
      <c r="H104" s="150"/>
      <c r="I104" s="89"/>
      <c r="J104" s="90"/>
      <c r="K104" s="90"/>
      <c r="L104" s="128"/>
      <c r="M104" s="128"/>
      <c r="N104" s="91"/>
      <c r="O104" s="90"/>
      <c r="P104" s="128"/>
      <c r="Q104" s="91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</row>
    <row r="105">
      <c r="A105" s="94"/>
      <c r="B105" s="94"/>
      <c r="C105" s="94"/>
      <c r="D105" s="94"/>
      <c r="E105" s="94"/>
      <c r="F105" s="94"/>
      <c r="G105" s="94"/>
      <c r="H105" s="150"/>
      <c r="I105" s="89"/>
      <c r="J105" s="90"/>
      <c r="K105" s="90"/>
      <c r="L105" s="128"/>
      <c r="M105" s="128"/>
      <c r="N105" s="91"/>
      <c r="O105" s="90"/>
      <c r="P105" s="128"/>
      <c r="Q105" s="91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</row>
    <row r="106">
      <c r="A106" s="94"/>
      <c r="B106" s="94"/>
      <c r="C106" s="94"/>
      <c r="D106" s="94"/>
      <c r="E106" s="94"/>
      <c r="F106" s="94"/>
      <c r="G106" s="94"/>
      <c r="H106" s="150"/>
      <c r="I106" s="89"/>
      <c r="J106" s="90"/>
      <c r="K106" s="90"/>
      <c r="L106" s="128"/>
      <c r="M106" s="128"/>
      <c r="N106" s="91"/>
      <c r="O106" s="90"/>
      <c r="P106" s="128"/>
      <c r="Q106" s="91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</row>
    <row r="107">
      <c r="A107" s="94"/>
      <c r="B107" s="94"/>
      <c r="C107" s="94"/>
      <c r="D107" s="94"/>
      <c r="E107" s="94"/>
      <c r="F107" s="94"/>
      <c r="G107" s="94"/>
      <c r="H107" s="150"/>
      <c r="I107" s="89"/>
      <c r="J107" s="90"/>
      <c r="K107" s="90"/>
      <c r="L107" s="128"/>
      <c r="M107" s="128"/>
      <c r="N107" s="91"/>
      <c r="O107" s="90"/>
      <c r="P107" s="128"/>
      <c r="Q107" s="91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</row>
    <row r="108">
      <c r="A108" s="94"/>
      <c r="B108" s="94"/>
      <c r="C108" s="94"/>
      <c r="D108" s="94"/>
      <c r="E108" s="94"/>
      <c r="F108" s="94"/>
      <c r="G108" s="94"/>
      <c r="H108" s="150"/>
      <c r="I108" s="89"/>
      <c r="J108" s="90"/>
      <c r="K108" s="90"/>
      <c r="L108" s="128"/>
      <c r="M108" s="128"/>
      <c r="N108" s="91"/>
      <c r="O108" s="90"/>
      <c r="P108" s="128"/>
      <c r="Q108" s="91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</row>
    <row r="109">
      <c r="A109" s="94"/>
      <c r="B109" s="94"/>
      <c r="C109" s="94"/>
      <c r="D109" s="94"/>
      <c r="E109" s="94"/>
      <c r="F109" s="94"/>
      <c r="G109" s="94"/>
      <c r="H109" s="150"/>
      <c r="I109" s="151"/>
      <c r="J109" s="153"/>
      <c r="K109" s="153"/>
      <c r="L109" s="28"/>
      <c r="M109" s="28"/>
      <c r="N109" s="152"/>
      <c r="O109" s="153"/>
      <c r="P109" s="28"/>
      <c r="Q109" s="152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</row>
    <row r="110">
      <c r="A110" s="94"/>
      <c r="B110" s="94"/>
      <c r="C110" s="94"/>
      <c r="D110" s="94"/>
      <c r="E110" s="94"/>
      <c r="F110" s="94"/>
      <c r="G110" s="94"/>
      <c r="H110" s="150"/>
      <c r="I110" s="151"/>
      <c r="J110" s="153"/>
      <c r="K110" s="153"/>
      <c r="L110" s="28"/>
      <c r="M110" s="28"/>
      <c r="N110" s="152"/>
      <c r="O110" s="153"/>
      <c r="P110" s="28"/>
      <c r="Q110" s="152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</row>
    <row r="111">
      <c r="A111" s="94"/>
      <c r="B111" s="94"/>
      <c r="C111" s="94"/>
      <c r="D111" s="94"/>
      <c r="E111" s="94"/>
      <c r="F111" s="94"/>
      <c r="G111" s="94"/>
      <c r="H111" s="150"/>
      <c r="I111" s="89"/>
      <c r="J111" s="90"/>
      <c r="K111" s="90"/>
      <c r="L111" s="128"/>
      <c r="M111" s="128"/>
      <c r="N111" s="91"/>
      <c r="O111" s="90"/>
      <c r="P111" s="128"/>
      <c r="Q111" s="91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</row>
    <row r="112">
      <c r="A112" s="94"/>
      <c r="B112" s="94"/>
      <c r="C112" s="94"/>
      <c r="D112" s="94"/>
      <c r="E112" s="94"/>
      <c r="F112" s="94"/>
      <c r="G112" s="94"/>
      <c r="H112" s="150"/>
      <c r="I112" s="89"/>
      <c r="J112" s="90"/>
      <c r="K112" s="90"/>
      <c r="L112" s="128"/>
      <c r="M112" s="128"/>
      <c r="N112" s="91"/>
      <c r="O112" s="90"/>
      <c r="P112" s="128"/>
      <c r="Q112" s="91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</row>
    <row r="113">
      <c r="A113" s="94"/>
      <c r="B113" s="94"/>
      <c r="C113" s="94"/>
      <c r="D113" s="94"/>
      <c r="E113" s="94"/>
      <c r="F113" s="94"/>
      <c r="G113" s="94"/>
      <c r="H113" s="150"/>
      <c r="I113" s="89"/>
      <c r="J113" s="90"/>
      <c r="K113" s="90"/>
      <c r="L113" s="128"/>
      <c r="M113" s="128"/>
      <c r="N113" s="91"/>
      <c r="O113" s="90"/>
      <c r="P113" s="128"/>
      <c r="Q113" s="91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</row>
    <row r="114">
      <c r="A114" s="94"/>
      <c r="B114" s="94"/>
      <c r="C114" s="94"/>
      <c r="D114" s="94"/>
      <c r="E114" s="94"/>
      <c r="F114" s="94"/>
      <c r="G114" s="94"/>
      <c r="H114" s="1"/>
      <c r="I114" s="89"/>
      <c r="J114" s="90"/>
      <c r="K114" s="90"/>
      <c r="L114" s="128"/>
      <c r="M114" s="128"/>
      <c r="N114" s="91"/>
      <c r="O114" s="90"/>
      <c r="P114" s="128"/>
      <c r="Q114" s="91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</row>
    <row r="115">
      <c r="A115" s="94"/>
      <c r="B115" s="94"/>
      <c r="C115" s="94"/>
      <c r="D115" s="94"/>
      <c r="E115" s="94"/>
      <c r="F115" s="94"/>
      <c r="G115" s="94"/>
      <c r="H115" s="150"/>
      <c r="I115" s="89"/>
      <c r="J115" s="90"/>
      <c r="K115" s="90"/>
      <c r="L115" s="128"/>
      <c r="M115" s="128"/>
      <c r="N115" s="91"/>
      <c r="O115" s="90"/>
      <c r="P115" s="128"/>
      <c r="Q115" s="91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</row>
    <row r="116">
      <c r="A116" s="94"/>
      <c r="B116" s="94"/>
      <c r="C116" s="94"/>
      <c r="D116" s="94"/>
      <c r="E116" s="94"/>
      <c r="F116" s="94"/>
      <c r="G116" s="94"/>
      <c r="H116" s="150"/>
      <c r="I116" s="89"/>
      <c r="J116" s="90"/>
      <c r="K116" s="90"/>
      <c r="L116" s="128"/>
      <c r="M116" s="128"/>
      <c r="N116" s="91"/>
      <c r="O116" s="90"/>
      <c r="P116" s="128"/>
      <c r="Q116" s="91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</row>
    <row r="117">
      <c r="A117" s="94"/>
      <c r="B117" s="94"/>
      <c r="C117" s="94"/>
      <c r="D117" s="94"/>
      <c r="E117" s="94"/>
      <c r="F117" s="94"/>
      <c r="G117" s="94"/>
      <c r="H117" s="150"/>
      <c r="I117" s="151"/>
      <c r="J117" s="153"/>
      <c r="K117" s="153"/>
      <c r="L117" s="28"/>
      <c r="M117" s="28"/>
      <c r="N117" s="152"/>
      <c r="O117" s="153"/>
      <c r="P117" s="156"/>
      <c r="Q117" s="152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</row>
    <row r="118">
      <c r="A118" s="94"/>
      <c r="B118" s="94"/>
      <c r="C118" s="94"/>
      <c r="D118" s="94"/>
      <c r="E118" s="94"/>
      <c r="F118" s="94"/>
      <c r="G118" s="94"/>
      <c r="H118" s="150"/>
      <c r="I118" s="151"/>
      <c r="J118" s="153"/>
      <c r="K118" s="153"/>
      <c r="L118" s="28"/>
      <c r="M118" s="28"/>
      <c r="N118" s="152"/>
      <c r="O118" s="153"/>
      <c r="P118" s="28"/>
      <c r="Q118" s="152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>
      <c r="A119" s="94"/>
      <c r="B119" s="94"/>
      <c r="C119" s="94"/>
      <c r="D119" s="94"/>
      <c r="E119" s="94"/>
      <c r="F119" s="94"/>
      <c r="G119" s="94"/>
      <c r="H119" s="150"/>
      <c r="I119" s="151"/>
      <c r="J119" s="153"/>
      <c r="K119" s="153"/>
      <c r="L119" s="28"/>
      <c r="M119" s="28"/>
      <c r="N119" s="152"/>
      <c r="O119" s="153"/>
      <c r="P119" s="28"/>
      <c r="Q119" s="152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</row>
    <row r="120">
      <c r="A120" s="94"/>
      <c r="B120" s="94"/>
      <c r="C120" s="94"/>
      <c r="D120" s="94"/>
      <c r="E120" s="94"/>
      <c r="F120" s="94"/>
      <c r="G120" s="94"/>
      <c r="H120" s="150"/>
      <c r="I120" s="151"/>
      <c r="J120" s="153"/>
      <c r="K120" s="153"/>
      <c r="L120" s="28"/>
      <c r="M120" s="28"/>
      <c r="N120" s="152"/>
      <c r="O120" s="153"/>
      <c r="P120" s="28"/>
      <c r="Q120" s="152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</row>
    <row r="121">
      <c r="A121" s="94"/>
      <c r="B121" s="94"/>
      <c r="C121" s="94"/>
      <c r="D121" s="94"/>
      <c r="E121" s="94"/>
      <c r="F121" s="94"/>
      <c r="G121" s="94"/>
      <c r="H121" s="150"/>
      <c r="I121" s="89"/>
      <c r="J121" s="89"/>
      <c r="K121" s="89"/>
      <c r="L121" s="128"/>
      <c r="M121" s="128"/>
      <c r="N121" s="128"/>
      <c r="O121" s="89"/>
      <c r="P121" s="128"/>
      <c r="Q121" s="128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</row>
    <row r="122">
      <c r="A122" s="94"/>
      <c r="B122" s="94"/>
      <c r="C122" s="94"/>
      <c r="D122" s="94"/>
      <c r="E122" s="94"/>
      <c r="F122" s="94"/>
      <c r="G122" s="94"/>
      <c r="H122" s="150"/>
      <c r="I122" s="89"/>
      <c r="J122" s="89"/>
      <c r="K122" s="89"/>
      <c r="L122" s="128"/>
      <c r="M122" s="128"/>
      <c r="N122" s="128"/>
      <c r="O122" s="89"/>
      <c r="P122" s="128"/>
      <c r="Q122" s="128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</row>
    <row r="123">
      <c r="A123" s="94"/>
      <c r="B123" s="94"/>
      <c r="C123" s="94"/>
      <c r="D123" s="94"/>
      <c r="E123" s="94"/>
      <c r="F123" s="94"/>
      <c r="G123" s="94"/>
      <c r="H123" s="150"/>
      <c r="I123" s="89"/>
      <c r="J123" s="89"/>
      <c r="K123" s="89"/>
      <c r="L123" s="128"/>
      <c r="M123" s="128"/>
      <c r="N123" s="128"/>
      <c r="O123" s="89"/>
      <c r="P123" s="128"/>
      <c r="Q123" s="128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</row>
    <row r="124">
      <c r="A124" s="94"/>
      <c r="B124" s="94"/>
      <c r="C124" s="94"/>
      <c r="D124" s="94"/>
      <c r="E124" s="94"/>
      <c r="F124" s="94"/>
      <c r="G124" s="94"/>
      <c r="H124" s="150"/>
      <c r="I124" s="89"/>
      <c r="J124" s="89"/>
      <c r="K124" s="89"/>
      <c r="L124" s="128"/>
      <c r="M124" s="128"/>
      <c r="N124" s="128"/>
      <c r="O124" s="89"/>
      <c r="P124" s="128"/>
      <c r="Q124" s="128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</row>
    <row r="125">
      <c r="A125" s="94"/>
      <c r="B125" s="94"/>
      <c r="C125" s="94"/>
      <c r="D125" s="94"/>
      <c r="E125" s="94"/>
      <c r="F125" s="94"/>
      <c r="G125" s="94"/>
      <c r="H125" s="150"/>
      <c r="I125" s="89"/>
      <c r="J125" s="89"/>
      <c r="K125" s="89"/>
      <c r="L125" s="128"/>
      <c r="M125" s="128"/>
      <c r="N125" s="128"/>
      <c r="O125" s="89"/>
      <c r="P125" s="128"/>
      <c r="Q125" s="128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</row>
    <row r="126">
      <c r="A126" s="94"/>
      <c r="B126" s="94"/>
      <c r="C126" s="94"/>
      <c r="D126" s="94"/>
      <c r="E126" s="94"/>
      <c r="F126" s="94"/>
      <c r="G126" s="94"/>
      <c r="H126" s="150"/>
      <c r="I126" s="89"/>
      <c r="J126" s="89"/>
      <c r="K126" s="89"/>
      <c r="L126" s="128"/>
      <c r="M126" s="128"/>
      <c r="N126" s="128"/>
      <c r="O126" s="89"/>
      <c r="P126" s="128"/>
      <c r="Q126" s="128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</row>
    <row r="127">
      <c r="A127" s="94"/>
      <c r="B127" s="94"/>
      <c r="C127" s="94"/>
      <c r="D127" s="94"/>
      <c r="E127" s="94"/>
      <c r="F127" s="94"/>
      <c r="G127" s="94"/>
      <c r="H127" s="150"/>
      <c r="I127" s="89"/>
      <c r="J127" s="89"/>
      <c r="K127" s="89"/>
      <c r="L127" s="128"/>
      <c r="M127" s="128"/>
      <c r="N127" s="128"/>
      <c r="O127" s="89"/>
      <c r="P127" s="128"/>
      <c r="Q127" s="128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>
      <c r="A128" s="94"/>
      <c r="B128" s="94"/>
      <c r="C128" s="94"/>
      <c r="D128" s="94"/>
      <c r="E128" s="94"/>
      <c r="F128" s="94"/>
      <c r="G128" s="94"/>
      <c r="H128" s="1"/>
      <c r="I128" s="89"/>
      <c r="J128" s="89"/>
      <c r="K128" s="89"/>
      <c r="L128" s="128"/>
      <c r="M128" s="128"/>
      <c r="N128" s="128"/>
      <c r="O128" s="89"/>
      <c r="P128" s="128"/>
      <c r="Q128" s="128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</row>
    <row r="129">
      <c r="A129" s="94"/>
      <c r="B129" s="94"/>
      <c r="C129" s="94"/>
      <c r="D129" s="94"/>
      <c r="E129" s="94"/>
      <c r="F129" s="94"/>
      <c r="G129" s="94"/>
      <c r="H129" s="1"/>
      <c r="I129" s="89"/>
      <c r="J129" s="89"/>
      <c r="K129" s="89"/>
      <c r="L129" s="128"/>
      <c r="M129" s="128"/>
      <c r="N129" s="128"/>
      <c r="O129" s="89"/>
      <c r="P129" s="128"/>
      <c r="Q129" s="128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</row>
    <row r="130">
      <c r="A130" s="94"/>
      <c r="B130" s="94"/>
      <c r="C130" s="94"/>
      <c r="D130" s="94"/>
      <c r="E130" s="94"/>
      <c r="F130" s="94"/>
      <c r="G130" s="94"/>
      <c r="H130" s="145" t="s">
        <v>80</v>
      </c>
      <c r="I130" s="93"/>
      <c r="J130" s="93"/>
      <c r="K130" s="93"/>
      <c r="L130" s="93"/>
      <c r="M130" s="93"/>
      <c r="N130" s="93"/>
      <c r="O130" s="93"/>
      <c r="P130" s="93"/>
      <c r="Q130" s="146">
        <f>SUM(Q72:Q129)</f>
        <v>34000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</row>
  </sheetData>
  <hyperlinks>
    <hyperlink r:id="rId1" ref="B85"/>
    <hyperlink r:id="rId2" ref="B86"/>
    <hyperlink r:id="rId3" ref="B87"/>
    <hyperlink r:id="rId4" ref="B88"/>
  </hyperlinks>
  <drawing r:id="rId5"/>
</worksheet>
</file>