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drawings/drawing3.xml" ContentType="application/vnd.openxmlformats-officedocument.drawingml.chartshapes+xml"/>
  <Override PartName="/xl/charts/chart12.xml" ContentType="application/vnd.openxmlformats-officedocument.drawingml.chart+xml"/>
  <Override PartName="/xl/drawings/drawing4.xml" ContentType="application/vnd.openxmlformats-officedocument.drawingml.chartshapes+xml"/>
  <Override PartName="/xl/charts/chart13.xml" ContentType="application/vnd.openxmlformats-officedocument.drawingml.chart+xml"/>
  <Override PartName="/xl/drawings/drawing5.xml" ContentType="application/vnd.openxmlformats-officedocument.drawingml.chartshapes+xml"/>
  <Override PartName="/xl/charts/chart14.xml" ContentType="application/vnd.openxmlformats-officedocument.drawingml.chart+xml"/>
  <Override PartName="/xl/drawings/drawing6.xml" ContentType="application/vnd.openxmlformats-officedocument.drawingml.chartshapes+xml"/>
  <Override PartName="/xl/charts/chart15.xml" ContentType="application/vnd.openxmlformats-officedocument.drawingml.chart+xml"/>
  <Override PartName="/xl/drawings/drawing7.xml" ContentType="application/vnd.openxmlformats-officedocument.drawingml.chartshapes+xml"/>
  <Override PartName="/xl/charts/chart16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0E6B8FA6-B3F5-4503-89AB-4E3B264A2BAF}" xr6:coauthVersionLast="36" xr6:coauthVersionMax="36" xr10:uidLastSave="{00000000-0000-0000-0000-000000000000}"/>
  <bookViews>
    <workbookView xWindow="1290" yWindow="-105" windowWidth="18015" windowHeight="11025" activeTab="1" xr2:uid="{00000000-000D-0000-FFFF-FFFF00000000}"/>
  </bookViews>
  <sheets>
    <sheet name="Sheet1" sheetId="1" r:id="rId1"/>
    <sheet name="W" sheetId="2" r:id="rId2"/>
    <sheet name="Compila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3" l="1"/>
  <c r="N34" i="3"/>
  <c r="N33" i="3"/>
  <c r="N32" i="3"/>
  <c r="N31" i="3"/>
  <c r="N30" i="3"/>
  <c r="N29" i="3"/>
  <c r="N28" i="3"/>
  <c r="N27" i="3"/>
  <c r="N25" i="3"/>
  <c r="L34" i="3"/>
  <c r="L33" i="3"/>
  <c r="L32" i="3"/>
  <c r="L31" i="3"/>
  <c r="L30" i="3"/>
  <c r="L29" i="3"/>
  <c r="L28" i="3"/>
  <c r="L27" i="3"/>
  <c r="L26" i="3"/>
  <c r="L25" i="3"/>
  <c r="H34" i="3"/>
  <c r="H33" i="3"/>
  <c r="H32" i="3"/>
  <c r="H31" i="3"/>
  <c r="H30" i="3"/>
  <c r="H29" i="3"/>
  <c r="H28" i="3"/>
  <c r="H27" i="3"/>
  <c r="H26" i="3"/>
  <c r="H25" i="3"/>
  <c r="F58" i="1" l="1"/>
  <c r="E58" i="1"/>
  <c r="D58" i="1"/>
  <c r="C58" i="1"/>
  <c r="B58" i="1"/>
  <c r="G57" i="1"/>
  <c r="F70" i="1" l="1"/>
  <c r="F71" i="1" s="1"/>
  <c r="E70" i="1"/>
  <c r="E71" i="1" s="1"/>
  <c r="B71" i="1"/>
  <c r="B70" i="1"/>
  <c r="G70" i="1" s="1"/>
  <c r="G69" i="1"/>
  <c r="G71" i="1" l="1"/>
  <c r="B141" i="3"/>
  <c r="B142" i="3" s="1"/>
  <c r="B143" i="3" s="1"/>
  <c r="B144" i="3" s="1"/>
  <c r="B145" i="3" s="1"/>
  <c r="B146" i="3" s="1"/>
  <c r="B147" i="3" s="1"/>
  <c r="B148" i="3" s="1"/>
  <c r="M138" i="3"/>
  <c r="L138" i="3"/>
  <c r="F138" i="3"/>
  <c r="E138" i="3"/>
  <c r="D138" i="3"/>
  <c r="C138" i="3"/>
  <c r="B115" i="3"/>
  <c r="B116" i="3" s="1"/>
  <c r="M114" i="3"/>
  <c r="L114" i="3"/>
  <c r="H114" i="3"/>
  <c r="F114" i="3"/>
  <c r="E114" i="3"/>
  <c r="D114" i="3"/>
  <c r="C114" i="3"/>
  <c r="M113" i="3"/>
  <c r="L113" i="3"/>
  <c r="H113" i="3"/>
  <c r="F113" i="3"/>
  <c r="E113" i="3"/>
  <c r="D113" i="3"/>
  <c r="C113" i="3"/>
  <c r="M112" i="3"/>
  <c r="L112" i="3"/>
  <c r="H112" i="3"/>
  <c r="F112" i="3"/>
  <c r="E112" i="3"/>
  <c r="D112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D78" i="3"/>
  <c r="C78" i="3"/>
  <c r="D77" i="3"/>
  <c r="C77" i="3"/>
  <c r="D76" i="3"/>
  <c r="C76" i="3"/>
  <c r="D75" i="3"/>
  <c r="C75" i="3"/>
  <c r="D74" i="3"/>
  <c r="C74" i="3"/>
  <c r="C73" i="3"/>
  <c r="C72" i="3"/>
  <c r="D71" i="3"/>
  <c r="C71" i="3"/>
  <c r="D70" i="3"/>
  <c r="C70" i="3"/>
  <c r="C69" i="3"/>
  <c r="C68" i="3"/>
  <c r="C67" i="3"/>
  <c r="C66" i="3"/>
  <c r="C65" i="3"/>
  <c r="C64" i="3"/>
  <c r="C63" i="3"/>
  <c r="C62" i="3"/>
  <c r="C61" i="3"/>
  <c r="B50" i="3"/>
  <c r="E50" i="3" s="1"/>
  <c r="E49" i="3"/>
  <c r="D49" i="3"/>
  <c r="C49" i="3"/>
  <c r="C48" i="3"/>
  <c r="C47" i="3"/>
  <c r="C46" i="3"/>
  <c r="C45" i="3"/>
  <c r="C43" i="3"/>
  <c r="C42" i="3"/>
  <c r="C41" i="3"/>
  <c r="C40" i="3"/>
  <c r="C39" i="3"/>
  <c r="C38" i="3"/>
  <c r="C37" i="3"/>
  <c r="C36" i="3"/>
  <c r="C35" i="3"/>
  <c r="C34" i="3"/>
  <c r="C33" i="3"/>
  <c r="B27" i="3"/>
  <c r="B28" i="3" s="1"/>
  <c r="B29" i="3" s="1"/>
  <c r="C26" i="3"/>
  <c r="F26" i="3" s="1"/>
  <c r="C25" i="3"/>
  <c r="F25" i="3" s="1"/>
  <c r="C24" i="3"/>
  <c r="I24" i="3" s="1"/>
  <c r="C23" i="3"/>
  <c r="J23" i="3" s="1"/>
  <c r="C22" i="3"/>
  <c r="I22" i="3" s="1"/>
  <c r="C21" i="3"/>
  <c r="I21" i="3" s="1"/>
  <c r="C20" i="3"/>
  <c r="I20" i="3" s="1"/>
  <c r="C19" i="3"/>
  <c r="I19" i="3" s="1"/>
  <c r="C18" i="3"/>
  <c r="I18" i="3" s="1"/>
  <c r="C17" i="3"/>
  <c r="J17" i="3" s="1"/>
  <c r="C16" i="3"/>
  <c r="I16" i="3" s="1"/>
  <c r="C15" i="3"/>
  <c r="J15" i="3" s="1"/>
  <c r="N14" i="3"/>
  <c r="C14" i="3"/>
  <c r="I14" i="3" s="1"/>
  <c r="K14" i="3" s="1"/>
  <c r="N13" i="3"/>
  <c r="M12" i="3"/>
  <c r="L12" i="3"/>
  <c r="H12" i="3"/>
  <c r="N11" i="3"/>
  <c r="L10" i="3"/>
  <c r="H10" i="3"/>
  <c r="L8" i="3"/>
  <c r="H8" i="3"/>
  <c r="C8" i="3"/>
  <c r="B8" i="3" s="1"/>
  <c r="B7" i="3"/>
  <c r="B6" i="3"/>
  <c r="B5" i="3"/>
  <c r="C4" i="3"/>
  <c r="B4" i="3" s="1"/>
  <c r="M3" i="3"/>
  <c r="M4" i="3" s="1"/>
  <c r="L3" i="3"/>
  <c r="H3" i="3"/>
  <c r="B3" i="3"/>
  <c r="N2" i="3"/>
  <c r="B2" i="3"/>
  <c r="G65" i="1"/>
  <c r="G64" i="1"/>
  <c r="G63" i="1"/>
  <c r="G62" i="1"/>
  <c r="G61" i="1"/>
  <c r="G60" i="1"/>
  <c r="G59" i="1"/>
  <c r="G58" i="1"/>
  <c r="G56" i="1"/>
  <c r="G55" i="1"/>
  <c r="G54" i="1"/>
  <c r="G53" i="1"/>
  <c r="G25" i="1"/>
  <c r="G23" i="1"/>
  <c r="G19" i="1"/>
  <c r="D46" i="1"/>
  <c r="D45" i="1"/>
  <c r="D44" i="1"/>
  <c r="D43" i="1"/>
  <c r="D42" i="1"/>
  <c r="D41" i="1"/>
  <c r="G41" i="1" s="1"/>
  <c r="D40" i="1"/>
  <c r="B46" i="1"/>
  <c r="B44" i="1"/>
  <c r="B43" i="1"/>
  <c r="B42" i="1"/>
  <c r="N114" i="3" l="1"/>
  <c r="J19" i="3"/>
  <c r="G42" i="1"/>
  <c r="G46" i="1"/>
  <c r="J16" i="3"/>
  <c r="J22" i="3"/>
  <c r="I15" i="3"/>
  <c r="H15" i="3" s="1"/>
  <c r="N15" i="3" s="1"/>
  <c r="J18" i="3"/>
  <c r="H18" i="3" s="1"/>
  <c r="N18" i="3" s="1"/>
  <c r="G43" i="1"/>
  <c r="C9" i="3"/>
  <c r="B9" i="3" s="1"/>
  <c r="N12" i="3"/>
  <c r="K15" i="3"/>
  <c r="K16" i="3" s="1"/>
  <c r="K17" i="3" s="1"/>
  <c r="K18" i="3" s="1"/>
  <c r="K19" i="3" s="1"/>
  <c r="K20" i="3" s="1"/>
  <c r="K21" i="3" s="1"/>
  <c r="K22" i="3" s="1"/>
  <c r="K23" i="3" s="1"/>
  <c r="K24" i="3" s="1"/>
  <c r="I17" i="3"/>
  <c r="I23" i="3"/>
  <c r="H23" i="3" s="1"/>
  <c r="N23" i="3" s="1"/>
  <c r="N112" i="3"/>
  <c r="G44" i="1"/>
  <c r="N3" i="3"/>
  <c r="L115" i="3"/>
  <c r="J21" i="3"/>
  <c r="J20" i="3"/>
  <c r="H20" i="3" s="1"/>
  <c r="N20" i="3" s="1"/>
  <c r="C27" i="3"/>
  <c r="F27" i="3" s="1"/>
  <c r="N113" i="3"/>
  <c r="J24" i="3"/>
  <c r="H24" i="3" s="1"/>
  <c r="N24" i="3" s="1"/>
  <c r="D115" i="3"/>
  <c r="H17" i="3"/>
  <c r="N17" i="3" s="1"/>
  <c r="F116" i="3"/>
  <c r="B117" i="3"/>
  <c r="M116" i="3"/>
  <c r="E116" i="3"/>
  <c r="H116" i="3"/>
  <c r="L116" i="3"/>
  <c r="D116" i="3"/>
  <c r="C116" i="3"/>
  <c r="N4" i="3"/>
  <c r="M5" i="3"/>
  <c r="C29" i="3"/>
  <c r="F29" i="3" s="1"/>
  <c r="B30" i="3"/>
  <c r="C28" i="3"/>
  <c r="F28" i="3" s="1"/>
  <c r="C50" i="3"/>
  <c r="E115" i="3"/>
  <c r="M115" i="3"/>
  <c r="D50" i="3"/>
  <c r="F115" i="3"/>
  <c r="B51" i="3"/>
  <c r="C115" i="3"/>
  <c r="H115" i="3"/>
  <c r="B45" i="1"/>
  <c r="G45" i="1" s="1"/>
  <c r="G40" i="1"/>
  <c r="E17" i="1"/>
  <c r="D24" i="1"/>
  <c r="G24" i="1" s="1"/>
  <c r="D22" i="1"/>
  <c r="G22" i="1" s="1"/>
  <c r="D21" i="1"/>
  <c r="G21" i="1" s="1"/>
  <c r="D20" i="1"/>
  <c r="G20" i="1" s="1"/>
  <c r="D18" i="1"/>
  <c r="G3" i="1"/>
  <c r="D17" i="1"/>
  <c r="D4" i="1"/>
  <c r="D5" i="1" s="1"/>
  <c r="H22" i="3" l="1"/>
  <c r="N22" i="3" s="1"/>
  <c r="H16" i="3"/>
  <c r="N16" i="3" s="1"/>
  <c r="H19" i="3"/>
  <c r="N19" i="3" s="1"/>
  <c r="N116" i="3"/>
  <c r="C10" i="3"/>
  <c r="B10" i="3" s="1"/>
  <c r="H21" i="3"/>
  <c r="N21" i="3" s="1"/>
  <c r="N115" i="3"/>
  <c r="C30" i="3"/>
  <c r="F30" i="3" s="1"/>
  <c r="B31" i="3"/>
  <c r="N5" i="3"/>
  <c r="M6" i="3"/>
  <c r="M117" i="3"/>
  <c r="E117" i="3"/>
  <c r="L117" i="3"/>
  <c r="D117" i="3"/>
  <c r="F117" i="3"/>
  <c r="B118" i="3"/>
  <c r="H117" i="3"/>
  <c r="C117" i="3"/>
  <c r="E51" i="3"/>
  <c r="D51" i="3"/>
  <c r="B52" i="3"/>
  <c r="C51" i="3"/>
  <c r="D6" i="1"/>
  <c r="G5" i="1"/>
  <c r="G4" i="1"/>
  <c r="C11" i="3" l="1"/>
  <c r="F119" i="3"/>
  <c r="D119" i="3"/>
  <c r="C119" i="3"/>
  <c r="M119" i="3"/>
  <c r="E119" i="3"/>
  <c r="L119" i="3"/>
  <c r="H119" i="3"/>
  <c r="N117" i="3"/>
  <c r="M7" i="3"/>
  <c r="N6" i="3"/>
  <c r="C12" i="3"/>
  <c r="B11" i="3"/>
  <c r="L118" i="3"/>
  <c r="D118" i="3"/>
  <c r="M118" i="3"/>
  <c r="B120" i="3"/>
  <c r="H118" i="3"/>
  <c r="C118" i="3"/>
  <c r="E118" i="3"/>
  <c r="F118" i="3"/>
  <c r="C31" i="3"/>
  <c r="F31" i="3" s="1"/>
  <c r="B32" i="3"/>
  <c r="C32" i="3" s="1"/>
  <c r="E52" i="3"/>
  <c r="D52" i="3"/>
  <c r="C52" i="3"/>
  <c r="B53" i="3"/>
  <c r="D7" i="1"/>
  <c r="G6" i="1"/>
  <c r="N119" i="3" l="1"/>
  <c r="C13" i="3"/>
  <c r="B13" i="3" s="1"/>
  <c r="B12" i="3"/>
  <c r="E53" i="3"/>
  <c r="B54" i="3"/>
  <c r="D53" i="3"/>
  <c r="C53" i="3"/>
  <c r="N118" i="3"/>
  <c r="B121" i="3"/>
  <c r="H120" i="3"/>
  <c r="C120" i="3"/>
  <c r="F120" i="3"/>
  <c r="L120" i="3"/>
  <c r="M120" i="3"/>
  <c r="E120" i="3"/>
  <c r="D120" i="3"/>
  <c r="N7" i="3"/>
  <c r="M8" i="3"/>
  <c r="D8" i="1"/>
  <c r="G7" i="1"/>
  <c r="N120" i="3" l="1"/>
  <c r="F121" i="3"/>
  <c r="C121" i="3"/>
  <c r="M121" i="3"/>
  <c r="E121" i="3"/>
  <c r="B122" i="3"/>
  <c r="L121" i="3"/>
  <c r="D121" i="3"/>
  <c r="H121" i="3"/>
  <c r="E54" i="3"/>
  <c r="D54" i="3"/>
  <c r="B55" i="3"/>
  <c r="C54" i="3"/>
  <c r="N8" i="3"/>
  <c r="M9" i="3"/>
  <c r="D9" i="1"/>
  <c r="G8" i="1"/>
  <c r="N121" i="3" l="1"/>
  <c r="G9" i="1"/>
  <c r="D10" i="1"/>
  <c r="E55" i="3"/>
  <c r="D55" i="3"/>
  <c r="C55" i="3"/>
  <c r="B56" i="3"/>
  <c r="M10" i="3"/>
  <c r="N10" i="3" s="1"/>
  <c r="N9" i="3"/>
  <c r="M122" i="3"/>
  <c r="E122" i="3"/>
  <c r="F122" i="3"/>
  <c r="L122" i="3"/>
  <c r="D122" i="3"/>
  <c r="B123" i="3"/>
  <c r="H122" i="3"/>
  <c r="C122" i="3"/>
  <c r="N122" i="3" l="1"/>
  <c r="G10" i="1"/>
  <c r="D11" i="1"/>
  <c r="G11" i="1" s="1"/>
  <c r="L123" i="3"/>
  <c r="D123" i="3"/>
  <c r="H123" i="3"/>
  <c r="C123" i="3"/>
  <c r="M123" i="3"/>
  <c r="E123" i="3"/>
  <c r="F123" i="3"/>
  <c r="E56" i="3"/>
  <c r="B57" i="3"/>
  <c r="D56" i="3"/>
  <c r="C56" i="3"/>
  <c r="N123" i="3" l="1"/>
  <c r="E57" i="3"/>
  <c r="D57" i="3"/>
  <c r="B58" i="3"/>
  <c r="C57" i="3"/>
  <c r="E58" i="3" l="1"/>
  <c r="D58" i="3"/>
  <c r="C58" i="3"/>
  <c r="B59" i="3"/>
  <c r="E59" i="3" l="1"/>
  <c r="B60" i="3"/>
  <c r="D59" i="3"/>
  <c r="C59" i="3"/>
  <c r="E60" i="3" l="1"/>
  <c r="D60" i="3"/>
  <c r="C60" i="3"/>
</calcChain>
</file>

<file path=xl/sharedStrings.xml><?xml version="1.0" encoding="utf-8"?>
<sst xmlns="http://schemas.openxmlformats.org/spreadsheetml/2006/main" count="109" uniqueCount="76">
  <si>
    <t>TC</t>
  </si>
  <si>
    <t>Strength [MPa]</t>
  </si>
  <si>
    <t>K [w/m-K]</t>
  </si>
  <si>
    <t>UHTC ZrB2</t>
  </si>
  <si>
    <t>Pure W</t>
  </si>
  <si>
    <t>HEA V-Nb-Mo-Ta-W</t>
  </si>
  <si>
    <t>MAX Ti3SiC2</t>
  </si>
  <si>
    <t>CTE [1/K]</t>
  </si>
  <si>
    <t>E [GPa]</t>
  </si>
  <si>
    <t>M[kW/m]</t>
  </si>
  <si>
    <t>Neuman, 2016</t>
  </si>
  <si>
    <t>Ref</t>
  </si>
  <si>
    <t>Lonergan, 2014, JACerS</t>
  </si>
  <si>
    <t>Nakamori, 2015, JNM for CTE</t>
  </si>
  <si>
    <t>[[alpha]]</t>
  </si>
  <si>
    <t>[[sigma]]</t>
  </si>
  <si>
    <t>C J/kg-K</t>
  </si>
  <si>
    <t>k W/m-K</t>
  </si>
  <si>
    <t>[[nu]]</t>
  </si>
  <si>
    <t>[[rho]]</t>
  </si>
  <si>
    <t>T K</t>
  </si>
  <si>
    <t>CTE [ppm/K]</t>
  </si>
  <si>
    <t>Refs</t>
  </si>
  <si>
    <t>Zhang, 2009, J.MST</t>
  </si>
  <si>
    <t>Katoh, 2014, NuMat</t>
  </si>
  <si>
    <t>Manoun, 2005, JACerS, for CTE</t>
  </si>
  <si>
    <t>RAFM F82H</t>
  </si>
  <si>
    <t>Poisson</t>
  </si>
  <si>
    <t>Material</t>
  </si>
  <si>
    <t>T[C]</t>
  </si>
  <si>
    <t>T[K]</t>
  </si>
  <si>
    <t>UTS [MPa]</t>
  </si>
  <si>
    <t>YS [MPa]</t>
  </si>
  <si>
    <t>UFS [MPa]</t>
  </si>
  <si>
    <t>K</t>
  </si>
  <si>
    <t>Cp</t>
  </si>
  <si>
    <t>rho</t>
  </si>
  <si>
    <t>1/a</t>
  </si>
  <si>
    <t>nu</t>
  </si>
  <si>
    <t>TSFM [MW/mm]</t>
  </si>
  <si>
    <t>Ref.</t>
  </si>
  <si>
    <t>F82H</t>
  </si>
  <si>
    <t>JAERI-Tech 97-038</t>
  </si>
  <si>
    <t>SiC/SiC SA-Tyrannohex</t>
  </si>
  <si>
    <t>M. Sato, 2003</t>
  </si>
  <si>
    <t>V-4Cr-4Ti</t>
  </si>
  <si>
    <t>Zinkle, FED51-52, 55</t>
  </si>
  <si>
    <t>800H</t>
  </si>
  <si>
    <t>Nanstad JNM392 2009 331 Table 4</t>
  </si>
  <si>
    <t>SiC/SiC Hi-Nicalon CVI</t>
  </si>
  <si>
    <t>Zhu, Scr.Mater.50, 2004, 349</t>
  </si>
  <si>
    <t>T91</t>
  </si>
  <si>
    <t>Ven den Bosch, et al., JNM356 (2006) 237</t>
  </si>
  <si>
    <t>Alloy 617</t>
  </si>
  <si>
    <t>SGL C/C 1501G</t>
  </si>
  <si>
    <t>SGL Datasheet</t>
  </si>
  <si>
    <t>Tyranno-SA3 CVI</t>
  </si>
  <si>
    <t>Hironaka 2002 JNM307</t>
  </si>
  <si>
    <t>Hi-Nicalon-S CVI</t>
  </si>
  <si>
    <t>Henager 2006 NGNP Report</t>
  </si>
  <si>
    <t>14YWT</t>
  </si>
  <si>
    <t>McClintock 2009 JNM392 353</t>
  </si>
  <si>
    <t>McClintock, unpublsihed</t>
  </si>
  <si>
    <t>Zircaloy-4</t>
  </si>
  <si>
    <t>Scheuer report, need better reference</t>
  </si>
  <si>
    <t>TZM (LSR)</t>
  </si>
  <si>
    <t>Cockeram 2006 MaterSciEngA418 120</t>
  </si>
  <si>
    <t>N720/A Oxide Composite</t>
  </si>
  <si>
    <t>IG-110</t>
  </si>
  <si>
    <t>W (Recrystallized)</t>
  </si>
  <si>
    <t>IMPH</t>
  </si>
  <si>
    <t>SR-W</t>
  </si>
  <si>
    <t>W-(5-10%)Re</t>
  </si>
  <si>
    <t>°</t>
  </si>
  <si>
    <t>2D-C/C CX-270G</t>
  </si>
  <si>
    <t>E [Gpa]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</si>
</sst>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10"/>
      <color theme="1" tint="0.499984740745262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2" fontId="0" fillId="0" borderId="0" xfId="0" applyNumberFormat="1"/>
    <xf numFmtId="0" fontId="2" fillId="3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1" fillId="0" borderId="0" xfId="1" applyAlignment="1">
      <alignment wrapText="1"/>
    </xf>
    <xf numFmtId="0" fontId="2" fillId="2" borderId="0" xfId="1" applyFont="1" applyFill="1"/>
    <xf numFmtId="0" fontId="1" fillId="2" borderId="0" xfId="1" applyFill="1"/>
    <xf numFmtId="0" fontId="4" fillId="2" borderId="0" xfId="1" applyFont="1" applyFill="1"/>
    <xf numFmtId="0" fontId="1" fillId="0" borderId="0" xfId="1"/>
    <xf numFmtId="0" fontId="5" fillId="2" borderId="0" xfId="1" applyFont="1" applyFill="1"/>
    <xf numFmtId="0" fontId="2" fillId="4" borderId="0" xfId="1" applyFont="1" applyFill="1"/>
    <xf numFmtId="0" fontId="1" fillId="4" borderId="0" xfId="1" applyFill="1"/>
    <xf numFmtId="0" fontId="4" fillId="4" borderId="0" xfId="1" applyFont="1" applyFill="1"/>
    <xf numFmtId="0" fontId="5" fillId="4" borderId="0" xfId="1" applyFont="1" applyFill="1"/>
    <xf numFmtId="0" fontId="2" fillId="5" borderId="0" xfId="1" applyFont="1" applyFill="1"/>
    <xf numFmtId="0" fontId="1" fillId="5" borderId="0" xfId="1" applyFill="1"/>
    <xf numFmtId="0" fontId="4" fillId="5" borderId="0" xfId="1" applyFont="1" applyFill="1"/>
    <xf numFmtId="0" fontId="2" fillId="6" borderId="0" xfId="1" applyFont="1" applyFill="1"/>
    <xf numFmtId="0" fontId="1" fillId="6" borderId="0" xfId="1" applyFill="1"/>
    <xf numFmtId="0" fontId="4" fillId="6" borderId="0" xfId="1" applyFont="1" applyFill="1"/>
    <xf numFmtId="0" fontId="3" fillId="7" borderId="0" xfId="1" applyFont="1" applyFill="1"/>
    <xf numFmtId="0" fontId="4" fillId="7" borderId="0" xfId="1" applyFont="1" applyFill="1"/>
    <xf numFmtId="0" fontId="2" fillId="8" borderId="0" xfId="1" applyFont="1" applyFill="1"/>
    <xf numFmtId="0" fontId="1" fillId="8" borderId="0" xfId="1" applyFill="1"/>
    <xf numFmtId="0" fontId="4" fillId="8" borderId="0" xfId="1" applyFont="1" applyFill="1"/>
    <xf numFmtId="0" fontId="2" fillId="9" borderId="0" xfId="1" applyFont="1" applyFill="1"/>
    <xf numFmtId="0" fontId="1" fillId="9" borderId="0" xfId="1" applyFill="1"/>
    <xf numFmtId="0" fontId="4" fillId="9" borderId="0" xfId="1" applyFont="1" applyFill="1"/>
    <xf numFmtId="0" fontId="3" fillId="5" borderId="0" xfId="1" applyFont="1" applyFill="1"/>
    <xf numFmtId="0" fontId="2" fillId="7" borderId="0" xfId="1" applyFont="1" applyFill="1"/>
    <xf numFmtId="0" fontId="1" fillId="7" borderId="0" xfId="1" applyFill="1"/>
    <xf numFmtId="0" fontId="6" fillId="10" borderId="0" xfId="1" applyFont="1" applyFill="1"/>
    <xf numFmtId="0" fontId="1" fillId="10" borderId="0" xfId="1" applyFill="1"/>
    <xf numFmtId="0" fontId="4" fillId="10" borderId="0" xfId="1" applyFont="1" applyFill="1"/>
    <xf numFmtId="0" fontId="6" fillId="0" borderId="0" xfId="1" applyFont="1"/>
    <xf numFmtId="0" fontId="4" fillId="0" borderId="0" xfId="1" applyFont="1"/>
    <xf numFmtId="0" fontId="7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00FF"/>
      <color rgb="FF0000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58730102776061"/>
          <c:y val="4.2884990253411304E-2"/>
          <c:w val="0.70387252289308688"/>
          <c:h val="0.815191785237371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Compilation!$A$112</c:f>
              <c:strCache>
                <c:ptCount val="1"/>
                <c:pt idx="0">
                  <c:v>W (Recrystallized)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Compilation!$B$113:$B$123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1800</c:v>
                </c:pt>
              </c:numCache>
            </c:numRef>
          </c:xVal>
          <c:yVal>
            <c:numRef>
              <c:f>Compilation!$D$112:$D$123</c:f>
              <c:numCache>
                <c:formatCode>General</c:formatCode>
                <c:ptCount val="12"/>
                <c:pt idx="0">
                  <c:v>378.46361031999999</c:v>
                </c:pt>
                <c:pt idx="1">
                  <c:v>379.20328999999998</c:v>
                </c:pt>
                <c:pt idx="2">
                  <c:v>376.90431999999998</c:v>
                </c:pt>
                <c:pt idx="3">
                  <c:v>362.73055999999997</c:v>
                </c:pt>
                <c:pt idx="4">
                  <c:v>337.84064000000001</c:v>
                </c:pt>
                <c:pt idx="5">
                  <c:v>304.69647999999995</c:v>
                </c:pt>
                <c:pt idx="6">
                  <c:v>265.76</c:v>
                </c:pt>
                <c:pt idx="7">
                  <c:v>244.88898999999995</c:v>
                </c:pt>
                <c:pt idx="8">
                  <c:v>223.49311999999992</c:v>
                </c:pt>
                <c:pt idx="9">
                  <c:v>180.35775999999998</c:v>
                </c:pt>
                <c:pt idx="10">
                  <c:v>138.81583999999995</c:v>
                </c:pt>
                <c:pt idx="11">
                  <c:v>101.32927999999987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99-4111-B609-ACAA9C3B15EA}"/>
            </c:ext>
          </c:extLst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UHTC ZrB2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20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2300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696</c:v>
                </c:pt>
                <c:pt idx="1">
                  <c:v>660</c:v>
                </c:pt>
                <c:pt idx="2">
                  <c:v>525</c:v>
                </c:pt>
                <c:pt idx="3">
                  <c:v>378</c:v>
                </c:pt>
                <c:pt idx="4">
                  <c:v>301</c:v>
                </c:pt>
                <c:pt idx="5">
                  <c:v>348</c:v>
                </c:pt>
                <c:pt idx="6">
                  <c:v>341</c:v>
                </c:pt>
                <c:pt idx="7">
                  <c:v>287</c:v>
                </c:pt>
                <c:pt idx="8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9-4111-B609-ACAA9C3B15EA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HEA V-Nb-Mo-Ta-W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Sheet1!$A$31:$A$36</c:f>
              <c:numCache>
                <c:formatCode>General</c:formatCode>
                <c:ptCount val="6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</c:numCache>
            </c:numRef>
          </c:xVal>
          <c:yVal>
            <c:numRef>
              <c:f>Sheet1!$B$31:$B$36</c:f>
              <c:numCache>
                <c:formatCode>General</c:formatCode>
                <c:ptCount val="6"/>
                <c:pt idx="0">
                  <c:v>860</c:v>
                </c:pt>
                <c:pt idx="1">
                  <c:v>850</c:v>
                </c:pt>
                <c:pt idx="2">
                  <c:v>840</c:v>
                </c:pt>
                <c:pt idx="3">
                  <c:v>740</c:v>
                </c:pt>
                <c:pt idx="4">
                  <c:v>660</c:v>
                </c:pt>
                <c:pt idx="5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99-4111-B609-ACAA9C3B15EA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MAX Ti3SiC2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Sheet1!$A$40:$A$46</c:f>
              <c:numCache>
                <c:formatCode>General</c:formatCode>
                <c:ptCount val="7"/>
                <c:pt idx="0">
                  <c:v>20</c:v>
                </c:pt>
                <c:pt idx="1">
                  <c:v>150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</c:numCache>
            </c:numRef>
          </c:xVal>
          <c:yVal>
            <c:numRef>
              <c:f>Sheet1!$B$40:$B$46</c:f>
              <c:numCache>
                <c:formatCode>General</c:formatCode>
                <c:ptCount val="7"/>
                <c:pt idx="0">
                  <c:v>435</c:v>
                </c:pt>
                <c:pt idx="1">
                  <c:v>434</c:v>
                </c:pt>
                <c:pt idx="2">
                  <c:v>340.94594594594594</c:v>
                </c:pt>
                <c:pt idx="3">
                  <c:v>329.18918918918916</c:v>
                </c:pt>
                <c:pt idx="4">
                  <c:v>305.67567567567568</c:v>
                </c:pt>
                <c:pt idx="5">
                  <c:v>274.3999895648542</c:v>
                </c:pt>
                <c:pt idx="6">
                  <c:v>246.32432432432432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99-4111-B609-ACAA9C3B15EA}"/>
            </c:ext>
          </c:extLst>
        </c:ser>
        <c:ser>
          <c:idx val="5"/>
          <c:order val="4"/>
          <c:tx>
            <c:strRef>
              <c:f>Sheet1!$A$51</c:f>
              <c:strCache>
                <c:ptCount val="1"/>
                <c:pt idx="0">
                  <c:v>RAFM F82H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Sheet1!$A$53:$A$65</c:f>
              <c:numCache>
                <c:formatCode>General</c:formatCode>
                <c:ptCount val="13"/>
                <c:pt idx="0">
                  <c:v>23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</c:numCache>
            </c:numRef>
          </c:xVal>
          <c:yVal>
            <c:numRef>
              <c:f>Sheet1!$B$53:$B$65</c:f>
              <c:numCache>
                <c:formatCode>General</c:formatCode>
                <c:ptCount val="13"/>
                <c:pt idx="0">
                  <c:v>669</c:v>
                </c:pt>
                <c:pt idx="1">
                  <c:v>645</c:v>
                </c:pt>
                <c:pt idx="2">
                  <c:v>624</c:v>
                </c:pt>
                <c:pt idx="3">
                  <c:v>579</c:v>
                </c:pt>
                <c:pt idx="4">
                  <c:v>548</c:v>
                </c:pt>
                <c:pt idx="5">
                  <c:v>532.27436534178503</c:v>
                </c:pt>
                <c:pt idx="6">
                  <c:v>517</c:v>
                </c:pt>
                <c:pt idx="7">
                  <c:v>493</c:v>
                </c:pt>
                <c:pt idx="8">
                  <c:v>463</c:v>
                </c:pt>
                <c:pt idx="9">
                  <c:v>420</c:v>
                </c:pt>
                <c:pt idx="10">
                  <c:v>368</c:v>
                </c:pt>
                <c:pt idx="11">
                  <c:v>307</c:v>
                </c:pt>
                <c:pt idx="12">
                  <c:v>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99-4111-B609-ACAA9C3B1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91808"/>
        <c:axId val="363990168"/>
      </c:scatterChart>
      <c:valAx>
        <c:axId val="363991808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[C]</a:t>
                </a:r>
              </a:p>
            </c:rich>
          </c:tx>
          <c:layout>
            <c:manualLayout>
              <c:xMode val="edge"/>
              <c:yMode val="edge"/>
              <c:x val="0.36676183181479083"/>
              <c:y val="0.93235222790133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0168"/>
        <c:crosses val="autoZero"/>
        <c:crossBetween val="midCat"/>
        <c:majorUnit val="500"/>
      </c:valAx>
      <c:valAx>
        <c:axId val="363990168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Strength [MPa]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1.6050353871047713E-2"/>
              <c:y val="0.32894076836886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180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0432952251260512"/>
          <c:y val="4.824515356633053E-2"/>
          <c:w val="0.50364944485293972"/>
          <c:h val="0.21345489708523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7514183231633"/>
          <c:y val="4.2884990253411304E-2"/>
          <c:w val="0.79794046615316461"/>
          <c:h val="0.81519178523737168"/>
        </c:manualLayout>
      </c:layout>
      <c:scatterChart>
        <c:scatterStyle val="smoothMarker"/>
        <c:varyColors val="0"/>
        <c:ser>
          <c:idx val="6"/>
          <c:order val="0"/>
          <c:tx>
            <c:strRef>
              <c:f>Sheet1!$A$67</c:f>
              <c:strCache>
                <c:ptCount val="1"/>
                <c:pt idx="0">
                  <c:v>2D-C/C CX-270G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Sheet1!$A$69:$A$71</c:f>
              <c:numCache>
                <c:formatCode>General</c:formatCode>
                <c:ptCount val="3"/>
                <c:pt idx="0">
                  <c:v>25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Sheet1!$G$69:$G$71</c:f>
              <c:numCache>
                <c:formatCode>0.00</c:formatCode>
                <c:ptCount val="3"/>
                <c:pt idx="0">
                  <c:v>90.677357428921312</c:v>
                </c:pt>
                <c:pt idx="1">
                  <c:v>42.098203017832645</c:v>
                </c:pt>
                <c:pt idx="2">
                  <c:v>22.782098765432099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89-446A-93B1-EC0102F0EBEB}"/>
            </c:ext>
          </c:extLst>
        </c:ser>
        <c:ser>
          <c:idx val="4"/>
          <c:order val="1"/>
          <c:tx>
            <c:v>W (re-x)</c:v>
          </c:tx>
          <c:spPr>
            <a:ln w="127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Compilation!$B$112:$B$123</c:f>
              <c:numCache>
                <c:formatCode>General</c:formatCode>
                <c:ptCount val="12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1400</c:v>
                </c:pt>
                <c:pt idx="10">
                  <c:v>1600</c:v>
                </c:pt>
                <c:pt idx="11">
                  <c:v>1800</c:v>
                </c:pt>
              </c:numCache>
            </c:numRef>
          </c:xVal>
          <c:yVal>
            <c:numRef>
              <c:f>Compilation!$N$112:$N$123</c:f>
              <c:numCache>
                <c:formatCode>General</c:formatCode>
                <c:ptCount val="12"/>
                <c:pt idx="0">
                  <c:v>30.190054210848977</c:v>
                </c:pt>
                <c:pt idx="1">
                  <c:v>28.796435090830492</c:v>
                </c:pt>
                <c:pt idx="2">
                  <c:v>27.004190516923995</c:v>
                </c:pt>
                <c:pt idx="3">
                  <c:v>23.423034854214123</c:v>
                </c:pt>
                <c:pt idx="4">
                  <c:v>20.033768729245594</c:v>
                </c:pt>
                <c:pt idx="5">
                  <c:v>16.943993093909398</c:v>
                </c:pt>
                <c:pt idx="6">
                  <c:v>14.174306043135852</c:v>
                </c:pt>
                <c:pt idx="7">
                  <c:v>12.902376713796523</c:v>
                </c:pt>
                <c:pt idx="8">
                  <c:v>11.699066937979527</c:v>
                </c:pt>
                <c:pt idx="9">
                  <c:v>9.4779591837739687</c:v>
                </c:pt>
                <c:pt idx="10">
                  <c:v>7.4812190413540378</c:v>
                </c:pt>
                <c:pt idx="11">
                  <c:v>5.7109757289154652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89-446A-93B1-EC0102F0EBEB}"/>
            </c:ext>
          </c:extLst>
        </c:ser>
        <c:ser>
          <c:idx val="7"/>
          <c:order val="2"/>
          <c:tx>
            <c:v>RAFM F82H</c:v>
          </c:tx>
          <c:spPr>
            <a:ln w="12700" cap="rnd">
              <a:solidFill>
                <a:srgbClr val="0000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Sheet1!$A$53:$A$65</c:f>
              <c:numCache>
                <c:formatCode>General</c:formatCode>
                <c:ptCount val="13"/>
                <c:pt idx="0">
                  <c:v>23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</c:numCache>
            </c:numRef>
          </c:xVal>
          <c:yVal>
            <c:numRef>
              <c:f>Sheet1!$G$53:$G$65</c:f>
              <c:numCache>
                <c:formatCode>0.00</c:formatCode>
                <c:ptCount val="13"/>
                <c:pt idx="0">
                  <c:v>6.3437391193036348</c:v>
                </c:pt>
                <c:pt idx="1">
                  <c:v>6.2336697247706416</c:v>
                </c:pt>
                <c:pt idx="2">
                  <c:v>6.1454545454545455</c:v>
                </c:pt>
                <c:pt idx="3">
                  <c:v>5.8337047101449278</c:v>
                </c:pt>
                <c:pt idx="4">
                  <c:v>5.4985495472624191</c:v>
                </c:pt>
                <c:pt idx="5">
                  <c:v>5.3080102294314058</c:v>
                </c:pt>
                <c:pt idx="6">
                  <c:v>5.1240736040609134</c:v>
                </c:pt>
                <c:pt idx="7">
                  <c:v>4.8532174738841407</c:v>
                </c:pt>
                <c:pt idx="8">
                  <c:v>4.62402503548845</c:v>
                </c:pt>
                <c:pt idx="9">
                  <c:v>4.2708884188260177</c:v>
                </c:pt>
                <c:pt idx="10">
                  <c:v>3.7395415730337076</c:v>
                </c:pt>
                <c:pt idx="11">
                  <c:v>3.233320834309819</c:v>
                </c:pt>
                <c:pt idx="12">
                  <c:v>2.6366326530612243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89-446A-93B1-EC0102F0EBEB}"/>
            </c:ext>
          </c:extLst>
        </c:ser>
        <c:ser>
          <c:idx val="9"/>
          <c:order val="3"/>
          <c:tx>
            <c:v>V-4Cr-Ti</c:v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Compilation!$B$25:$B$34</c:f>
              <c:numCache>
                <c:formatCode>General</c:formatCode>
                <c:ptCount val="10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750</c:v>
                </c:pt>
                <c:pt idx="9">
                  <c:v>800</c:v>
                </c:pt>
              </c:numCache>
            </c:numRef>
          </c:xVal>
          <c:yVal>
            <c:numRef>
              <c:f>Compilation!$N$25:$N$34</c:f>
              <c:numCache>
                <c:formatCode>General</c:formatCode>
                <c:ptCount val="10"/>
                <c:pt idx="0">
                  <c:v>7.6782404938967082</c:v>
                </c:pt>
                <c:pt idx="1">
                  <c:v>7.0234532073945362</c:v>
                </c:pt>
                <c:pt idx="2">
                  <c:v>6.0804669931622373</c:v>
                </c:pt>
                <c:pt idx="3">
                  <c:v>5.3499821847684164</c:v>
                </c:pt>
                <c:pt idx="4">
                  <c:v>5.2865838324705861</c:v>
                </c:pt>
                <c:pt idx="5">
                  <c:v>5.2218533521311592</c:v>
                </c:pt>
                <c:pt idx="6">
                  <c:v>5.2338602210465135</c:v>
                </c:pt>
                <c:pt idx="7">
                  <c:v>5.4631291274924898</c:v>
                </c:pt>
                <c:pt idx="8">
                  <c:v>5.4855379750834734</c:v>
                </c:pt>
                <c:pt idx="9">
                  <c:v>4.7394460455134571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A89-446A-93B1-EC0102F0EBEB}"/>
            </c:ext>
          </c:extLst>
        </c:ser>
        <c:ser>
          <c:idx val="8"/>
          <c:order val="4"/>
          <c:tx>
            <c:v>SiC/SiC SA-TyHex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Compilation!$B$14:$B$24</c:f>
              <c:numCache>
                <c:formatCode>General</c:formatCode>
                <c:ptCount val="11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</c:numCache>
            </c:numRef>
          </c:xVal>
          <c:yVal>
            <c:numRef>
              <c:f>Compilation!$N$14:$N$24</c:f>
              <c:numCache>
                <c:formatCode>General</c:formatCode>
                <c:ptCount val="11"/>
                <c:pt idx="0">
                  <c:v>5.9061583577712602</c:v>
                </c:pt>
                <c:pt idx="1">
                  <c:v>4.5991107220849301</c:v>
                </c:pt>
                <c:pt idx="2">
                  <c:v>3.4531006191084042</c:v>
                </c:pt>
                <c:pt idx="3">
                  <c:v>2.7986274090420125</c:v>
                </c:pt>
                <c:pt idx="4">
                  <c:v>2.5372387482987935</c:v>
                </c:pt>
                <c:pt idx="5">
                  <c:v>2.3392073039867025</c:v>
                </c:pt>
                <c:pt idx="6">
                  <c:v>2.1668384337178028</c:v>
                </c:pt>
                <c:pt idx="7">
                  <c:v>2.2237608738325694</c:v>
                </c:pt>
                <c:pt idx="8">
                  <c:v>2.5222623501112373</c:v>
                </c:pt>
                <c:pt idx="9">
                  <c:v>2.5700488412385396</c:v>
                </c:pt>
                <c:pt idx="10">
                  <c:v>1.3802798585979199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89-446A-93B1-EC0102F0EBEB}"/>
            </c:ext>
          </c:extLst>
        </c:ser>
        <c:ser>
          <c:idx val="1"/>
          <c:order val="6"/>
          <c:tx>
            <c:strRef>
              <c:f>Sheet1!$A$1</c:f>
              <c:strCache>
                <c:ptCount val="1"/>
                <c:pt idx="0">
                  <c:v>UHTC ZrB2</c:v>
                </c:pt>
              </c:strCache>
            </c:strRef>
          </c:tx>
          <c:spPr>
            <a:ln w="12700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20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2300</c:v>
                </c:pt>
              </c:numCache>
            </c:numRef>
          </c:xVal>
          <c:yVal>
            <c:numRef>
              <c:f>Sheet1!$G$3:$G$11</c:f>
              <c:numCache>
                <c:formatCode>0.00</c:formatCode>
                <c:ptCount val="9"/>
                <c:pt idx="0">
                  <c:v>20.003847241867046</c:v>
                </c:pt>
                <c:pt idx="1">
                  <c:v>13.957255343082116</c:v>
                </c:pt>
                <c:pt idx="2">
                  <c:v>10.6640625</c:v>
                </c:pt>
                <c:pt idx="3">
                  <c:v>8.3368421052631572</c:v>
                </c:pt>
                <c:pt idx="4">
                  <c:v>7.614583333333333</c:v>
                </c:pt>
                <c:pt idx="5">
                  <c:v>8.9161490683229818</c:v>
                </c:pt>
                <c:pt idx="6">
                  <c:v>8.984767393989296</c:v>
                </c:pt>
                <c:pt idx="7">
                  <c:v>8.3881967213114752</c:v>
                </c:pt>
                <c:pt idx="8">
                  <c:v>9.9126436781609204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9-446A-93B1-EC0102F0EBEB}"/>
            </c:ext>
          </c:extLst>
        </c:ser>
        <c:ser>
          <c:idx val="3"/>
          <c:order val="7"/>
          <c:tx>
            <c:strRef>
              <c:f>Sheet1!$A$38</c:f>
              <c:strCache>
                <c:ptCount val="1"/>
                <c:pt idx="0">
                  <c:v>MAX Ti3SiC2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Sheet1!$A$40:$A$46</c:f>
              <c:numCache>
                <c:formatCode>General</c:formatCode>
                <c:ptCount val="7"/>
                <c:pt idx="0">
                  <c:v>20</c:v>
                </c:pt>
                <c:pt idx="1">
                  <c:v>150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</c:numCache>
            </c:numRef>
          </c:xVal>
          <c:yVal>
            <c:numRef>
              <c:f>Sheet1!$G$40:$G$46</c:f>
              <c:numCache>
                <c:formatCode>0.00</c:formatCode>
                <c:ptCount val="7"/>
                <c:pt idx="0">
                  <c:v>5.5879110864225385</c:v>
                </c:pt>
                <c:pt idx="1">
                  <c:v>5.3571309424520441</c:v>
                </c:pt>
                <c:pt idx="2">
                  <c:v>3.2629210872763874</c:v>
                </c:pt>
                <c:pt idx="3">
                  <c:v>3.0097297297297296</c:v>
                </c:pt>
                <c:pt idx="4">
                  <c:v>2.6977486651621074</c:v>
                </c:pt>
                <c:pt idx="5">
                  <c:v>2.4994850534620383</c:v>
                </c:pt>
                <c:pt idx="6">
                  <c:v>2.4328013500397847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9-446A-93B1-EC0102F0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91808"/>
        <c:axId val="363990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Pure W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Compilation!$B$117:$B$119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800</c:v>
                      </c:pt>
                      <c:pt idx="1">
                        <c:v>1000</c:v>
                      </c:pt>
                      <c:pt idx="2">
                        <c:v>1100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Compilation!$N$117:$N$119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16.943993093909398</c:v>
                      </c:pt>
                      <c:pt idx="1">
                        <c:v>14.174306043135852</c:v>
                      </c:pt>
                      <c:pt idx="2">
                        <c:v>12.902376713796523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FA89-446A-93B1-EC0102F0EBEB}"/>
                  </c:ext>
                </c:extLst>
              </c15:ser>
            </c15:filteredScatterSeries>
            <c15:filteredScatterSeries>
              <c15:ser>
                <c:idx val="2"/>
                <c:order val="8"/>
                <c:tx>
                  <c:v>RAFM F82H (window)</c:v>
                </c:tx>
                <c:spPr>
                  <a:ln w="2540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Sheet1!$A$58:$A$62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350</c:v>
                      </c:pt>
                      <c:pt idx="1">
                        <c:v>400</c:v>
                      </c:pt>
                      <c:pt idx="2">
                        <c:v>450</c:v>
                      </c:pt>
                      <c:pt idx="3">
                        <c:v>500</c:v>
                      </c:pt>
                      <c:pt idx="4">
                        <c:v>550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Sheet1!$G$58:$G$62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5.3080102294314058</c:v>
                      </c:pt>
                      <c:pt idx="1">
                        <c:v>5.1240736040609134</c:v>
                      </c:pt>
                      <c:pt idx="2">
                        <c:v>4.8532174738841407</c:v>
                      </c:pt>
                      <c:pt idx="3">
                        <c:v>4.62402503548845</c:v>
                      </c:pt>
                      <c:pt idx="4">
                        <c:v>4.2708884188260177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89-446A-93B1-EC0102F0EBEB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SiC/SiC SA-TyHex (window)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Compilation!$B$15:$B$21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200</c:v>
                      </c:pt>
                      <c:pt idx="1">
                        <c:v>500</c:v>
                      </c:pt>
                      <c:pt idx="2">
                        <c:v>800</c:v>
                      </c:pt>
                      <c:pt idx="3">
                        <c:v>1000</c:v>
                      </c:pt>
                      <c:pt idx="4">
                        <c:v>1200</c:v>
                      </c:pt>
                      <c:pt idx="5">
                        <c:v>1400</c:v>
                      </c:pt>
                      <c:pt idx="6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Compilation!$N$15:$N$21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4.5991107220849301</c:v>
                      </c:pt>
                      <c:pt idx="1">
                        <c:v>3.4531006191084042</c:v>
                      </c:pt>
                      <c:pt idx="2">
                        <c:v>2.7986274090420125</c:v>
                      </c:pt>
                      <c:pt idx="3">
                        <c:v>2.5372387482987935</c:v>
                      </c:pt>
                      <c:pt idx="4">
                        <c:v>2.3392073039867025</c:v>
                      </c:pt>
                      <c:pt idx="5">
                        <c:v>2.1668384337178028</c:v>
                      </c:pt>
                      <c:pt idx="6">
                        <c:v>2.2237608738325694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89-446A-93B1-EC0102F0EBEB}"/>
                  </c:ext>
                </c:extLst>
              </c15:ser>
            </c15:filteredScatterSeries>
          </c:ext>
        </c:extLst>
      </c:scatterChart>
      <c:valAx>
        <c:axId val="363991808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38636952141417896"/>
              <c:y val="0.93235222790133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0168"/>
        <c:crosses val="autoZero"/>
        <c:crossBetween val="midCat"/>
        <c:majorUnit val="500"/>
      </c:valAx>
      <c:valAx>
        <c:axId val="363990168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Thermal Stress Figure of Merit [kW/m]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3.8180548532350902E-3"/>
              <c:y val="9.97660818713450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180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655086671334862"/>
          <c:y val="6.2375404828782358E-2"/>
          <c:w val="0.39085385197993627"/>
          <c:h val="0.27485932679467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35050218902911"/>
          <c:y val="4.3087971274685818E-2"/>
          <c:w val="0.82067679629152712"/>
          <c:h val="0.84919210053859961"/>
        </c:manualLayout>
      </c:layout>
      <c:scatterChart>
        <c:scatterStyle val="smoothMarker"/>
        <c:varyColors val="0"/>
        <c:ser>
          <c:idx val="3"/>
          <c:order val="0"/>
          <c:tx>
            <c:strRef>
              <c:f>Compilation!$A$35</c:f>
              <c:strCache>
                <c:ptCount val="1"/>
                <c:pt idx="0">
                  <c:v>800H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Compilation!$B$35:$B$43</c:f>
              <c:numCache>
                <c:formatCode>General</c:formatCode>
                <c:ptCount val="9"/>
                <c:pt idx="0">
                  <c:v>26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</c:numCache>
            </c:numRef>
          </c:xVal>
          <c:yVal>
            <c:numRef>
              <c:f>Compilation!$D$35:$D$43</c:f>
              <c:numCache>
                <c:formatCode>General</c:formatCode>
                <c:ptCount val="9"/>
                <c:pt idx="0">
                  <c:v>535</c:v>
                </c:pt>
                <c:pt idx="1">
                  <c:v>464</c:v>
                </c:pt>
                <c:pt idx="2">
                  <c:v>463</c:v>
                </c:pt>
                <c:pt idx="3">
                  <c:v>444</c:v>
                </c:pt>
                <c:pt idx="4">
                  <c:v>424</c:v>
                </c:pt>
                <c:pt idx="5">
                  <c:v>298</c:v>
                </c:pt>
                <c:pt idx="6">
                  <c:v>224</c:v>
                </c:pt>
                <c:pt idx="7">
                  <c:v>165</c:v>
                </c:pt>
                <c:pt idx="8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38-40E1-BAB4-DD1CC2E9E99D}"/>
            </c:ext>
          </c:extLst>
        </c:ser>
        <c:ser>
          <c:idx val="1"/>
          <c:order val="1"/>
          <c:tx>
            <c:strRef>
              <c:f>Compilation!$A$14</c:f>
              <c:strCache>
                <c:ptCount val="1"/>
                <c:pt idx="0">
                  <c:v>SiC/SiC SA-Tyrannohex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Compilation!$B$14:$B$24</c:f>
              <c:numCache>
                <c:formatCode>General</c:formatCode>
                <c:ptCount val="11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</c:numCache>
            </c:numRef>
          </c:xVal>
          <c:yVal>
            <c:numRef>
              <c:f>Compilation!$D$14:$D$24</c:f>
              <c:numCache>
                <c:formatCode>General</c:formatCode>
                <c:ptCount val="11"/>
                <c:pt idx="0">
                  <c:v>265</c:v>
                </c:pt>
                <c:pt idx="1">
                  <c:v>265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  <c:pt idx="5">
                  <c:v>265</c:v>
                </c:pt>
                <c:pt idx="6">
                  <c:v>263</c:v>
                </c:pt>
                <c:pt idx="7">
                  <c:v>262</c:v>
                </c:pt>
                <c:pt idx="8">
                  <c:v>260</c:v>
                </c:pt>
                <c:pt idx="9">
                  <c:v>250</c:v>
                </c:pt>
                <c:pt idx="10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38-40E1-BAB4-DD1CC2E9E99D}"/>
            </c:ext>
          </c:extLst>
        </c:ser>
        <c:ser>
          <c:idx val="4"/>
          <c:order val="2"/>
          <c:tx>
            <c:strRef>
              <c:f>Compilation!$A$74</c:f>
              <c:strCache>
                <c:ptCount val="1"/>
                <c:pt idx="0">
                  <c:v>Hi-Nicalon-S CVI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Compilation!$B$74:$B$78</c:f>
              <c:numCache>
                <c:formatCode>General</c:formatCode>
                <c:ptCount val="5"/>
                <c:pt idx="0">
                  <c:v>25</c:v>
                </c:pt>
                <c:pt idx="1">
                  <c:v>1000</c:v>
                </c:pt>
                <c:pt idx="2">
                  <c:v>1300</c:v>
                </c:pt>
                <c:pt idx="3">
                  <c:v>1400</c:v>
                </c:pt>
                <c:pt idx="4">
                  <c:v>1600</c:v>
                </c:pt>
              </c:numCache>
            </c:numRef>
          </c:xVal>
          <c:yVal>
            <c:numRef>
              <c:f>Compilation!$D$74:$D$78</c:f>
              <c:numCache>
                <c:formatCode>General</c:formatCode>
                <c:ptCount val="5"/>
                <c:pt idx="0">
                  <c:v>370</c:v>
                </c:pt>
                <c:pt idx="1">
                  <c:v>351.5</c:v>
                </c:pt>
                <c:pt idx="2">
                  <c:v>306.5</c:v>
                </c:pt>
                <c:pt idx="3">
                  <c:v>259.5</c:v>
                </c:pt>
                <c:pt idx="4">
                  <c:v>147.5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38-40E1-BAB4-DD1CC2E9E99D}"/>
            </c:ext>
          </c:extLst>
        </c:ser>
        <c:ser>
          <c:idx val="0"/>
          <c:order val="3"/>
          <c:tx>
            <c:strRef>
              <c:f>Compilation!$A$49</c:f>
              <c:strCache>
                <c:ptCount val="1"/>
                <c:pt idx="0">
                  <c:v>T91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Compilation!$B$49:$B$60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</c:numCache>
            </c:numRef>
          </c:xVal>
          <c:yVal>
            <c:numRef>
              <c:f>Compilation!$D$49:$D$60</c:f>
              <c:numCache>
                <c:formatCode>General</c:formatCode>
                <c:ptCount val="12"/>
                <c:pt idx="0">
                  <c:v>693.09</c:v>
                </c:pt>
                <c:pt idx="1">
                  <c:v>661.26750000000004</c:v>
                </c:pt>
                <c:pt idx="2">
                  <c:v>634.67000000000007</c:v>
                </c:pt>
                <c:pt idx="3">
                  <c:v>614.19749999999999</c:v>
                </c:pt>
                <c:pt idx="4">
                  <c:v>599.85</c:v>
                </c:pt>
                <c:pt idx="5">
                  <c:v>590.72749999999996</c:v>
                </c:pt>
                <c:pt idx="6">
                  <c:v>585.03</c:v>
                </c:pt>
                <c:pt idx="7">
                  <c:v>580.0575</c:v>
                </c:pt>
                <c:pt idx="8">
                  <c:v>572.21</c:v>
                </c:pt>
                <c:pt idx="9">
                  <c:v>556.98750000000007</c:v>
                </c:pt>
                <c:pt idx="10">
                  <c:v>528.99</c:v>
                </c:pt>
                <c:pt idx="11">
                  <c:v>481.91750000000002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38-40E1-BAB4-DD1CC2E9E99D}"/>
            </c:ext>
          </c:extLst>
        </c:ser>
        <c:ser>
          <c:idx val="2"/>
          <c:order val="4"/>
          <c:tx>
            <c:strRef>
              <c:f>Compilation!$A$61</c:f>
              <c:strCache>
                <c:ptCount val="1"/>
                <c:pt idx="0">
                  <c:v>Alloy 617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Compilation!$B$61:$B$68</c:f>
              <c:numCache>
                <c:formatCode>General</c:formatCode>
                <c:ptCount val="8"/>
                <c:pt idx="0">
                  <c:v>26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750</c:v>
                </c:pt>
                <c:pt idx="6">
                  <c:v>800</c:v>
                </c:pt>
                <c:pt idx="7">
                  <c:v>900</c:v>
                </c:pt>
              </c:numCache>
            </c:numRef>
          </c:xVal>
          <c:yVal>
            <c:numRef>
              <c:f>Compilation!$D$61:$D$68</c:f>
              <c:numCache>
                <c:formatCode>General</c:formatCode>
                <c:ptCount val="8"/>
                <c:pt idx="0">
                  <c:v>751</c:v>
                </c:pt>
                <c:pt idx="1">
                  <c:v>664</c:v>
                </c:pt>
                <c:pt idx="2">
                  <c:v>617</c:v>
                </c:pt>
                <c:pt idx="3">
                  <c:v>608</c:v>
                </c:pt>
                <c:pt idx="4">
                  <c:v>555</c:v>
                </c:pt>
                <c:pt idx="5">
                  <c:v>488</c:v>
                </c:pt>
                <c:pt idx="6">
                  <c:v>413</c:v>
                </c:pt>
                <c:pt idx="7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38-40E1-BAB4-DD1CC2E9E99D}"/>
            </c:ext>
          </c:extLst>
        </c:ser>
        <c:ser>
          <c:idx val="5"/>
          <c:order val="5"/>
          <c:tx>
            <c:strRef>
              <c:f>Compilation!$A$69</c:f>
              <c:strCache>
                <c:ptCount val="1"/>
                <c:pt idx="0">
                  <c:v>SGL C/C 1501G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Compilation!$B$69:$B$71</c:f>
              <c:numCache>
                <c:formatCode>General</c:formatCode>
                <c:ptCount val="3"/>
                <c:pt idx="0">
                  <c:v>20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Compilation!$D$69:$D$71</c:f>
              <c:numCache>
                <c:formatCode>General</c:formatCode>
                <c:ptCount val="3"/>
                <c:pt idx="0">
                  <c:v>360</c:v>
                </c:pt>
                <c:pt idx="1">
                  <c:v>413.99999999999994</c:v>
                </c:pt>
                <c:pt idx="2">
                  <c:v>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38-40E1-BAB4-DD1CC2E9E99D}"/>
            </c:ext>
          </c:extLst>
        </c:ser>
        <c:ser>
          <c:idx val="6"/>
          <c:order val="6"/>
          <c:tx>
            <c:strRef>
              <c:f>Compilation!$A$25</c:f>
              <c:strCache>
                <c:ptCount val="1"/>
                <c:pt idx="0">
                  <c:v>V-4Cr-4Ti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Compilation!$B$25:$B$34</c:f>
              <c:numCache>
                <c:formatCode>General</c:formatCode>
                <c:ptCount val="10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750</c:v>
                </c:pt>
                <c:pt idx="9">
                  <c:v>800</c:v>
                </c:pt>
              </c:numCache>
            </c:numRef>
          </c:xVal>
          <c:yVal>
            <c:numRef>
              <c:f>Compilation!$D$25:$D$34</c:f>
              <c:numCache>
                <c:formatCode>General</c:formatCode>
                <c:ptCount val="10"/>
                <c:pt idx="0">
                  <c:v>425</c:v>
                </c:pt>
                <c:pt idx="1">
                  <c:v>400</c:v>
                </c:pt>
                <c:pt idx="2">
                  <c:v>360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365</c:v>
                </c:pt>
                <c:pt idx="7">
                  <c:v>390</c:v>
                </c:pt>
                <c:pt idx="8">
                  <c:v>390</c:v>
                </c:pt>
                <c:pt idx="9">
                  <c:v>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38-40E1-BAB4-DD1CC2E9E99D}"/>
            </c:ext>
          </c:extLst>
        </c:ser>
        <c:ser>
          <c:idx val="7"/>
          <c:order val="7"/>
          <c:tx>
            <c:strRef>
              <c:f>Compilation!$A$79</c:f>
              <c:strCache>
                <c:ptCount val="1"/>
                <c:pt idx="0">
                  <c:v>14YWT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Compilation!$B$79:$B$83</c:f>
              <c:numCache>
                <c:formatCode>General</c:formatCode>
                <c:ptCount val="5"/>
                <c:pt idx="0">
                  <c:v>26</c:v>
                </c:pt>
                <c:pt idx="1">
                  <c:v>300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</c:numCache>
            </c:numRef>
          </c:xVal>
          <c:yVal>
            <c:numRef>
              <c:f>Compilation!$D$79:$D$83</c:f>
              <c:numCache>
                <c:formatCode>General</c:formatCode>
                <c:ptCount val="5"/>
                <c:pt idx="0">
                  <c:v>1563.5145663500002</c:v>
                </c:pt>
                <c:pt idx="1">
                  <c:v>1384.1661826000002</c:v>
                </c:pt>
                <c:pt idx="2">
                  <c:v>1134.9000000000001</c:v>
                </c:pt>
                <c:pt idx="3">
                  <c:v>782.89300000000003</c:v>
                </c:pt>
                <c:pt idx="4">
                  <c:v>507.99900000000002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38-40E1-BAB4-DD1CC2E9E99D}"/>
            </c:ext>
          </c:extLst>
        </c:ser>
        <c:ser>
          <c:idx val="8"/>
          <c:order val="8"/>
          <c:tx>
            <c:strRef>
              <c:f>Compilation!$A$84</c:f>
              <c:strCache>
                <c:ptCount val="1"/>
                <c:pt idx="0">
                  <c:v>Zircaloy-4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Compilation!$B$84:$B$91</c:f>
              <c:numCache>
                <c:formatCode>General</c:formatCode>
                <c:ptCount val="8"/>
                <c:pt idx="0">
                  <c:v>25</c:v>
                </c:pt>
                <c:pt idx="1">
                  <c:v>130</c:v>
                </c:pt>
                <c:pt idx="2">
                  <c:v>240</c:v>
                </c:pt>
                <c:pt idx="3">
                  <c:v>330</c:v>
                </c:pt>
                <c:pt idx="4">
                  <c:v>430</c:v>
                </c:pt>
                <c:pt idx="5">
                  <c:v>520</c:v>
                </c:pt>
                <c:pt idx="6">
                  <c:v>630</c:v>
                </c:pt>
                <c:pt idx="7">
                  <c:v>725</c:v>
                </c:pt>
              </c:numCache>
            </c:numRef>
          </c:xVal>
          <c:yVal>
            <c:numRef>
              <c:f>Compilation!$D$84:$D$91</c:f>
              <c:numCache>
                <c:formatCode>General</c:formatCode>
                <c:ptCount val="8"/>
                <c:pt idx="0">
                  <c:v>552</c:v>
                </c:pt>
                <c:pt idx="1">
                  <c:v>458</c:v>
                </c:pt>
                <c:pt idx="2">
                  <c:v>310</c:v>
                </c:pt>
                <c:pt idx="3">
                  <c:v>260</c:v>
                </c:pt>
                <c:pt idx="4">
                  <c:v>210</c:v>
                </c:pt>
                <c:pt idx="5">
                  <c:v>164</c:v>
                </c:pt>
                <c:pt idx="6">
                  <c:v>96</c:v>
                </c:pt>
                <c:pt idx="7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38-40E1-BAB4-DD1CC2E9E99D}"/>
            </c:ext>
          </c:extLst>
        </c:ser>
        <c:ser>
          <c:idx val="9"/>
          <c:order val="9"/>
          <c:tx>
            <c:strRef>
              <c:f>Compilation!$A$92</c:f>
              <c:strCache>
                <c:ptCount val="1"/>
                <c:pt idx="0">
                  <c:v>TZM (LSR)</c:v>
                </c:pt>
              </c:strCache>
            </c:strRef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xVal>
            <c:numRef>
              <c:f>Compilation!$B$92:$B$102</c:f>
              <c:numCache>
                <c:formatCode>General</c:formatCode>
                <c:ptCount val="11"/>
                <c:pt idx="0">
                  <c:v>25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702</c:v>
                </c:pt>
                <c:pt idx="7">
                  <c:v>800</c:v>
                </c:pt>
                <c:pt idx="8">
                  <c:v>1000</c:v>
                </c:pt>
                <c:pt idx="9">
                  <c:v>1201</c:v>
                </c:pt>
                <c:pt idx="10">
                  <c:v>1406</c:v>
                </c:pt>
              </c:numCache>
            </c:numRef>
          </c:xVal>
          <c:yVal>
            <c:numRef>
              <c:f>Compilation!$D$92:$D$102</c:f>
              <c:numCache>
                <c:formatCode>General</c:formatCode>
                <c:ptCount val="11"/>
                <c:pt idx="0">
                  <c:v>808</c:v>
                </c:pt>
                <c:pt idx="1">
                  <c:v>756</c:v>
                </c:pt>
                <c:pt idx="2">
                  <c:v>674</c:v>
                </c:pt>
                <c:pt idx="3">
                  <c:v>669</c:v>
                </c:pt>
                <c:pt idx="4">
                  <c:v>673</c:v>
                </c:pt>
                <c:pt idx="5">
                  <c:v>628</c:v>
                </c:pt>
                <c:pt idx="6">
                  <c:v>556</c:v>
                </c:pt>
                <c:pt idx="7">
                  <c:v>539</c:v>
                </c:pt>
                <c:pt idx="8">
                  <c:v>524</c:v>
                </c:pt>
                <c:pt idx="9">
                  <c:v>414</c:v>
                </c:pt>
                <c:pt idx="1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38-40E1-BAB4-DD1CC2E9E99D}"/>
            </c:ext>
          </c:extLst>
        </c:ser>
        <c:ser>
          <c:idx val="10"/>
          <c:order val="10"/>
          <c:tx>
            <c:strRef>
              <c:f>Compilation!$A$103</c:f>
              <c:strCache>
                <c:ptCount val="1"/>
                <c:pt idx="0">
                  <c:v>N720/A Oxide Composite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Compilation!$B$103:$B$105</c:f>
              <c:numCache>
                <c:formatCode>General</c:formatCode>
                <c:ptCount val="3"/>
                <c:pt idx="0">
                  <c:v>25</c:v>
                </c:pt>
                <c:pt idx="1">
                  <c:v>1200</c:v>
                </c:pt>
                <c:pt idx="2">
                  <c:v>1330</c:v>
                </c:pt>
              </c:numCache>
            </c:numRef>
          </c:xVal>
          <c:yVal>
            <c:numRef>
              <c:f>Compilation!$D$103:$D$105</c:f>
              <c:numCache>
                <c:formatCode>General</c:formatCode>
                <c:ptCount val="3"/>
                <c:pt idx="0">
                  <c:v>169</c:v>
                </c:pt>
                <c:pt idx="1">
                  <c:v>192</c:v>
                </c:pt>
                <c:pt idx="2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38-40E1-BAB4-DD1CC2E9E99D}"/>
            </c:ext>
          </c:extLst>
        </c:ser>
        <c:ser>
          <c:idx val="11"/>
          <c:order val="11"/>
          <c:tx>
            <c:strRef>
              <c:f>Compilation!$A$106</c:f>
              <c:strCache>
                <c:ptCount val="1"/>
                <c:pt idx="0">
                  <c:v>IG-110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Compilation!$B$106:$B$111</c:f>
              <c:numCache>
                <c:formatCode>General</c:formatCode>
                <c:ptCount val="6"/>
                <c:pt idx="0">
                  <c:v>25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</c:numCache>
            </c:numRef>
          </c:xVal>
          <c:yVal>
            <c:numRef>
              <c:f>Compilation!$D$106:$D$111</c:f>
              <c:numCache>
                <c:formatCode>General</c:formatCode>
                <c:ptCount val="6"/>
                <c:pt idx="0">
                  <c:v>26</c:v>
                </c:pt>
                <c:pt idx="1">
                  <c:v>27</c:v>
                </c:pt>
                <c:pt idx="2">
                  <c:v>29</c:v>
                </c:pt>
                <c:pt idx="3">
                  <c:v>33</c:v>
                </c:pt>
                <c:pt idx="4">
                  <c:v>39</c:v>
                </c:pt>
                <c:pt idx="5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038-40E1-BAB4-DD1CC2E9E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52408"/>
        <c:axId val="1"/>
      </c:scatterChart>
      <c:valAx>
        <c:axId val="493752408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[C]</a:t>
                </a:r>
              </a:p>
            </c:rich>
          </c:tx>
          <c:layout>
            <c:manualLayout>
              <c:xMode val="edge"/>
              <c:yMode val="edge"/>
              <c:x val="0.44936799566720825"/>
              <c:y val="0.940753981839226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"/>
        <c:minorUnit val="50"/>
      </c:valAx>
      <c:valAx>
        <c:axId val="1"/>
        <c:scaling>
          <c:orientation val="minMax"/>
          <c:max val="16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Tensile Strength [MPa]</a:t>
                </a:r>
              </a:p>
            </c:rich>
          </c:tx>
          <c:layout>
            <c:manualLayout>
              <c:xMode val="edge"/>
              <c:yMode val="edge"/>
              <c:x val="2.531641878098571E-2"/>
              <c:y val="0.3500896627052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75240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00012335538997"/>
          <c:y val="7.02247191011236E-2"/>
          <c:w val="0.84210612880975411"/>
          <c:h val="0.77528089887640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Compilation!$A$49</c:f>
              <c:strCache>
                <c:ptCount val="1"/>
                <c:pt idx="0">
                  <c:v>T91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none"/>
          </c:marker>
          <c:xVal>
            <c:numRef>
              <c:f>Compilation!$B$49:$B$60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</c:numCache>
            </c:numRef>
          </c:xVal>
          <c:yVal>
            <c:numRef>
              <c:f>Compilation!$F$49:$F$60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25-4B2B-A545-FFFA268AAF01}"/>
            </c:ext>
          </c:extLst>
        </c:ser>
        <c:ser>
          <c:idx val="3"/>
          <c:order val="1"/>
          <c:tx>
            <c:strRef>
              <c:f>Compilation!$A$35</c:f>
              <c:strCache>
                <c:ptCount val="1"/>
                <c:pt idx="0">
                  <c:v>800H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Compilation!$B$35:$B$43</c:f>
              <c:numCache>
                <c:formatCode>General</c:formatCode>
                <c:ptCount val="9"/>
                <c:pt idx="0">
                  <c:v>26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</c:numCache>
            </c:numRef>
          </c:xVal>
          <c:yVal>
            <c:numRef>
              <c:f>Compilation!$F$35:$F$43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25-4B2B-A545-FFFA268AAF01}"/>
            </c:ext>
          </c:extLst>
        </c:ser>
        <c:ser>
          <c:idx val="2"/>
          <c:order val="2"/>
          <c:tx>
            <c:strRef>
              <c:f>Compilation!$A$25</c:f>
              <c:strCache>
                <c:ptCount val="1"/>
                <c:pt idx="0">
                  <c:v>V-4Cr-4Ti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Compilation!$B$25:$B$34</c:f>
              <c:numCache>
                <c:formatCode>General</c:formatCode>
                <c:ptCount val="10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750</c:v>
                </c:pt>
                <c:pt idx="9">
                  <c:v>800</c:v>
                </c:pt>
              </c:numCache>
            </c:numRef>
          </c:xVal>
          <c:yVal>
            <c:numRef>
              <c:f>Compilation!$F$25:$F$34</c:f>
              <c:numCache>
                <c:formatCode>General</c:formatCode>
                <c:ptCount val="10"/>
                <c:pt idx="0">
                  <c:v>129.18427000000003</c:v>
                </c:pt>
                <c:pt idx="1">
                  <c:v>128.41547</c:v>
                </c:pt>
                <c:pt idx="2">
                  <c:v>127.45447000000001</c:v>
                </c:pt>
                <c:pt idx="3">
                  <c:v>126.49347</c:v>
                </c:pt>
                <c:pt idx="4">
                  <c:v>125.53247</c:v>
                </c:pt>
                <c:pt idx="5">
                  <c:v>124.57147000000002</c:v>
                </c:pt>
                <c:pt idx="6">
                  <c:v>123.61047000000001</c:v>
                </c:pt>
                <c:pt idx="7">
                  <c:v>121</c:v>
                </c:pt>
                <c:pt idx="8">
                  <c:v>118</c:v>
                </c:pt>
                <c:pt idx="9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25-4B2B-A545-FFFA268AAF01}"/>
            </c:ext>
          </c:extLst>
        </c:ser>
        <c:ser>
          <c:idx val="1"/>
          <c:order val="3"/>
          <c:tx>
            <c:strRef>
              <c:f>Compilation!$A$14</c:f>
              <c:strCache>
                <c:ptCount val="1"/>
                <c:pt idx="0">
                  <c:v>SiC/SiC SA-Tyrannohex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Compilation!$B$14:$B$24</c:f>
              <c:numCache>
                <c:formatCode>General</c:formatCode>
                <c:ptCount val="11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</c:numCache>
            </c:numRef>
          </c:xVal>
          <c:yVal>
            <c:numRef>
              <c:f>Compilation!$F$14:$F$24</c:f>
              <c:numCache>
                <c:formatCode>General</c:formatCode>
                <c:ptCount val="11"/>
                <c:pt idx="0">
                  <c:v>310</c:v>
                </c:pt>
                <c:pt idx="1">
                  <c:v>310</c:v>
                </c:pt>
                <c:pt idx="2">
                  <c:v>300</c:v>
                </c:pt>
                <c:pt idx="3">
                  <c:v>290</c:v>
                </c:pt>
                <c:pt idx="4">
                  <c:v>280</c:v>
                </c:pt>
                <c:pt idx="5">
                  <c:v>270</c:v>
                </c:pt>
                <c:pt idx="6">
                  <c:v>260</c:v>
                </c:pt>
                <c:pt idx="7">
                  <c:v>240</c:v>
                </c:pt>
                <c:pt idx="8">
                  <c:v>200</c:v>
                </c:pt>
                <c:pt idx="9">
                  <c:v>180</c:v>
                </c:pt>
                <c:pt idx="10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25-4B2B-A545-FFFA268AAF01}"/>
            </c:ext>
          </c:extLst>
        </c:ser>
        <c:ser>
          <c:idx val="4"/>
          <c:order val="4"/>
          <c:tx>
            <c:strRef>
              <c:f>Compilation!$A$45</c:f>
              <c:strCache>
                <c:ptCount val="1"/>
                <c:pt idx="0">
                  <c:v>SiC/SiC Hi-Nicalon CVI</c:v>
                </c:pt>
              </c:strCache>
            </c:strRef>
          </c:tx>
          <c:spPr>
            <a:ln w="25400">
              <a:solidFill>
                <a:srgbClr val="FF0000"/>
              </a:solidFill>
              <a:prstDash val="lgDashDotDot"/>
            </a:ln>
          </c:spPr>
          <c:marker>
            <c:symbol val="none"/>
          </c:marker>
          <c:xVal>
            <c:numRef>
              <c:f>Compilation!$B$45:$B$48</c:f>
              <c:numCache>
                <c:formatCode>General</c:formatCode>
                <c:ptCount val="4"/>
                <c:pt idx="0">
                  <c:v>20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</c:numCache>
            </c:numRef>
          </c:xVal>
          <c:yVal>
            <c:numRef>
              <c:f>Compilation!$F$45:$F$48</c:f>
              <c:numCache>
                <c:formatCode>General</c:formatCode>
                <c:ptCount val="4"/>
                <c:pt idx="0">
                  <c:v>114</c:v>
                </c:pt>
                <c:pt idx="1">
                  <c:v>87</c:v>
                </c:pt>
                <c:pt idx="2">
                  <c:v>84</c:v>
                </c:pt>
                <c:pt idx="3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25-4B2B-A545-FFFA268AA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893672"/>
        <c:axId val="1"/>
      </c:scatterChart>
      <c:valAx>
        <c:axId val="49389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[C]</a:t>
                </a:r>
              </a:p>
            </c:rich>
          </c:tx>
          <c:layout>
            <c:manualLayout>
              <c:xMode val="edge"/>
              <c:yMode val="edge"/>
              <c:x val="0.43157946652521362"/>
              <c:y val="0.921348248613586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Young's Modulus [GPa]</a:t>
                </a:r>
              </a:p>
            </c:rich>
          </c:tx>
          <c:layout>
            <c:manualLayout>
              <c:xMode val="edge"/>
              <c:yMode val="edge"/>
              <c:x val="1.2631511916997738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89367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94751125360943"/>
          <c:y val="6.5000079345799988E-2"/>
          <c:w val="0.71789547481031535"/>
          <c:h val="0.777500949097838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Compilation!$A$14</c:f>
              <c:strCache>
                <c:ptCount val="1"/>
                <c:pt idx="0">
                  <c:v>SiC/SiC SA-Tyrannohex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Compilation!$B$14:$B$24</c:f>
              <c:numCache>
                <c:formatCode>General</c:formatCode>
                <c:ptCount val="11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</c:numCache>
            </c:numRef>
          </c:xVal>
          <c:yVal>
            <c:numRef>
              <c:f>Compilation!$D$14:$D$24</c:f>
              <c:numCache>
                <c:formatCode>General</c:formatCode>
                <c:ptCount val="11"/>
                <c:pt idx="0">
                  <c:v>265</c:v>
                </c:pt>
                <c:pt idx="1">
                  <c:v>265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  <c:pt idx="5">
                  <c:v>265</c:v>
                </c:pt>
                <c:pt idx="6">
                  <c:v>263</c:v>
                </c:pt>
                <c:pt idx="7">
                  <c:v>262</c:v>
                </c:pt>
                <c:pt idx="8">
                  <c:v>260</c:v>
                </c:pt>
                <c:pt idx="9">
                  <c:v>250</c:v>
                </c:pt>
                <c:pt idx="10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8-4100-AFEA-07113E61E02B}"/>
            </c:ext>
          </c:extLst>
        </c:ser>
        <c:ser>
          <c:idx val="0"/>
          <c:order val="1"/>
          <c:tx>
            <c:strRef>
              <c:f>Compilation!$A$72</c:f>
              <c:strCache>
                <c:ptCount val="1"/>
                <c:pt idx="0">
                  <c:v>Tyranno-SA3 CVI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Compilation!$B$72:$B$73</c:f>
              <c:numCache>
                <c:formatCode>General</c:formatCode>
                <c:ptCount val="2"/>
                <c:pt idx="0">
                  <c:v>20</c:v>
                </c:pt>
                <c:pt idx="1">
                  <c:v>1300</c:v>
                </c:pt>
              </c:numCache>
            </c:numRef>
          </c:xVal>
          <c:yVal>
            <c:numRef>
              <c:f>Compilation!$D$72:$D$73</c:f>
              <c:numCache>
                <c:formatCode>General</c:formatCode>
                <c:ptCount val="2"/>
                <c:pt idx="0">
                  <c:v>220</c:v>
                </c:pt>
                <c:pt idx="1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F8-4100-AFEA-07113E61E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24896"/>
        <c:axId val="1"/>
      </c:scatterChart>
      <c:scatterChart>
        <c:scatterStyle val="lineMarker"/>
        <c:varyColors val="0"/>
        <c:ser>
          <c:idx val="2"/>
          <c:order val="2"/>
          <c:tx>
            <c:strRef>
              <c:f>Compilation!$A$74</c:f>
              <c:strCache>
                <c:ptCount val="1"/>
                <c:pt idx="0">
                  <c:v>Hi-Nicalon-S CVI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Compilation!$B$74:$B$78</c:f>
              <c:numCache>
                <c:formatCode>General</c:formatCode>
                <c:ptCount val="5"/>
                <c:pt idx="0">
                  <c:v>25</c:v>
                </c:pt>
                <c:pt idx="1">
                  <c:v>1000</c:v>
                </c:pt>
                <c:pt idx="2">
                  <c:v>1300</c:v>
                </c:pt>
                <c:pt idx="3">
                  <c:v>1400</c:v>
                </c:pt>
                <c:pt idx="4">
                  <c:v>1600</c:v>
                </c:pt>
              </c:numCache>
            </c:numRef>
          </c:xVal>
          <c:yVal>
            <c:numRef>
              <c:f>Compilation!$D$74:$D$78</c:f>
              <c:numCache>
                <c:formatCode>General</c:formatCode>
                <c:ptCount val="5"/>
                <c:pt idx="0">
                  <c:v>370</c:v>
                </c:pt>
                <c:pt idx="1">
                  <c:v>351.5</c:v>
                </c:pt>
                <c:pt idx="2">
                  <c:v>306.5</c:v>
                </c:pt>
                <c:pt idx="3">
                  <c:v>259.5</c:v>
                </c:pt>
                <c:pt idx="4">
                  <c:v>147.5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F8-4100-AFEA-07113E61E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49992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[C]</a:t>
                </a:r>
              </a:p>
            </c:rich>
          </c:tx>
          <c:layout>
            <c:manualLayout>
              <c:xMode val="edge"/>
              <c:yMode val="edge"/>
              <c:x val="0.3852635066279072"/>
              <c:y val="0.920000973930954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40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Tensile Strength [MPa]</a:t>
                </a:r>
              </a:p>
            </c:rich>
          </c:tx>
          <c:layout>
            <c:manualLayout>
              <c:xMode val="edge"/>
              <c:yMode val="edge"/>
              <c:x val="2.1052727962486913E-2"/>
              <c:y val="0.26750026156313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992489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Flexural Strength [MPa]</a:t>
                </a:r>
              </a:p>
            </c:rich>
          </c:tx>
          <c:layout>
            <c:manualLayout>
              <c:xMode val="edge"/>
              <c:yMode val="edge"/>
              <c:x val="0.92631670073623984"/>
              <c:y val="0.260000270000660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2806959256674"/>
          <c:y val="4.3087971274685818E-2"/>
          <c:w val="0.7925474821976366"/>
          <c:h val="0.83004189108318371"/>
        </c:manualLayout>
      </c:layout>
      <c:scatterChart>
        <c:scatterStyle val="smoothMarker"/>
        <c:varyColors val="0"/>
        <c:ser>
          <c:idx val="3"/>
          <c:order val="0"/>
          <c:tx>
            <c:strRef>
              <c:f>Compilation!$A$35</c:f>
              <c:strCache>
                <c:ptCount val="1"/>
                <c:pt idx="0">
                  <c:v>800H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Compilation!$B$35:$B$43</c:f>
              <c:numCache>
                <c:formatCode>General</c:formatCode>
                <c:ptCount val="9"/>
                <c:pt idx="0">
                  <c:v>26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</c:numCache>
            </c:numRef>
          </c:xVal>
          <c:yVal>
            <c:numRef>
              <c:f>Compilation!$D$35:$D$43</c:f>
              <c:numCache>
                <c:formatCode>General</c:formatCode>
                <c:ptCount val="9"/>
                <c:pt idx="0">
                  <c:v>535</c:v>
                </c:pt>
                <c:pt idx="1">
                  <c:v>464</c:v>
                </c:pt>
                <c:pt idx="2">
                  <c:v>463</c:v>
                </c:pt>
                <c:pt idx="3">
                  <c:v>444</c:v>
                </c:pt>
                <c:pt idx="4">
                  <c:v>424</c:v>
                </c:pt>
                <c:pt idx="5">
                  <c:v>298</c:v>
                </c:pt>
                <c:pt idx="6">
                  <c:v>224</c:v>
                </c:pt>
                <c:pt idx="7">
                  <c:v>165</c:v>
                </c:pt>
                <c:pt idx="8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E-49C8-BA36-9A0FCEF76CA4}"/>
            </c:ext>
          </c:extLst>
        </c:ser>
        <c:ser>
          <c:idx val="1"/>
          <c:order val="1"/>
          <c:tx>
            <c:strRef>
              <c:f>Compilation!$A$14</c:f>
              <c:strCache>
                <c:ptCount val="1"/>
                <c:pt idx="0">
                  <c:v>SiC/SiC SA-Tyrannohex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Compilation!$B$14:$B$24</c:f>
              <c:numCache>
                <c:formatCode>General</c:formatCode>
                <c:ptCount val="11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</c:numCache>
            </c:numRef>
          </c:xVal>
          <c:yVal>
            <c:numRef>
              <c:f>Compilation!$D$14:$D$24</c:f>
              <c:numCache>
                <c:formatCode>General</c:formatCode>
                <c:ptCount val="11"/>
                <c:pt idx="0">
                  <c:v>265</c:v>
                </c:pt>
                <c:pt idx="1">
                  <c:v>265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  <c:pt idx="5">
                  <c:v>265</c:v>
                </c:pt>
                <c:pt idx="6">
                  <c:v>263</c:v>
                </c:pt>
                <c:pt idx="7">
                  <c:v>262</c:v>
                </c:pt>
                <c:pt idx="8">
                  <c:v>260</c:v>
                </c:pt>
                <c:pt idx="9">
                  <c:v>250</c:v>
                </c:pt>
                <c:pt idx="10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8E-49C8-BA36-9A0FCEF76CA4}"/>
            </c:ext>
          </c:extLst>
        </c:ser>
        <c:ser>
          <c:idx val="4"/>
          <c:order val="2"/>
          <c:tx>
            <c:strRef>
              <c:f>Compilation!$A$74</c:f>
              <c:strCache>
                <c:ptCount val="1"/>
                <c:pt idx="0">
                  <c:v>Hi-Nicalon-S CVI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Compilation!$B$74:$B$78</c:f>
              <c:numCache>
                <c:formatCode>General</c:formatCode>
                <c:ptCount val="5"/>
                <c:pt idx="0">
                  <c:v>25</c:v>
                </c:pt>
                <c:pt idx="1">
                  <c:v>1000</c:v>
                </c:pt>
                <c:pt idx="2">
                  <c:v>1300</c:v>
                </c:pt>
                <c:pt idx="3">
                  <c:v>1400</c:v>
                </c:pt>
                <c:pt idx="4">
                  <c:v>1600</c:v>
                </c:pt>
              </c:numCache>
            </c:numRef>
          </c:xVal>
          <c:yVal>
            <c:numRef>
              <c:f>Compilation!$D$74:$D$78</c:f>
              <c:numCache>
                <c:formatCode>General</c:formatCode>
                <c:ptCount val="5"/>
                <c:pt idx="0">
                  <c:v>370</c:v>
                </c:pt>
                <c:pt idx="1">
                  <c:v>351.5</c:v>
                </c:pt>
                <c:pt idx="2">
                  <c:v>306.5</c:v>
                </c:pt>
                <c:pt idx="3">
                  <c:v>259.5</c:v>
                </c:pt>
                <c:pt idx="4">
                  <c:v>147.5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8E-49C8-BA36-9A0FCEF76CA4}"/>
            </c:ext>
          </c:extLst>
        </c:ser>
        <c:ser>
          <c:idx val="0"/>
          <c:order val="3"/>
          <c:tx>
            <c:strRef>
              <c:f>Compilation!$A$49</c:f>
              <c:strCache>
                <c:ptCount val="1"/>
                <c:pt idx="0">
                  <c:v>T91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ysDash"/>
            </a:ln>
          </c:spPr>
          <c:marker>
            <c:symbol val="none"/>
          </c:marker>
          <c:xVal>
            <c:numRef>
              <c:f>Compilation!$B$49:$B$60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</c:numCache>
            </c:numRef>
          </c:xVal>
          <c:yVal>
            <c:numRef>
              <c:f>Compilation!$D$49:$D$60</c:f>
              <c:numCache>
                <c:formatCode>General</c:formatCode>
                <c:ptCount val="12"/>
                <c:pt idx="0">
                  <c:v>693.09</c:v>
                </c:pt>
                <c:pt idx="1">
                  <c:v>661.26750000000004</c:v>
                </c:pt>
                <c:pt idx="2">
                  <c:v>634.67000000000007</c:v>
                </c:pt>
                <c:pt idx="3">
                  <c:v>614.19749999999999</c:v>
                </c:pt>
                <c:pt idx="4">
                  <c:v>599.85</c:v>
                </c:pt>
                <c:pt idx="5">
                  <c:v>590.72749999999996</c:v>
                </c:pt>
                <c:pt idx="6">
                  <c:v>585.03</c:v>
                </c:pt>
                <c:pt idx="7">
                  <c:v>580.0575</c:v>
                </c:pt>
                <c:pt idx="8">
                  <c:v>572.21</c:v>
                </c:pt>
                <c:pt idx="9">
                  <c:v>556.98750000000007</c:v>
                </c:pt>
                <c:pt idx="10">
                  <c:v>528.99</c:v>
                </c:pt>
                <c:pt idx="11">
                  <c:v>481.91750000000002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8E-49C8-BA36-9A0FCEF76CA4}"/>
            </c:ext>
          </c:extLst>
        </c:ser>
        <c:ser>
          <c:idx val="2"/>
          <c:order val="4"/>
          <c:tx>
            <c:strRef>
              <c:f>Compilation!$A$61</c:f>
              <c:strCache>
                <c:ptCount val="1"/>
                <c:pt idx="0">
                  <c:v>Alloy 617</c:v>
                </c:pt>
              </c:strCache>
            </c:strRef>
          </c:tx>
          <c:spPr>
            <a:ln w="19050">
              <a:solidFill>
                <a:srgbClr val="800080"/>
              </a:solidFill>
              <a:prstDash val="sysDash"/>
            </a:ln>
          </c:spPr>
          <c:marker>
            <c:symbol val="none"/>
          </c:marker>
          <c:xVal>
            <c:numRef>
              <c:f>Compilation!$B$61:$B$68</c:f>
              <c:numCache>
                <c:formatCode>General</c:formatCode>
                <c:ptCount val="8"/>
                <c:pt idx="0">
                  <c:v>26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750</c:v>
                </c:pt>
                <c:pt idx="6">
                  <c:v>800</c:v>
                </c:pt>
                <c:pt idx="7">
                  <c:v>900</c:v>
                </c:pt>
              </c:numCache>
            </c:numRef>
          </c:xVal>
          <c:yVal>
            <c:numRef>
              <c:f>Compilation!$D$61:$D$68</c:f>
              <c:numCache>
                <c:formatCode>General</c:formatCode>
                <c:ptCount val="8"/>
                <c:pt idx="0">
                  <c:v>751</c:v>
                </c:pt>
                <c:pt idx="1">
                  <c:v>664</c:v>
                </c:pt>
                <c:pt idx="2">
                  <c:v>617</c:v>
                </c:pt>
                <c:pt idx="3">
                  <c:v>608</c:v>
                </c:pt>
                <c:pt idx="4">
                  <c:v>555</c:v>
                </c:pt>
                <c:pt idx="5">
                  <c:v>488</c:v>
                </c:pt>
                <c:pt idx="6">
                  <c:v>413</c:v>
                </c:pt>
                <c:pt idx="7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8E-49C8-BA36-9A0FCEF76CA4}"/>
            </c:ext>
          </c:extLst>
        </c:ser>
        <c:ser>
          <c:idx val="5"/>
          <c:order val="5"/>
          <c:tx>
            <c:strRef>
              <c:f>Compilation!$A$69</c:f>
              <c:strCache>
                <c:ptCount val="1"/>
                <c:pt idx="0">
                  <c:v>SGL C/C 1501G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Compilation!$B$69:$B$71</c:f>
              <c:numCache>
                <c:formatCode>General</c:formatCode>
                <c:ptCount val="3"/>
                <c:pt idx="0">
                  <c:v>20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Compilation!$D$69:$D$71</c:f>
              <c:numCache>
                <c:formatCode>General</c:formatCode>
                <c:ptCount val="3"/>
                <c:pt idx="0">
                  <c:v>360</c:v>
                </c:pt>
                <c:pt idx="1">
                  <c:v>413.99999999999994</c:v>
                </c:pt>
                <c:pt idx="2">
                  <c:v>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8E-49C8-BA36-9A0FCEF76CA4}"/>
            </c:ext>
          </c:extLst>
        </c:ser>
        <c:ser>
          <c:idx val="6"/>
          <c:order val="6"/>
          <c:tx>
            <c:strRef>
              <c:f>Compilation!$A$25</c:f>
              <c:strCache>
                <c:ptCount val="1"/>
                <c:pt idx="0">
                  <c:v>V-4Cr-4Ti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ysDash"/>
            </a:ln>
          </c:spPr>
          <c:marker>
            <c:symbol val="none"/>
          </c:marker>
          <c:xVal>
            <c:numRef>
              <c:f>Compilation!$B$25:$B$34</c:f>
              <c:numCache>
                <c:formatCode>General</c:formatCode>
                <c:ptCount val="10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750</c:v>
                </c:pt>
                <c:pt idx="9">
                  <c:v>800</c:v>
                </c:pt>
              </c:numCache>
            </c:numRef>
          </c:xVal>
          <c:yVal>
            <c:numRef>
              <c:f>Compilation!$D$25:$D$34</c:f>
              <c:numCache>
                <c:formatCode>General</c:formatCode>
                <c:ptCount val="10"/>
                <c:pt idx="0">
                  <c:v>425</c:v>
                </c:pt>
                <c:pt idx="1">
                  <c:v>400</c:v>
                </c:pt>
                <c:pt idx="2">
                  <c:v>360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365</c:v>
                </c:pt>
                <c:pt idx="7">
                  <c:v>390</c:v>
                </c:pt>
                <c:pt idx="8">
                  <c:v>390</c:v>
                </c:pt>
                <c:pt idx="9">
                  <c:v>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8E-49C8-BA36-9A0FCEF76CA4}"/>
            </c:ext>
          </c:extLst>
        </c:ser>
        <c:ser>
          <c:idx val="7"/>
          <c:order val="7"/>
          <c:tx>
            <c:strRef>
              <c:f>Compilation!$A$79</c:f>
              <c:strCache>
                <c:ptCount val="1"/>
                <c:pt idx="0">
                  <c:v>14YWT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Compilation!$B$79:$B$83</c:f>
              <c:numCache>
                <c:formatCode>General</c:formatCode>
                <c:ptCount val="5"/>
                <c:pt idx="0">
                  <c:v>26</c:v>
                </c:pt>
                <c:pt idx="1">
                  <c:v>300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</c:numCache>
            </c:numRef>
          </c:xVal>
          <c:yVal>
            <c:numRef>
              <c:f>Compilation!$D$79:$D$83</c:f>
              <c:numCache>
                <c:formatCode>General</c:formatCode>
                <c:ptCount val="5"/>
                <c:pt idx="0">
                  <c:v>1563.5145663500002</c:v>
                </c:pt>
                <c:pt idx="1">
                  <c:v>1384.1661826000002</c:v>
                </c:pt>
                <c:pt idx="2">
                  <c:v>1134.9000000000001</c:v>
                </c:pt>
                <c:pt idx="3">
                  <c:v>782.89300000000003</c:v>
                </c:pt>
                <c:pt idx="4">
                  <c:v>507.99900000000002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8E-49C8-BA36-9A0FCEF76CA4}"/>
            </c:ext>
          </c:extLst>
        </c:ser>
        <c:ser>
          <c:idx val="8"/>
          <c:order val="8"/>
          <c:tx>
            <c:strRef>
              <c:f>Compilation!$A$84</c:f>
              <c:strCache>
                <c:ptCount val="1"/>
                <c:pt idx="0">
                  <c:v>Zircaloy-4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Compilation!$B$84:$B$91</c:f>
              <c:numCache>
                <c:formatCode>General</c:formatCode>
                <c:ptCount val="8"/>
                <c:pt idx="0">
                  <c:v>25</c:v>
                </c:pt>
                <c:pt idx="1">
                  <c:v>130</c:v>
                </c:pt>
                <c:pt idx="2">
                  <c:v>240</c:v>
                </c:pt>
                <c:pt idx="3">
                  <c:v>330</c:v>
                </c:pt>
                <c:pt idx="4">
                  <c:v>430</c:v>
                </c:pt>
                <c:pt idx="5">
                  <c:v>520</c:v>
                </c:pt>
                <c:pt idx="6">
                  <c:v>630</c:v>
                </c:pt>
                <c:pt idx="7">
                  <c:v>725</c:v>
                </c:pt>
              </c:numCache>
            </c:numRef>
          </c:xVal>
          <c:yVal>
            <c:numRef>
              <c:f>Compilation!$D$84:$D$91</c:f>
              <c:numCache>
                <c:formatCode>General</c:formatCode>
                <c:ptCount val="8"/>
                <c:pt idx="0">
                  <c:v>552</c:v>
                </c:pt>
                <c:pt idx="1">
                  <c:v>458</c:v>
                </c:pt>
                <c:pt idx="2">
                  <c:v>310</c:v>
                </c:pt>
                <c:pt idx="3">
                  <c:v>260</c:v>
                </c:pt>
                <c:pt idx="4">
                  <c:v>210</c:v>
                </c:pt>
                <c:pt idx="5">
                  <c:v>164</c:v>
                </c:pt>
                <c:pt idx="6">
                  <c:v>96</c:v>
                </c:pt>
                <c:pt idx="7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8E-49C8-BA36-9A0FCEF76CA4}"/>
            </c:ext>
          </c:extLst>
        </c:ser>
        <c:ser>
          <c:idx val="9"/>
          <c:order val="9"/>
          <c:tx>
            <c:strRef>
              <c:f>Compilation!$A$92</c:f>
              <c:strCache>
                <c:ptCount val="1"/>
                <c:pt idx="0">
                  <c:v>TZM (LSR)</c:v>
                </c:pt>
              </c:strCache>
            </c:strRef>
          </c:tx>
          <c:spPr>
            <a:ln w="25400">
              <a:solidFill>
                <a:srgbClr val="FFCC00"/>
              </a:solidFill>
              <a:prstDash val="sysDash"/>
            </a:ln>
          </c:spPr>
          <c:marker>
            <c:symbol val="none"/>
          </c:marker>
          <c:xVal>
            <c:numRef>
              <c:f>Compilation!$B$92:$B$102</c:f>
              <c:numCache>
                <c:formatCode>General</c:formatCode>
                <c:ptCount val="11"/>
                <c:pt idx="0">
                  <c:v>25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702</c:v>
                </c:pt>
                <c:pt idx="7">
                  <c:v>800</c:v>
                </c:pt>
                <c:pt idx="8">
                  <c:v>1000</c:v>
                </c:pt>
                <c:pt idx="9">
                  <c:v>1201</c:v>
                </c:pt>
                <c:pt idx="10">
                  <c:v>1406</c:v>
                </c:pt>
              </c:numCache>
            </c:numRef>
          </c:xVal>
          <c:yVal>
            <c:numRef>
              <c:f>Compilation!$D$92:$D$102</c:f>
              <c:numCache>
                <c:formatCode>General</c:formatCode>
                <c:ptCount val="11"/>
                <c:pt idx="0">
                  <c:v>808</c:v>
                </c:pt>
                <c:pt idx="1">
                  <c:v>756</c:v>
                </c:pt>
                <c:pt idx="2">
                  <c:v>674</c:v>
                </c:pt>
                <c:pt idx="3">
                  <c:v>669</c:v>
                </c:pt>
                <c:pt idx="4">
                  <c:v>673</c:v>
                </c:pt>
                <c:pt idx="5">
                  <c:v>628</c:v>
                </c:pt>
                <c:pt idx="6">
                  <c:v>556</c:v>
                </c:pt>
                <c:pt idx="7">
                  <c:v>539</c:v>
                </c:pt>
                <c:pt idx="8">
                  <c:v>524</c:v>
                </c:pt>
                <c:pt idx="9">
                  <c:v>414</c:v>
                </c:pt>
                <c:pt idx="1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8E-49C8-BA36-9A0FCEF76CA4}"/>
            </c:ext>
          </c:extLst>
        </c:ser>
        <c:ser>
          <c:idx val="10"/>
          <c:order val="10"/>
          <c:tx>
            <c:strRef>
              <c:f>Compilation!$A$103</c:f>
              <c:strCache>
                <c:ptCount val="1"/>
                <c:pt idx="0">
                  <c:v>N720/A Oxide Composite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Compilation!$B$103:$B$105</c:f>
              <c:numCache>
                <c:formatCode>General</c:formatCode>
                <c:ptCount val="3"/>
                <c:pt idx="0">
                  <c:v>25</c:v>
                </c:pt>
                <c:pt idx="1">
                  <c:v>1200</c:v>
                </c:pt>
                <c:pt idx="2">
                  <c:v>1330</c:v>
                </c:pt>
              </c:numCache>
            </c:numRef>
          </c:xVal>
          <c:yVal>
            <c:numRef>
              <c:f>Compilation!$D$103:$D$105</c:f>
              <c:numCache>
                <c:formatCode>General</c:formatCode>
                <c:ptCount val="3"/>
                <c:pt idx="0">
                  <c:v>169</c:v>
                </c:pt>
                <c:pt idx="1">
                  <c:v>192</c:v>
                </c:pt>
                <c:pt idx="2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A8E-49C8-BA36-9A0FCEF76CA4}"/>
            </c:ext>
          </c:extLst>
        </c:ser>
        <c:ser>
          <c:idx val="11"/>
          <c:order val="11"/>
          <c:tx>
            <c:strRef>
              <c:f>Compilation!$A$106</c:f>
              <c:strCache>
                <c:ptCount val="1"/>
                <c:pt idx="0">
                  <c:v>IG-110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Compilation!$B$106:$B$111</c:f>
              <c:numCache>
                <c:formatCode>General</c:formatCode>
                <c:ptCount val="6"/>
                <c:pt idx="0">
                  <c:v>25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</c:numCache>
            </c:numRef>
          </c:xVal>
          <c:yVal>
            <c:numRef>
              <c:f>Compilation!$D$106:$D$111</c:f>
              <c:numCache>
                <c:formatCode>General</c:formatCode>
                <c:ptCount val="6"/>
                <c:pt idx="0">
                  <c:v>26</c:v>
                </c:pt>
                <c:pt idx="1">
                  <c:v>27</c:v>
                </c:pt>
                <c:pt idx="2">
                  <c:v>29</c:v>
                </c:pt>
                <c:pt idx="3">
                  <c:v>33</c:v>
                </c:pt>
                <c:pt idx="4">
                  <c:v>39</c:v>
                </c:pt>
                <c:pt idx="5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8E-49C8-BA36-9A0FCEF76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31552"/>
        <c:axId val="1"/>
      </c:scatterChart>
      <c:valAx>
        <c:axId val="501431552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[ºC]</a:t>
                </a:r>
              </a:p>
            </c:rich>
          </c:tx>
          <c:layout>
            <c:manualLayout>
              <c:xMode val="edge"/>
              <c:yMode val="edge"/>
              <c:x val="0.44936797281309332"/>
              <c:y val="0.940753981839226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"/>
        <c:minorUnit val="50"/>
      </c:valAx>
      <c:valAx>
        <c:axId val="1"/>
        <c:scaling>
          <c:logBase val="10"/>
          <c:orientation val="minMax"/>
          <c:max val="10000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Tensile Strength [MPa]</a:t>
                </a:r>
              </a:p>
            </c:rich>
          </c:tx>
          <c:layout>
            <c:manualLayout>
              <c:xMode val="edge"/>
              <c:yMode val="edge"/>
              <c:x val="2.5316534878784481E-2"/>
              <c:y val="0.3500896627052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43155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9486774948108"/>
          <c:y val="4.3087971274685818E-2"/>
          <c:w val="0.81197123960015161"/>
          <c:h val="0.8594526838133783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Compilation!$A$14</c:f>
              <c:strCache>
                <c:ptCount val="1"/>
                <c:pt idx="0">
                  <c:v>SiC/SiC SA-Tyrannohex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Compilation!$B$14:$B$24</c:f>
              <c:numCache>
                <c:formatCode>General</c:formatCode>
                <c:ptCount val="11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</c:numCache>
            </c:numRef>
          </c:xVal>
          <c:yVal>
            <c:numRef>
              <c:f>Compilation!$D$14:$D$24</c:f>
              <c:numCache>
                <c:formatCode>General</c:formatCode>
                <c:ptCount val="11"/>
                <c:pt idx="0">
                  <c:v>265</c:v>
                </c:pt>
                <c:pt idx="1">
                  <c:v>265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  <c:pt idx="5">
                  <c:v>265</c:v>
                </c:pt>
                <c:pt idx="6">
                  <c:v>263</c:v>
                </c:pt>
                <c:pt idx="7">
                  <c:v>262</c:v>
                </c:pt>
                <c:pt idx="8">
                  <c:v>260</c:v>
                </c:pt>
                <c:pt idx="9">
                  <c:v>250</c:v>
                </c:pt>
                <c:pt idx="10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0-4EF2-9C60-E162CAA57F26}"/>
            </c:ext>
          </c:extLst>
        </c:ser>
        <c:ser>
          <c:idx val="4"/>
          <c:order val="1"/>
          <c:tx>
            <c:strRef>
              <c:f>Compilation!$A$74</c:f>
              <c:strCache>
                <c:ptCount val="1"/>
                <c:pt idx="0">
                  <c:v>Hi-Nicalon-S CVI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none"/>
          </c:marker>
          <c:xVal>
            <c:numRef>
              <c:f>Compilation!$B$74:$B$78</c:f>
              <c:numCache>
                <c:formatCode>General</c:formatCode>
                <c:ptCount val="5"/>
                <c:pt idx="0">
                  <c:v>25</c:v>
                </c:pt>
                <c:pt idx="1">
                  <c:v>1000</c:v>
                </c:pt>
                <c:pt idx="2">
                  <c:v>1300</c:v>
                </c:pt>
                <c:pt idx="3">
                  <c:v>1400</c:v>
                </c:pt>
                <c:pt idx="4">
                  <c:v>1600</c:v>
                </c:pt>
              </c:numCache>
            </c:numRef>
          </c:xVal>
          <c:yVal>
            <c:numRef>
              <c:f>Compilation!$D$74:$D$78</c:f>
              <c:numCache>
                <c:formatCode>General</c:formatCode>
                <c:ptCount val="5"/>
                <c:pt idx="0">
                  <c:v>370</c:v>
                </c:pt>
                <c:pt idx="1">
                  <c:v>351.5</c:v>
                </c:pt>
                <c:pt idx="2">
                  <c:v>306.5</c:v>
                </c:pt>
                <c:pt idx="3">
                  <c:v>259.5</c:v>
                </c:pt>
                <c:pt idx="4">
                  <c:v>147.5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20-4EF2-9C60-E162CAA57F26}"/>
            </c:ext>
          </c:extLst>
        </c:ser>
        <c:ser>
          <c:idx val="8"/>
          <c:order val="2"/>
          <c:tx>
            <c:strRef>
              <c:f>Compilation!$A$84</c:f>
              <c:strCache>
                <c:ptCount val="1"/>
                <c:pt idx="0">
                  <c:v>Zircaloy-4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Compilation!$B$84:$B$91</c:f>
              <c:numCache>
                <c:formatCode>General</c:formatCode>
                <c:ptCount val="8"/>
                <c:pt idx="0">
                  <c:v>25</c:v>
                </c:pt>
                <c:pt idx="1">
                  <c:v>130</c:v>
                </c:pt>
                <c:pt idx="2">
                  <c:v>240</c:v>
                </c:pt>
                <c:pt idx="3">
                  <c:v>330</c:v>
                </c:pt>
                <c:pt idx="4">
                  <c:v>430</c:v>
                </c:pt>
                <c:pt idx="5">
                  <c:v>520</c:v>
                </c:pt>
                <c:pt idx="6">
                  <c:v>630</c:v>
                </c:pt>
                <c:pt idx="7">
                  <c:v>725</c:v>
                </c:pt>
              </c:numCache>
            </c:numRef>
          </c:xVal>
          <c:yVal>
            <c:numRef>
              <c:f>Compilation!$D$84:$D$91</c:f>
              <c:numCache>
                <c:formatCode>General</c:formatCode>
                <c:ptCount val="8"/>
                <c:pt idx="0">
                  <c:v>552</c:v>
                </c:pt>
                <c:pt idx="1">
                  <c:v>458</c:v>
                </c:pt>
                <c:pt idx="2">
                  <c:v>310</c:v>
                </c:pt>
                <c:pt idx="3">
                  <c:v>260</c:v>
                </c:pt>
                <c:pt idx="4">
                  <c:v>210</c:v>
                </c:pt>
                <c:pt idx="5">
                  <c:v>164</c:v>
                </c:pt>
                <c:pt idx="6">
                  <c:v>96</c:v>
                </c:pt>
                <c:pt idx="7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20-4EF2-9C60-E162CAA57F26}"/>
            </c:ext>
          </c:extLst>
        </c:ser>
        <c:ser>
          <c:idx val="9"/>
          <c:order val="3"/>
          <c:tx>
            <c:strRef>
              <c:f>Compilation!$A$92</c:f>
              <c:strCache>
                <c:ptCount val="1"/>
                <c:pt idx="0">
                  <c:v>TZM (LSR)</c:v>
                </c:pt>
              </c:strCache>
            </c:strRef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xVal>
            <c:numRef>
              <c:f>Compilation!$B$92:$B$102</c:f>
              <c:numCache>
                <c:formatCode>General</c:formatCode>
                <c:ptCount val="11"/>
                <c:pt idx="0">
                  <c:v>25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702</c:v>
                </c:pt>
                <c:pt idx="7">
                  <c:v>800</c:v>
                </c:pt>
                <c:pt idx="8">
                  <c:v>1000</c:v>
                </c:pt>
                <c:pt idx="9">
                  <c:v>1201</c:v>
                </c:pt>
                <c:pt idx="10">
                  <c:v>1406</c:v>
                </c:pt>
              </c:numCache>
            </c:numRef>
          </c:xVal>
          <c:yVal>
            <c:numRef>
              <c:f>Compilation!$D$92:$D$102</c:f>
              <c:numCache>
                <c:formatCode>General</c:formatCode>
                <c:ptCount val="11"/>
                <c:pt idx="0">
                  <c:v>808</c:v>
                </c:pt>
                <c:pt idx="1">
                  <c:v>756</c:v>
                </c:pt>
                <c:pt idx="2">
                  <c:v>674</c:v>
                </c:pt>
                <c:pt idx="3">
                  <c:v>669</c:v>
                </c:pt>
                <c:pt idx="4">
                  <c:v>673</c:v>
                </c:pt>
                <c:pt idx="5">
                  <c:v>628</c:v>
                </c:pt>
                <c:pt idx="6">
                  <c:v>556</c:v>
                </c:pt>
                <c:pt idx="7">
                  <c:v>539</c:v>
                </c:pt>
                <c:pt idx="8">
                  <c:v>524</c:v>
                </c:pt>
                <c:pt idx="9">
                  <c:v>414</c:v>
                </c:pt>
                <c:pt idx="10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20-4EF2-9C60-E162CAA57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15992"/>
        <c:axId val="1"/>
      </c:scatterChart>
      <c:valAx>
        <c:axId val="491215992"/>
        <c:scaling>
          <c:orientation val="minMax"/>
          <c:max val="300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Temperature [C]</a:t>
                </a:r>
              </a:p>
            </c:rich>
          </c:tx>
          <c:layout>
            <c:manualLayout>
              <c:xMode val="edge"/>
              <c:yMode val="edge"/>
              <c:x val="0.42858857291289043"/>
              <c:y val="0.956534011875022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Tensile Strength [MPa]</a:t>
                </a:r>
              </a:p>
            </c:rich>
          </c:tx>
          <c:layout>
            <c:manualLayout>
              <c:xMode val="edge"/>
              <c:yMode val="edge"/>
              <c:x val="9.4895326937638868E-3"/>
              <c:y val="0.311612423113158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215992"/>
        <c:crosses val="autoZero"/>
        <c:crossBetween val="midCat"/>
      </c:valAx>
      <c:spPr>
        <a:noFill/>
        <a:ln w="1905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41622371924781"/>
          <c:y val="4.3087971274685818E-2"/>
          <c:w val="0.79161102407917483"/>
          <c:h val="0.83270447457174934"/>
        </c:manualLayout>
      </c:layout>
      <c:scatterChart>
        <c:scatterStyle val="smoothMarker"/>
        <c:varyColors val="0"/>
        <c:ser>
          <c:idx val="3"/>
          <c:order val="0"/>
          <c:tx>
            <c:strRef>
              <c:f>Compilation!$A$35</c:f>
              <c:strCache>
                <c:ptCount val="1"/>
                <c:pt idx="0">
                  <c:v>800H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Compilation!$B$35:$B$43</c:f>
              <c:numCache>
                <c:formatCode>General</c:formatCode>
                <c:ptCount val="9"/>
                <c:pt idx="0">
                  <c:v>26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</c:numCache>
            </c:numRef>
          </c:xVal>
          <c:yVal>
            <c:numRef>
              <c:f>Compilation!$D$35:$D$43</c:f>
              <c:numCache>
                <c:formatCode>General</c:formatCode>
                <c:ptCount val="9"/>
                <c:pt idx="0">
                  <c:v>535</c:v>
                </c:pt>
                <c:pt idx="1">
                  <c:v>464</c:v>
                </c:pt>
                <c:pt idx="2">
                  <c:v>463</c:v>
                </c:pt>
                <c:pt idx="3">
                  <c:v>444</c:v>
                </c:pt>
                <c:pt idx="4">
                  <c:v>424</c:v>
                </c:pt>
                <c:pt idx="5">
                  <c:v>298</c:v>
                </c:pt>
                <c:pt idx="6">
                  <c:v>224</c:v>
                </c:pt>
                <c:pt idx="7">
                  <c:v>165</c:v>
                </c:pt>
                <c:pt idx="8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DE-4A6B-88EA-BAF7AF4EA4E4}"/>
            </c:ext>
          </c:extLst>
        </c:ser>
        <c:ser>
          <c:idx val="1"/>
          <c:order val="1"/>
          <c:tx>
            <c:strRef>
              <c:f>Compilation!$A$14</c:f>
              <c:strCache>
                <c:ptCount val="1"/>
                <c:pt idx="0">
                  <c:v>SiC/SiC SA-Tyrannohex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Compilation!$B$14:$B$24</c:f>
              <c:numCache>
                <c:formatCode>General</c:formatCode>
                <c:ptCount val="11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</c:numCache>
            </c:numRef>
          </c:xVal>
          <c:yVal>
            <c:numRef>
              <c:f>Compilation!$D$14:$D$24</c:f>
              <c:numCache>
                <c:formatCode>General</c:formatCode>
                <c:ptCount val="11"/>
                <c:pt idx="0">
                  <c:v>265</c:v>
                </c:pt>
                <c:pt idx="1">
                  <c:v>265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  <c:pt idx="5">
                  <c:v>265</c:v>
                </c:pt>
                <c:pt idx="6">
                  <c:v>263</c:v>
                </c:pt>
                <c:pt idx="7">
                  <c:v>262</c:v>
                </c:pt>
                <c:pt idx="8">
                  <c:v>260</c:v>
                </c:pt>
                <c:pt idx="9">
                  <c:v>250</c:v>
                </c:pt>
                <c:pt idx="10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DE-4A6B-88EA-BAF7AF4EA4E4}"/>
            </c:ext>
          </c:extLst>
        </c:ser>
        <c:ser>
          <c:idx val="0"/>
          <c:order val="2"/>
          <c:tx>
            <c:strRef>
              <c:f>Compilation!$A$49</c:f>
              <c:strCache>
                <c:ptCount val="1"/>
                <c:pt idx="0">
                  <c:v>T91</c:v>
                </c:pt>
              </c:strCache>
            </c:strRef>
          </c:tx>
          <c:spPr>
            <a:ln w="1905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Compilation!$B$49:$B$60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</c:numCache>
            </c:numRef>
          </c:xVal>
          <c:yVal>
            <c:numRef>
              <c:f>Compilation!$D$49:$D$60</c:f>
              <c:numCache>
                <c:formatCode>General</c:formatCode>
                <c:ptCount val="12"/>
                <c:pt idx="0">
                  <c:v>693.09</c:v>
                </c:pt>
                <c:pt idx="1">
                  <c:v>661.26750000000004</c:v>
                </c:pt>
                <c:pt idx="2">
                  <c:v>634.67000000000007</c:v>
                </c:pt>
                <c:pt idx="3">
                  <c:v>614.19749999999999</c:v>
                </c:pt>
                <c:pt idx="4">
                  <c:v>599.85</c:v>
                </c:pt>
                <c:pt idx="5">
                  <c:v>590.72749999999996</c:v>
                </c:pt>
                <c:pt idx="6">
                  <c:v>585.03</c:v>
                </c:pt>
                <c:pt idx="7">
                  <c:v>580.0575</c:v>
                </c:pt>
                <c:pt idx="8">
                  <c:v>572.21</c:v>
                </c:pt>
                <c:pt idx="9">
                  <c:v>556.98750000000007</c:v>
                </c:pt>
                <c:pt idx="10">
                  <c:v>528.99</c:v>
                </c:pt>
                <c:pt idx="11">
                  <c:v>481.91750000000002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DE-4A6B-88EA-BAF7AF4EA4E4}"/>
            </c:ext>
          </c:extLst>
        </c:ser>
        <c:ser>
          <c:idx val="2"/>
          <c:order val="3"/>
          <c:tx>
            <c:strRef>
              <c:f>Compilation!$A$61</c:f>
              <c:strCache>
                <c:ptCount val="1"/>
                <c:pt idx="0">
                  <c:v>Alloy 617</c:v>
                </c:pt>
              </c:strCache>
            </c:strRef>
          </c:tx>
          <c:spPr>
            <a:ln w="1905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Compilation!$B$61:$B$68</c:f>
              <c:numCache>
                <c:formatCode>General</c:formatCode>
                <c:ptCount val="8"/>
                <c:pt idx="0">
                  <c:v>26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750</c:v>
                </c:pt>
                <c:pt idx="6">
                  <c:v>800</c:v>
                </c:pt>
                <c:pt idx="7">
                  <c:v>900</c:v>
                </c:pt>
              </c:numCache>
            </c:numRef>
          </c:xVal>
          <c:yVal>
            <c:numRef>
              <c:f>Compilation!$D$61:$D$68</c:f>
              <c:numCache>
                <c:formatCode>General</c:formatCode>
                <c:ptCount val="8"/>
                <c:pt idx="0">
                  <c:v>751</c:v>
                </c:pt>
                <c:pt idx="1">
                  <c:v>664</c:v>
                </c:pt>
                <c:pt idx="2">
                  <c:v>617</c:v>
                </c:pt>
                <c:pt idx="3">
                  <c:v>608</c:v>
                </c:pt>
                <c:pt idx="4">
                  <c:v>555</c:v>
                </c:pt>
                <c:pt idx="5">
                  <c:v>488</c:v>
                </c:pt>
                <c:pt idx="6">
                  <c:v>413</c:v>
                </c:pt>
                <c:pt idx="7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DE-4A6B-88EA-BAF7AF4EA4E4}"/>
            </c:ext>
          </c:extLst>
        </c:ser>
        <c:ser>
          <c:idx val="8"/>
          <c:order val="4"/>
          <c:tx>
            <c:strRef>
              <c:f>Compilation!$A$84</c:f>
              <c:strCache>
                <c:ptCount val="1"/>
                <c:pt idx="0">
                  <c:v>Zircaloy-4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Compilation!$B$84:$B$91</c:f>
              <c:numCache>
                <c:formatCode>General</c:formatCode>
                <c:ptCount val="8"/>
                <c:pt idx="0">
                  <c:v>25</c:v>
                </c:pt>
                <c:pt idx="1">
                  <c:v>130</c:v>
                </c:pt>
                <c:pt idx="2">
                  <c:v>240</c:v>
                </c:pt>
                <c:pt idx="3">
                  <c:v>330</c:v>
                </c:pt>
                <c:pt idx="4">
                  <c:v>430</c:v>
                </c:pt>
                <c:pt idx="5">
                  <c:v>520</c:v>
                </c:pt>
                <c:pt idx="6">
                  <c:v>630</c:v>
                </c:pt>
                <c:pt idx="7">
                  <c:v>725</c:v>
                </c:pt>
              </c:numCache>
            </c:numRef>
          </c:xVal>
          <c:yVal>
            <c:numRef>
              <c:f>Compilation!$D$84:$D$91</c:f>
              <c:numCache>
                <c:formatCode>General</c:formatCode>
                <c:ptCount val="8"/>
                <c:pt idx="0">
                  <c:v>552</c:v>
                </c:pt>
                <c:pt idx="1">
                  <c:v>458</c:v>
                </c:pt>
                <c:pt idx="2">
                  <c:v>310</c:v>
                </c:pt>
                <c:pt idx="3">
                  <c:v>260</c:v>
                </c:pt>
                <c:pt idx="4">
                  <c:v>210</c:v>
                </c:pt>
                <c:pt idx="5">
                  <c:v>164</c:v>
                </c:pt>
                <c:pt idx="6">
                  <c:v>96</c:v>
                </c:pt>
                <c:pt idx="7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DE-4A6B-88EA-BAF7AF4E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52408"/>
        <c:axId val="1"/>
      </c:scatterChart>
      <c:valAx>
        <c:axId val="493752408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0334725208581029"/>
              <c:y val="0.93410837096104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58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"/>
        <c:minorUnit val="50"/>
      </c:valAx>
      <c:valAx>
        <c:axId val="1"/>
        <c:scaling>
          <c:orientation val="minMax"/>
          <c:max val="1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/>
                  <a:t>Tensile Strength [MPa]</a:t>
                </a:r>
              </a:p>
            </c:rich>
          </c:tx>
          <c:layout>
            <c:manualLayout>
              <c:xMode val="edge"/>
              <c:yMode val="edge"/>
              <c:x val="2.0472085634848071E-2"/>
              <c:y val="0.27698830361925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58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752408"/>
        <c:crosses val="autoZero"/>
        <c:crossBetween val="midCat"/>
      </c:valAx>
      <c:spPr>
        <a:noFill/>
        <a:ln w="158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58730102776061"/>
          <c:y val="4.2884990253411304E-2"/>
          <c:w val="0.70387252289308688"/>
          <c:h val="0.815191785237371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Pure W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Compilation!$B$112:$B$123</c:f>
              <c:numCache>
                <c:formatCode>General</c:formatCode>
                <c:ptCount val="12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1400</c:v>
                </c:pt>
                <c:pt idx="10">
                  <c:v>1600</c:v>
                </c:pt>
                <c:pt idx="11">
                  <c:v>1800</c:v>
                </c:pt>
              </c:numCache>
            </c:numRef>
          </c:xVal>
          <c:yVal>
            <c:numRef>
              <c:f>Compilation!$H$112:$H$123</c:f>
              <c:numCache>
                <c:formatCode>General</c:formatCode>
                <c:ptCount val="12"/>
                <c:pt idx="0">
                  <c:v>172.77997732</c:v>
                </c:pt>
                <c:pt idx="1">
                  <c:v>164.69316500000002</c:v>
                </c:pt>
                <c:pt idx="2">
                  <c:v>155.44131999999999</c:v>
                </c:pt>
                <c:pt idx="3">
                  <c:v>139.61456000000001</c:v>
                </c:pt>
                <c:pt idx="4">
                  <c:v>127.04364</c:v>
                </c:pt>
                <c:pt idx="5">
                  <c:v>117.35248</c:v>
                </c:pt>
                <c:pt idx="6">
                  <c:v>110.16500000000001</c:v>
                </c:pt>
                <c:pt idx="7">
                  <c:v>107.39261499999999</c:v>
                </c:pt>
                <c:pt idx="8">
                  <c:v>105.10511999999999</c:v>
                </c:pt>
                <c:pt idx="9">
                  <c:v>101.79676000000002</c:v>
                </c:pt>
                <c:pt idx="10">
                  <c:v>99.86384000000001</c:v>
                </c:pt>
                <c:pt idx="11">
                  <c:v>98.930279999999996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B-48DA-AAEA-8B6347EC14D2}"/>
            </c:ext>
          </c:extLst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UHTC ZrB2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20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2300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127</c:v>
                </c:pt>
                <c:pt idx="1">
                  <c:v>94</c:v>
                </c:pt>
                <c:pt idx="2">
                  <c:v>91</c:v>
                </c:pt>
                <c:pt idx="3">
                  <c:v>88</c:v>
                </c:pt>
                <c:pt idx="4">
                  <c:v>85</c:v>
                </c:pt>
                <c:pt idx="5">
                  <c:v>82.5</c:v>
                </c:pt>
                <c:pt idx="6">
                  <c:v>80</c:v>
                </c:pt>
                <c:pt idx="7">
                  <c:v>78</c:v>
                </c:pt>
                <c:pt idx="8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B-48DA-AAEA-8B6347EC14D2}"/>
            </c:ext>
          </c:extLst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MAX Ti3SiC2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Sheet1!$A$41:$A$46</c:f>
              <c:numCache>
                <c:formatCode>General</c:formatCode>
                <c:ptCount val="6"/>
                <c:pt idx="0">
                  <c:v>150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</c:numCache>
            </c:numRef>
          </c:xVal>
          <c:yVal>
            <c:numRef>
              <c:f>Sheet1!$C$41:$C$46</c:f>
              <c:numCache>
                <c:formatCode>General</c:formatCode>
                <c:ptCount val="6"/>
                <c:pt idx="0">
                  <c:v>37</c:v>
                </c:pt>
                <c:pt idx="1">
                  <c:v>33.4</c:v>
                </c:pt>
                <c:pt idx="2">
                  <c:v>32.799999999999997</c:v>
                </c:pt>
                <c:pt idx="3">
                  <c:v>32.5</c:v>
                </c:pt>
                <c:pt idx="4">
                  <c:v>32.200000000000003</c:v>
                </c:pt>
                <c:pt idx="5">
                  <c:v>31.8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EB-48DA-AAEA-8B6347EC14D2}"/>
            </c:ext>
          </c:extLst>
        </c:ser>
        <c:ser>
          <c:idx val="3"/>
          <c:order val="3"/>
          <c:tx>
            <c:strRef>
              <c:f>Sheet1!$A$51</c:f>
              <c:strCache>
                <c:ptCount val="1"/>
                <c:pt idx="0">
                  <c:v>RAFM F82H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Sheet1!$A$53:$A$65</c:f>
              <c:numCache>
                <c:formatCode>General</c:formatCode>
                <c:ptCount val="13"/>
                <c:pt idx="0">
                  <c:v>23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</c:numCache>
            </c:numRef>
          </c:xVal>
          <c:yVal>
            <c:numRef>
              <c:f>Sheet1!$C$53:$C$65</c:f>
              <c:numCache>
                <c:formatCode>General</c:formatCode>
                <c:ptCount val="13"/>
                <c:pt idx="0">
                  <c:v>31.3</c:v>
                </c:pt>
                <c:pt idx="1">
                  <c:v>31.9</c:v>
                </c:pt>
                <c:pt idx="2">
                  <c:v>32.5</c:v>
                </c:pt>
                <c:pt idx="3">
                  <c:v>32.9</c:v>
                </c:pt>
                <c:pt idx="4">
                  <c:v>33.4</c:v>
                </c:pt>
                <c:pt idx="5">
                  <c:v>33.199397584896026</c:v>
                </c:pt>
                <c:pt idx="6">
                  <c:v>33</c:v>
                </c:pt>
                <c:pt idx="7">
                  <c:v>32.85</c:v>
                </c:pt>
                <c:pt idx="8">
                  <c:v>32.700000000000003</c:v>
                </c:pt>
                <c:pt idx="9">
                  <c:v>32.5</c:v>
                </c:pt>
                <c:pt idx="10">
                  <c:v>32.299999999999997</c:v>
                </c:pt>
                <c:pt idx="11">
                  <c:v>32.099999999999994</c:v>
                </c:pt>
                <c:pt idx="12">
                  <c:v>31.9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B-48DA-AAEA-8B6347EC1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91808"/>
        <c:axId val="363990168"/>
      </c:scatterChart>
      <c:valAx>
        <c:axId val="363991808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[C]</a:t>
                </a:r>
              </a:p>
            </c:rich>
          </c:tx>
          <c:layout>
            <c:manualLayout>
              <c:xMode val="edge"/>
              <c:yMode val="edge"/>
              <c:x val="0.36676183181479083"/>
              <c:y val="0.93235222790133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0168"/>
        <c:crosses val="autoZero"/>
        <c:crossBetween val="midCat"/>
        <c:majorUnit val="500"/>
      </c:valAx>
      <c:valAx>
        <c:axId val="36399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Thermal Conductivity [W/m-K]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6.3179900446347663E-3"/>
              <c:y val="0.18469125569830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180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8218843312390869"/>
          <c:y val="6.7738330954244766E-2"/>
          <c:w val="0.42579053424163621"/>
          <c:h val="0.16764500928611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7514183231633"/>
          <c:y val="4.2884990253411304E-2"/>
          <c:w val="0.79794046615316461"/>
          <c:h val="0.815191785237371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Pure 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Compilation!$B$112:$B$119</c:f>
              <c:numCache>
                <c:formatCode>General</c:formatCode>
                <c:ptCount val="8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1100</c:v>
                </c:pt>
              </c:numCache>
            </c:numRef>
          </c:xVal>
          <c:yVal>
            <c:numRef>
              <c:f>Compilation!$N$112:$N$119</c:f>
              <c:numCache>
                <c:formatCode>General</c:formatCode>
                <c:ptCount val="8"/>
                <c:pt idx="0">
                  <c:v>30.190054210848977</c:v>
                </c:pt>
                <c:pt idx="1">
                  <c:v>28.796435090830492</c:v>
                </c:pt>
                <c:pt idx="2">
                  <c:v>27.004190516923995</c:v>
                </c:pt>
                <c:pt idx="3">
                  <c:v>23.423034854214123</c:v>
                </c:pt>
                <c:pt idx="4">
                  <c:v>20.033768729245594</c:v>
                </c:pt>
                <c:pt idx="5">
                  <c:v>16.943993093909398</c:v>
                </c:pt>
                <c:pt idx="6">
                  <c:v>14.174306043135852</c:v>
                </c:pt>
                <c:pt idx="7">
                  <c:v>12.902376713796523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1-4433-BD10-BB10CCC3B5D8}"/>
            </c:ext>
          </c:extLst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UHTC ZrB2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20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2300</c:v>
                </c:pt>
              </c:numCache>
            </c:numRef>
          </c:xVal>
          <c:yVal>
            <c:numRef>
              <c:f>Sheet1!$G$3:$G$11</c:f>
              <c:numCache>
                <c:formatCode>0.00</c:formatCode>
                <c:ptCount val="9"/>
                <c:pt idx="0">
                  <c:v>20.003847241867046</c:v>
                </c:pt>
                <c:pt idx="1">
                  <c:v>13.957255343082116</c:v>
                </c:pt>
                <c:pt idx="2">
                  <c:v>10.6640625</c:v>
                </c:pt>
                <c:pt idx="3">
                  <c:v>8.3368421052631572</c:v>
                </c:pt>
                <c:pt idx="4">
                  <c:v>7.614583333333333</c:v>
                </c:pt>
                <c:pt idx="5">
                  <c:v>8.9161490683229818</c:v>
                </c:pt>
                <c:pt idx="6">
                  <c:v>8.984767393989296</c:v>
                </c:pt>
                <c:pt idx="7">
                  <c:v>8.3881967213114752</c:v>
                </c:pt>
                <c:pt idx="8">
                  <c:v>9.9126436781609204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D1-4433-BD10-BB10CCC3B5D8}"/>
            </c:ext>
          </c:extLst>
        </c:ser>
        <c:ser>
          <c:idx val="3"/>
          <c:order val="2"/>
          <c:tx>
            <c:strRef>
              <c:f>Sheet1!$A$38</c:f>
              <c:strCache>
                <c:ptCount val="1"/>
                <c:pt idx="0">
                  <c:v>MAX Ti3SiC2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Sheet1!$A$40:$A$46</c:f>
              <c:numCache>
                <c:formatCode>General</c:formatCode>
                <c:ptCount val="7"/>
                <c:pt idx="0">
                  <c:v>20</c:v>
                </c:pt>
                <c:pt idx="1">
                  <c:v>150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</c:numCache>
            </c:numRef>
          </c:xVal>
          <c:yVal>
            <c:numRef>
              <c:f>Sheet1!$G$40:$G$46</c:f>
              <c:numCache>
                <c:formatCode>0.00</c:formatCode>
                <c:ptCount val="7"/>
                <c:pt idx="0">
                  <c:v>5.5879110864225385</c:v>
                </c:pt>
                <c:pt idx="1">
                  <c:v>5.3571309424520441</c:v>
                </c:pt>
                <c:pt idx="2">
                  <c:v>3.2629210872763874</c:v>
                </c:pt>
                <c:pt idx="3">
                  <c:v>3.0097297297297296</c:v>
                </c:pt>
                <c:pt idx="4">
                  <c:v>2.6977486651621074</c:v>
                </c:pt>
                <c:pt idx="5">
                  <c:v>2.4994850534620383</c:v>
                </c:pt>
                <c:pt idx="6">
                  <c:v>2.4328013500397847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D1-4433-BD10-BB10CCC3B5D8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Compilation!$B$119:$B$123</c:f>
              <c:numCache>
                <c:formatCode>General</c:formatCode>
                <c:ptCount val="5"/>
                <c:pt idx="0">
                  <c:v>1100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</c:numCache>
            </c:numRef>
          </c:xVal>
          <c:yVal>
            <c:numRef>
              <c:f>Compilation!$N$119:$N$123</c:f>
              <c:numCache>
                <c:formatCode>General</c:formatCode>
                <c:ptCount val="5"/>
                <c:pt idx="0">
                  <c:v>12.902376713796523</c:v>
                </c:pt>
                <c:pt idx="1">
                  <c:v>11.699066937979527</c:v>
                </c:pt>
                <c:pt idx="2">
                  <c:v>9.4779591837739687</c:v>
                </c:pt>
                <c:pt idx="3">
                  <c:v>7.4812190413540378</c:v>
                </c:pt>
                <c:pt idx="4">
                  <c:v>5.7109757289154652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D1-4433-BD10-BB10CCC3B5D8}"/>
            </c:ext>
          </c:extLst>
        </c:ser>
        <c:ser>
          <c:idx val="2"/>
          <c:order val="4"/>
          <c:tx>
            <c:strRef>
              <c:f>Sheet1!$A$51</c:f>
              <c:strCache>
                <c:ptCount val="1"/>
                <c:pt idx="0">
                  <c:v>RAFM F82H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Sheet1!$A$53:$A$65</c:f>
              <c:numCache>
                <c:formatCode>General</c:formatCode>
                <c:ptCount val="13"/>
                <c:pt idx="0">
                  <c:v>23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</c:numCache>
            </c:numRef>
          </c:xVal>
          <c:yVal>
            <c:numRef>
              <c:f>Sheet1!$G$53:$G$65</c:f>
              <c:numCache>
                <c:formatCode>0.00</c:formatCode>
                <c:ptCount val="13"/>
                <c:pt idx="0">
                  <c:v>6.3437391193036348</c:v>
                </c:pt>
                <c:pt idx="1">
                  <c:v>6.2336697247706416</c:v>
                </c:pt>
                <c:pt idx="2">
                  <c:v>6.1454545454545455</c:v>
                </c:pt>
                <c:pt idx="3">
                  <c:v>5.8337047101449278</c:v>
                </c:pt>
                <c:pt idx="4">
                  <c:v>5.4985495472624191</c:v>
                </c:pt>
                <c:pt idx="5">
                  <c:v>5.3080102294314058</c:v>
                </c:pt>
                <c:pt idx="6">
                  <c:v>5.1240736040609134</c:v>
                </c:pt>
                <c:pt idx="7">
                  <c:v>4.8532174738841407</c:v>
                </c:pt>
                <c:pt idx="8">
                  <c:v>4.62402503548845</c:v>
                </c:pt>
                <c:pt idx="9">
                  <c:v>4.2708884188260177</c:v>
                </c:pt>
                <c:pt idx="10">
                  <c:v>3.7395415730337076</c:v>
                </c:pt>
                <c:pt idx="11">
                  <c:v>3.233320834309819</c:v>
                </c:pt>
                <c:pt idx="12">
                  <c:v>2.6366326530612243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D1-4433-BD10-BB10CCC3B5D8}"/>
            </c:ext>
          </c:extLst>
        </c:ser>
        <c:ser>
          <c:idx val="5"/>
          <c:order val="5"/>
          <c:tx>
            <c:strRef>
              <c:f>Compilation!$A$14</c:f>
              <c:strCache>
                <c:ptCount val="1"/>
                <c:pt idx="0">
                  <c:v>SiC/SiC SA-Tyrannohex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Compilation!$B$14:$B$24</c:f>
              <c:numCache>
                <c:formatCode>General</c:formatCode>
                <c:ptCount val="11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</c:numCache>
            </c:numRef>
          </c:xVal>
          <c:yVal>
            <c:numRef>
              <c:f>Compilation!$N$14:$N$24</c:f>
              <c:numCache>
                <c:formatCode>General</c:formatCode>
                <c:ptCount val="11"/>
                <c:pt idx="0">
                  <c:v>5.9061583577712602</c:v>
                </c:pt>
                <c:pt idx="1">
                  <c:v>4.5991107220849301</c:v>
                </c:pt>
                <c:pt idx="2">
                  <c:v>3.4531006191084042</c:v>
                </c:pt>
                <c:pt idx="3">
                  <c:v>2.7986274090420125</c:v>
                </c:pt>
                <c:pt idx="4">
                  <c:v>2.5372387482987935</c:v>
                </c:pt>
                <c:pt idx="5">
                  <c:v>2.3392073039867025</c:v>
                </c:pt>
                <c:pt idx="6">
                  <c:v>2.1668384337178028</c:v>
                </c:pt>
                <c:pt idx="7">
                  <c:v>2.2237608738325694</c:v>
                </c:pt>
                <c:pt idx="8">
                  <c:v>2.5222623501112373</c:v>
                </c:pt>
                <c:pt idx="9">
                  <c:v>2.5700488412385396</c:v>
                </c:pt>
                <c:pt idx="10">
                  <c:v>1.3802798585979199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D1-4433-BD10-BB10CCC3B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91808"/>
        <c:axId val="363990168"/>
      </c:scatterChart>
      <c:valAx>
        <c:axId val="363991808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38636952141417896"/>
              <c:y val="0.93235222790133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0168"/>
        <c:crosses val="autoZero"/>
        <c:crossBetween val="midCat"/>
        <c:majorUnit val="500"/>
      </c:valAx>
      <c:valAx>
        <c:axId val="36399016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Thermal Stress Figure of Merit [kW/m]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3.8180548532350902E-3"/>
              <c:y val="9.97660818713450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180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1619074838875634"/>
          <c:y val="6.7738330954244766E-2"/>
          <c:w val="0.40104977349700616"/>
          <c:h val="0.22515080351798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7514183231633"/>
          <c:y val="4.2884990253411304E-2"/>
          <c:w val="0.79794046615316461"/>
          <c:h val="0.815191785237371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Pure 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Compilation!$B$112:$B$119</c:f>
              <c:numCache>
                <c:formatCode>General</c:formatCode>
                <c:ptCount val="8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1100</c:v>
                </c:pt>
              </c:numCache>
            </c:numRef>
          </c:xVal>
          <c:yVal>
            <c:numRef>
              <c:f>Compilation!$N$112:$N$119</c:f>
              <c:numCache>
                <c:formatCode>General</c:formatCode>
                <c:ptCount val="8"/>
                <c:pt idx="0">
                  <c:v>30.190054210848977</c:v>
                </c:pt>
                <c:pt idx="1">
                  <c:v>28.796435090830492</c:v>
                </c:pt>
                <c:pt idx="2">
                  <c:v>27.004190516923995</c:v>
                </c:pt>
                <c:pt idx="3">
                  <c:v>23.423034854214123</c:v>
                </c:pt>
                <c:pt idx="4">
                  <c:v>20.033768729245594</c:v>
                </c:pt>
                <c:pt idx="5">
                  <c:v>16.943993093909398</c:v>
                </c:pt>
                <c:pt idx="6">
                  <c:v>14.174306043135852</c:v>
                </c:pt>
                <c:pt idx="7">
                  <c:v>12.902376713796523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5-42A7-BB14-D455960C73F2}"/>
            </c:ext>
          </c:extLst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UHTC ZrB2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20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2300</c:v>
                </c:pt>
              </c:numCache>
            </c:numRef>
          </c:xVal>
          <c:yVal>
            <c:numRef>
              <c:f>Sheet1!$G$3:$G$11</c:f>
              <c:numCache>
                <c:formatCode>0.00</c:formatCode>
                <c:ptCount val="9"/>
                <c:pt idx="0">
                  <c:v>20.003847241867046</c:v>
                </c:pt>
                <c:pt idx="1">
                  <c:v>13.957255343082116</c:v>
                </c:pt>
                <c:pt idx="2">
                  <c:v>10.6640625</c:v>
                </c:pt>
                <c:pt idx="3">
                  <c:v>8.3368421052631572</c:v>
                </c:pt>
                <c:pt idx="4">
                  <c:v>7.614583333333333</c:v>
                </c:pt>
                <c:pt idx="5">
                  <c:v>8.9161490683229818</c:v>
                </c:pt>
                <c:pt idx="6">
                  <c:v>8.984767393989296</c:v>
                </c:pt>
                <c:pt idx="7">
                  <c:v>8.3881967213114752</c:v>
                </c:pt>
                <c:pt idx="8">
                  <c:v>9.9126436781609204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5-42A7-BB14-D455960C73F2}"/>
            </c:ext>
          </c:extLst>
        </c:ser>
        <c:ser>
          <c:idx val="3"/>
          <c:order val="2"/>
          <c:tx>
            <c:strRef>
              <c:f>Sheet1!$A$38</c:f>
              <c:strCache>
                <c:ptCount val="1"/>
                <c:pt idx="0">
                  <c:v>MAX Ti3SiC2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Sheet1!$A$40:$A$46</c:f>
              <c:numCache>
                <c:formatCode>General</c:formatCode>
                <c:ptCount val="7"/>
                <c:pt idx="0">
                  <c:v>20</c:v>
                </c:pt>
                <c:pt idx="1">
                  <c:v>150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</c:numCache>
            </c:numRef>
          </c:xVal>
          <c:yVal>
            <c:numRef>
              <c:f>Sheet1!$G$40:$G$46</c:f>
              <c:numCache>
                <c:formatCode>0.00</c:formatCode>
                <c:ptCount val="7"/>
                <c:pt idx="0">
                  <c:v>5.5879110864225385</c:v>
                </c:pt>
                <c:pt idx="1">
                  <c:v>5.3571309424520441</c:v>
                </c:pt>
                <c:pt idx="2">
                  <c:v>3.2629210872763874</c:v>
                </c:pt>
                <c:pt idx="3">
                  <c:v>3.0097297297297296</c:v>
                </c:pt>
                <c:pt idx="4">
                  <c:v>2.6977486651621074</c:v>
                </c:pt>
                <c:pt idx="5">
                  <c:v>2.4994850534620383</c:v>
                </c:pt>
                <c:pt idx="6">
                  <c:v>2.4328013500397847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35-42A7-BB14-D455960C73F2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Compilation!$B$119:$B$123</c:f>
              <c:numCache>
                <c:formatCode>General</c:formatCode>
                <c:ptCount val="5"/>
                <c:pt idx="0">
                  <c:v>1100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</c:numCache>
            </c:numRef>
          </c:xVal>
          <c:yVal>
            <c:numRef>
              <c:f>Compilation!$N$119:$N$123</c:f>
              <c:numCache>
                <c:formatCode>General</c:formatCode>
                <c:ptCount val="5"/>
                <c:pt idx="0">
                  <c:v>12.902376713796523</c:v>
                </c:pt>
                <c:pt idx="1">
                  <c:v>11.699066937979527</c:v>
                </c:pt>
                <c:pt idx="2">
                  <c:v>9.4779591837739687</c:v>
                </c:pt>
                <c:pt idx="3">
                  <c:v>7.4812190413540378</c:v>
                </c:pt>
                <c:pt idx="4">
                  <c:v>5.7109757289154652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35-42A7-BB14-D455960C73F2}"/>
            </c:ext>
          </c:extLst>
        </c:ser>
        <c:ser>
          <c:idx val="2"/>
          <c:order val="4"/>
          <c:tx>
            <c:strRef>
              <c:f>Sheet1!$A$51</c:f>
              <c:strCache>
                <c:ptCount val="1"/>
                <c:pt idx="0">
                  <c:v>RAFM F82H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Sheet1!$A$53:$A$65</c:f>
              <c:numCache>
                <c:formatCode>General</c:formatCode>
                <c:ptCount val="13"/>
                <c:pt idx="0">
                  <c:v>23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</c:numCache>
            </c:numRef>
          </c:xVal>
          <c:yVal>
            <c:numRef>
              <c:f>Sheet1!$G$53:$G$65</c:f>
              <c:numCache>
                <c:formatCode>0.00</c:formatCode>
                <c:ptCount val="13"/>
                <c:pt idx="0">
                  <c:v>6.3437391193036348</c:v>
                </c:pt>
                <c:pt idx="1">
                  <c:v>6.2336697247706416</c:v>
                </c:pt>
                <c:pt idx="2">
                  <c:v>6.1454545454545455</c:v>
                </c:pt>
                <c:pt idx="3">
                  <c:v>5.8337047101449278</c:v>
                </c:pt>
                <c:pt idx="4">
                  <c:v>5.4985495472624191</c:v>
                </c:pt>
                <c:pt idx="5">
                  <c:v>5.3080102294314058</c:v>
                </c:pt>
                <c:pt idx="6">
                  <c:v>5.1240736040609134</c:v>
                </c:pt>
                <c:pt idx="7">
                  <c:v>4.8532174738841407</c:v>
                </c:pt>
                <c:pt idx="8">
                  <c:v>4.62402503548845</c:v>
                </c:pt>
                <c:pt idx="9">
                  <c:v>4.2708884188260177</c:v>
                </c:pt>
                <c:pt idx="10">
                  <c:v>3.7395415730337076</c:v>
                </c:pt>
                <c:pt idx="11">
                  <c:v>3.233320834309819</c:v>
                </c:pt>
                <c:pt idx="12">
                  <c:v>2.6366326530612243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35-42A7-BB14-D455960C73F2}"/>
            </c:ext>
          </c:extLst>
        </c:ser>
        <c:ser>
          <c:idx val="5"/>
          <c:order val="5"/>
          <c:tx>
            <c:strRef>
              <c:f>Compilation!$A$14</c:f>
              <c:strCache>
                <c:ptCount val="1"/>
                <c:pt idx="0">
                  <c:v>SiC/SiC SA-Tyrannohex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Compilation!$B$14:$B$24</c:f>
              <c:numCache>
                <c:formatCode>General</c:formatCode>
                <c:ptCount val="11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</c:numCache>
            </c:numRef>
          </c:xVal>
          <c:yVal>
            <c:numRef>
              <c:f>Compilation!$N$14:$N$24</c:f>
              <c:numCache>
                <c:formatCode>General</c:formatCode>
                <c:ptCount val="11"/>
                <c:pt idx="0">
                  <c:v>5.9061583577712602</c:v>
                </c:pt>
                <c:pt idx="1">
                  <c:v>4.5991107220849301</c:v>
                </c:pt>
                <c:pt idx="2">
                  <c:v>3.4531006191084042</c:v>
                </c:pt>
                <c:pt idx="3">
                  <c:v>2.7986274090420125</c:v>
                </c:pt>
                <c:pt idx="4">
                  <c:v>2.5372387482987935</c:v>
                </c:pt>
                <c:pt idx="5">
                  <c:v>2.3392073039867025</c:v>
                </c:pt>
                <c:pt idx="6">
                  <c:v>2.1668384337178028</c:v>
                </c:pt>
                <c:pt idx="7">
                  <c:v>2.2237608738325694</c:v>
                </c:pt>
                <c:pt idx="8">
                  <c:v>2.5222623501112373</c:v>
                </c:pt>
                <c:pt idx="9">
                  <c:v>2.5700488412385396</c:v>
                </c:pt>
                <c:pt idx="10">
                  <c:v>1.3802798585979199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35-42A7-BB14-D455960C73F2}"/>
            </c:ext>
          </c:extLst>
        </c:ser>
        <c:ser>
          <c:idx val="6"/>
          <c:order val="6"/>
          <c:tx>
            <c:strRef>
              <c:f>Sheet1!$A$67</c:f>
              <c:strCache>
                <c:ptCount val="1"/>
                <c:pt idx="0">
                  <c:v>2D-C/C CX-270G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Sheet1!$A$69:$A$71</c:f>
              <c:numCache>
                <c:formatCode>General</c:formatCode>
                <c:ptCount val="3"/>
                <c:pt idx="0">
                  <c:v>25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Sheet1!$G$69:$G$71</c:f>
              <c:numCache>
                <c:formatCode>0.00</c:formatCode>
                <c:ptCount val="3"/>
                <c:pt idx="0">
                  <c:v>90.677357428921312</c:v>
                </c:pt>
                <c:pt idx="1">
                  <c:v>42.098203017832645</c:v>
                </c:pt>
                <c:pt idx="2">
                  <c:v>22.782098765432099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435-42A7-BB14-D455960C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91808"/>
        <c:axId val="363990168"/>
      </c:scatterChart>
      <c:valAx>
        <c:axId val="363991808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38636952141417896"/>
              <c:y val="0.93235222790133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0168"/>
        <c:crosses val="autoZero"/>
        <c:crossBetween val="midCat"/>
        <c:majorUnit val="500"/>
      </c:valAx>
      <c:valAx>
        <c:axId val="363990168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Thermal Stress Figure of Merit [kW/m]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3.8180548532350902E-3"/>
              <c:y val="9.97660818713450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180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9967532189147865"/>
          <c:y val="1.3157434268084904E-2"/>
          <c:w val="0.39399345499235455"/>
          <c:h val="0.30214977513775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7514183231633"/>
          <c:y val="4.2884990253411304E-2"/>
          <c:w val="0.79794046615316461"/>
          <c:h val="0.815191785237371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Pure 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Compilation!$B$117:$B$119</c:f>
              <c:numCache>
                <c:formatCode>General</c:formatCode>
                <c:ptCount val="3"/>
                <c:pt idx="0">
                  <c:v>800</c:v>
                </c:pt>
                <c:pt idx="1">
                  <c:v>1000</c:v>
                </c:pt>
                <c:pt idx="2">
                  <c:v>1100</c:v>
                </c:pt>
              </c:numCache>
            </c:numRef>
          </c:xVal>
          <c:yVal>
            <c:numRef>
              <c:f>Compilation!$N$117:$N$119</c:f>
              <c:numCache>
                <c:formatCode>General</c:formatCode>
                <c:ptCount val="3"/>
                <c:pt idx="0">
                  <c:v>16.943993093909398</c:v>
                </c:pt>
                <c:pt idx="1">
                  <c:v>14.174306043135852</c:v>
                </c:pt>
                <c:pt idx="2">
                  <c:v>12.902376713796523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4-49E8-84ED-222592663FBE}"/>
            </c:ext>
          </c:extLst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UHTC ZrB2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20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2300</c:v>
                </c:pt>
              </c:numCache>
            </c:numRef>
          </c:xVal>
          <c:yVal>
            <c:numRef>
              <c:f>Sheet1!$G$3:$G$11</c:f>
              <c:numCache>
                <c:formatCode>0.00</c:formatCode>
                <c:ptCount val="9"/>
                <c:pt idx="0">
                  <c:v>20.003847241867046</c:v>
                </c:pt>
                <c:pt idx="1">
                  <c:v>13.957255343082116</c:v>
                </c:pt>
                <c:pt idx="2">
                  <c:v>10.6640625</c:v>
                </c:pt>
                <c:pt idx="3">
                  <c:v>8.3368421052631572</c:v>
                </c:pt>
                <c:pt idx="4">
                  <c:v>7.614583333333333</c:v>
                </c:pt>
                <c:pt idx="5">
                  <c:v>8.9161490683229818</c:v>
                </c:pt>
                <c:pt idx="6">
                  <c:v>8.984767393989296</c:v>
                </c:pt>
                <c:pt idx="7">
                  <c:v>8.3881967213114752</c:v>
                </c:pt>
                <c:pt idx="8">
                  <c:v>9.9126436781609204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4-49E8-84ED-222592663FBE}"/>
            </c:ext>
          </c:extLst>
        </c:ser>
        <c:ser>
          <c:idx val="3"/>
          <c:order val="2"/>
          <c:tx>
            <c:strRef>
              <c:f>Sheet1!$A$38</c:f>
              <c:strCache>
                <c:ptCount val="1"/>
                <c:pt idx="0">
                  <c:v>MAX Ti3SiC2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Sheet1!$A$40:$A$46</c:f>
              <c:numCache>
                <c:formatCode>General</c:formatCode>
                <c:ptCount val="7"/>
                <c:pt idx="0">
                  <c:v>20</c:v>
                </c:pt>
                <c:pt idx="1">
                  <c:v>150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</c:numCache>
            </c:numRef>
          </c:xVal>
          <c:yVal>
            <c:numRef>
              <c:f>Sheet1!$G$40:$G$46</c:f>
              <c:numCache>
                <c:formatCode>0.00</c:formatCode>
                <c:ptCount val="7"/>
                <c:pt idx="0">
                  <c:v>5.5879110864225385</c:v>
                </c:pt>
                <c:pt idx="1">
                  <c:v>5.3571309424520441</c:v>
                </c:pt>
                <c:pt idx="2">
                  <c:v>3.2629210872763874</c:v>
                </c:pt>
                <c:pt idx="3">
                  <c:v>3.0097297297297296</c:v>
                </c:pt>
                <c:pt idx="4">
                  <c:v>2.6977486651621074</c:v>
                </c:pt>
                <c:pt idx="5">
                  <c:v>2.4994850534620383</c:v>
                </c:pt>
                <c:pt idx="6">
                  <c:v>2.4328013500397847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74-49E8-84ED-222592663FBE}"/>
            </c:ext>
          </c:extLst>
        </c:ser>
        <c:ser>
          <c:idx val="4"/>
          <c:order val="3"/>
          <c:spPr>
            <a:ln w="952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Compilation!$B$112:$B$123</c:f>
              <c:numCache>
                <c:formatCode>General</c:formatCode>
                <c:ptCount val="12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1400</c:v>
                </c:pt>
                <c:pt idx="10">
                  <c:v>1600</c:v>
                </c:pt>
                <c:pt idx="11">
                  <c:v>1800</c:v>
                </c:pt>
              </c:numCache>
            </c:numRef>
          </c:xVal>
          <c:yVal>
            <c:numRef>
              <c:f>Compilation!$N$112:$N$123</c:f>
              <c:numCache>
                <c:formatCode>General</c:formatCode>
                <c:ptCount val="12"/>
                <c:pt idx="0">
                  <c:v>30.190054210848977</c:v>
                </c:pt>
                <c:pt idx="1">
                  <c:v>28.796435090830492</c:v>
                </c:pt>
                <c:pt idx="2">
                  <c:v>27.004190516923995</c:v>
                </c:pt>
                <c:pt idx="3">
                  <c:v>23.423034854214123</c:v>
                </c:pt>
                <c:pt idx="4">
                  <c:v>20.033768729245594</c:v>
                </c:pt>
                <c:pt idx="5">
                  <c:v>16.943993093909398</c:v>
                </c:pt>
                <c:pt idx="6">
                  <c:v>14.174306043135852</c:v>
                </c:pt>
                <c:pt idx="7">
                  <c:v>12.902376713796523</c:v>
                </c:pt>
                <c:pt idx="8">
                  <c:v>11.699066937979527</c:v>
                </c:pt>
                <c:pt idx="9">
                  <c:v>9.4779591837739687</c:v>
                </c:pt>
                <c:pt idx="10">
                  <c:v>7.4812190413540378</c:v>
                </c:pt>
                <c:pt idx="11">
                  <c:v>5.7109757289154652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74-49E8-84ED-222592663FBE}"/>
            </c:ext>
          </c:extLst>
        </c:ser>
        <c:ser>
          <c:idx val="2"/>
          <c:order val="4"/>
          <c:tx>
            <c:strRef>
              <c:f>Sheet1!$A$51</c:f>
              <c:strCache>
                <c:ptCount val="1"/>
                <c:pt idx="0">
                  <c:v>RAFM F82H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Sheet1!$A$58:$A$62</c:f>
              <c:numCache>
                <c:formatCode>General</c:formatCode>
                <c:ptCount val="5"/>
                <c:pt idx="0">
                  <c:v>350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550</c:v>
                </c:pt>
              </c:numCache>
            </c:numRef>
          </c:xVal>
          <c:yVal>
            <c:numRef>
              <c:f>Sheet1!$G$58:$G$62</c:f>
              <c:numCache>
                <c:formatCode>0.00</c:formatCode>
                <c:ptCount val="5"/>
                <c:pt idx="0">
                  <c:v>5.3080102294314058</c:v>
                </c:pt>
                <c:pt idx="1">
                  <c:v>5.1240736040609134</c:v>
                </c:pt>
                <c:pt idx="2">
                  <c:v>4.8532174738841407</c:v>
                </c:pt>
                <c:pt idx="3">
                  <c:v>4.62402503548845</c:v>
                </c:pt>
                <c:pt idx="4">
                  <c:v>4.2708884188260177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74-49E8-84ED-222592663FBE}"/>
            </c:ext>
          </c:extLst>
        </c:ser>
        <c:ser>
          <c:idx val="5"/>
          <c:order val="5"/>
          <c:tx>
            <c:strRef>
              <c:f>Compilation!$A$14</c:f>
              <c:strCache>
                <c:ptCount val="1"/>
                <c:pt idx="0">
                  <c:v>SiC/SiC SA-Tyrannohex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Compilation!$B$15:$B$21</c:f>
              <c:numCache>
                <c:formatCode>General</c:formatCode>
                <c:ptCount val="7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1500</c:v>
                </c:pt>
              </c:numCache>
            </c:numRef>
          </c:xVal>
          <c:yVal>
            <c:numRef>
              <c:f>Compilation!$N$15:$N$21</c:f>
              <c:numCache>
                <c:formatCode>General</c:formatCode>
                <c:ptCount val="7"/>
                <c:pt idx="0">
                  <c:v>4.5991107220849301</c:v>
                </c:pt>
                <c:pt idx="1">
                  <c:v>3.4531006191084042</c:v>
                </c:pt>
                <c:pt idx="2">
                  <c:v>2.7986274090420125</c:v>
                </c:pt>
                <c:pt idx="3">
                  <c:v>2.5372387482987935</c:v>
                </c:pt>
                <c:pt idx="4">
                  <c:v>2.3392073039867025</c:v>
                </c:pt>
                <c:pt idx="5">
                  <c:v>2.1668384337178028</c:v>
                </c:pt>
                <c:pt idx="6">
                  <c:v>2.2237608738325694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74-49E8-84ED-222592663FBE}"/>
            </c:ext>
          </c:extLst>
        </c:ser>
        <c:ser>
          <c:idx val="6"/>
          <c:order val="6"/>
          <c:tx>
            <c:strRef>
              <c:f>Sheet1!$A$67</c:f>
              <c:strCache>
                <c:ptCount val="1"/>
                <c:pt idx="0">
                  <c:v>2D-C/C CX-270G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Sheet1!$A$69:$A$71</c:f>
              <c:numCache>
                <c:formatCode>General</c:formatCode>
                <c:ptCount val="3"/>
                <c:pt idx="0">
                  <c:v>25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Sheet1!$G$69:$G$71</c:f>
              <c:numCache>
                <c:formatCode>0.00</c:formatCode>
                <c:ptCount val="3"/>
                <c:pt idx="0">
                  <c:v>90.677357428921312</c:v>
                </c:pt>
                <c:pt idx="1">
                  <c:v>42.098203017832645</c:v>
                </c:pt>
                <c:pt idx="2">
                  <c:v>22.782098765432099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74-49E8-84ED-222592663FBE}"/>
            </c:ext>
          </c:extLst>
        </c:ser>
        <c:ser>
          <c:idx val="7"/>
          <c:order val="7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Sheet1!$A$53:$A$65</c:f>
              <c:numCache>
                <c:formatCode>General</c:formatCode>
                <c:ptCount val="13"/>
                <c:pt idx="0">
                  <c:v>23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</c:numCache>
            </c:numRef>
          </c:xVal>
          <c:yVal>
            <c:numRef>
              <c:f>Sheet1!$G$53:$G$65</c:f>
              <c:numCache>
                <c:formatCode>0.00</c:formatCode>
                <c:ptCount val="13"/>
                <c:pt idx="0">
                  <c:v>6.3437391193036348</c:v>
                </c:pt>
                <c:pt idx="1">
                  <c:v>6.2336697247706416</c:v>
                </c:pt>
                <c:pt idx="2">
                  <c:v>6.1454545454545455</c:v>
                </c:pt>
                <c:pt idx="3">
                  <c:v>5.8337047101449278</c:v>
                </c:pt>
                <c:pt idx="4">
                  <c:v>5.4985495472624191</c:v>
                </c:pt>
                <c:pt idx="5">
                  <c:v>5.3080102294314058</c:v>
                </c:pt>
                <c:pt idx="6">
                  <c:v>5.1240736040609134</c:v>
                </c:pt>
                <c:pt idx="7">
                  <c:v>4.8532174738841407</c:v>
                </c:pt>
                <c:pt idx="8">
                  <c:v>4.62402503548845</c:v>
                </c:pt>
                <c:pt idx="9">
                  <c:v>4.2708884188260177</c:v>
                </c:pt>
                <c:pt idx="10">
                  <c:v>3.7395415730337076</c:v>
                </c:pt>
                <c:pt idx="11">
                  <c:v>3.233320834309819</c:v>
                </c:pt>
                <c:pt idx="12">
                  <c:v>2.6366326530612243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C3-4064-BD97-C4EF98BF7A92}"/>
            </c:ext>
          </c:extLst>
        </c:ser>
        <c:ser>
          <c:idx val="8"/>
          <c:order val="8"/>
          <c:spPr>
            <a:ln w="95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Compilation!$B$14:$B$24</c:f>
              <c:numCache>
                <c:formatCode>General</c:formatCode>
                <c:ptCount val="11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</c:numCache>
            </c:numRef>
          </c:xVal>
          <c:yVal>
            <c:numRef>
              <c:f>Compilation!$N$14:$N$24</c:f>
              <c:numCache>
                <c:formatCode>General</c:formatCode>
                <c:ptCount val="11"/>
                <c:pt idx="0">
                  <c:v>5.9061583577712602</c:v>
                </c:pt>
                <c:pt idx="1">
                  <c:v>4.5991107220849301</c:v>
                </c:pt>
                <c:pt idx="2">
                  <c:v>3.4531006191084042</c:v>
                </c:pt>
                <c:pt idx="3">
                  <c:v>2.7986274090420125</c:v>
                </c:pt>
                <c:pt idx="4">
                  <c:v>2.5372387482987935</c:v>
                </c:pt>
                <c:pt idx="5">
                  <c:v>2.3392073039867025</c:v>
                </c:pt>
                <c:pt idx="6">
                  <c:v>2.1668384337178028</c:v>
                </c:pt>
                <c:pt idx="7">
                  <c:v>2.2237608738325694</c:v>
                </c:pt>
                <c:pt idx="8">
                  <c:v>2.5222623501112373</c:v>
                </c:pt>
                <c:pt idx="9">
                  <c:v>2.5700488412385396</c:v>
                </c:pt>
                <c:pt idx="10">
                  <c:v>1.3802798585979199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3-4064-BD97-C4EF98BF7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91808"/>
        <c:axId val="363990168"/>
      </c:scatterChart>
      <c:valAx>
        <c:axId val="363991808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38636952141417896"/>
              <c:y val="0.93235222790133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0168"/>
        <c:crosses val="autoZero"/>
        <c:crossBetween val="midCat"/>
        <c:majorUnit val="500"/>
      </c:valAx>
      <c:valAx>
        <c:axId val="363990168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Thermal Stress Figure of Merit [kW/m]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3.8180548532350902E-3"/>
              <c:y val="9.97660818713450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180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32921288064802"/>
          <c:y val="4.2884990253411304E-2"/>
          <c:w val="0.75682132475376063"/>
          <c:h val="0.81519178523737168"/>
        </c:manualLayout>
      </c:layout>
      <c:scatterChart>
        <c:scatterStyle val="smoothMarker"/>
        <c:varyColors val="0"/>
        <c:ser>
          <c:idx val="0"/>
          <c:order val="0"/>
          <c:tx>
            <c:v>Tungsten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Compilation!$B$113:$B$120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</c:numCache>
            </c:numRef>
          </c:xVal>
          <c:yVal>
            <c:numRef>
              <c:f>Compilation!$D$113:$D$120</c:f>
              <c:numCache>
                <c:formatCode>General</c:formatCode>
                <c:ptCount val="8"/>
                <c:pt idx="0">
                  <c:v>379.20328999999998</c:v>
                </c:pt>
                <c:pt idx="1">
                  <c:v>376.90431999999998</c:v>
                </c:pt>
                <c:pt idx="2">
                  <c:v>362.73055999999997</c:v>
                </c:pt>
                <c:pt idx="3">
                  <c:v>337.84064000000001</c:v>
                </c:pt>
                <c:pt idx="4">
                  <c:v>304.69647999999995</c:v>
                </c:pt>
                <c:pt idx="5">
                  <c:v>265.76</c:v>
                </c:pt>
                <c:pt idx="6">
                  <c:v>244.88898999999995</c:v>
                </c:pt>
                <c:pt idx="7">
                  <c:v>223.49311999999992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69-422E-BBB0-6C7714B63BAC}"/>
            </c:ext>
          </c:extLst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UHTC ZrB2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20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2300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696</c:v>
                </c:pt>
                <c:pt idx="1">
                  <c:v>660</c:v>
                </c:pt>
                <c:pt idx="2">
                  <c:v>525</c:v>
                </c:pt>
                <c:pt idx="3">
                  <c:v>378</c:v>
                </c:pt>
                <c:pt idx="4">
                  <c:v>301</c:v>
                </c:pt>
                <c:pt idx="5">
                  <c:v>348</c:v>
                </c:pt>
                <c:pt idx="6">
                  <c:v>341</c:v>
                </c:pt>
                <c:pt idx="7">
                  <c:v>287</c:v>
                </c:pt>
                <c:pt idx="8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69-422E-BBB0-6C7714B63BAC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HEA V-Nb-Mo-Ta-W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Sheet1!$A$31:$A$36</c:f>
              <c:numCache>
                <c:formatCode>General</c:formatCode>
                <c:ptCount val="6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</c:numCache>
            </c:numRef>
          </c:xVal>
          <c:yVal>
            <c:numRef>
              <c:f>Sheet1!$B$31:$B$36</c:f>
              <c:numCache>
                <c:formatCode>General</c:formatCode>
                <c:ptCount val="6"/>
                <c:pt idx="0">
                  <c:v>860</c:v>
                </c:pt>
                <c:pt idx="1">
                  <c:v>850</c:v>
                </c:pt>
                <c:pt idx="2">
                  <c:v>840</c:v>
                </c:pt>
                <c:pt idx="3">
                  <c:v>740</c:v>
                </c:pt>
                <c:pt idx="4">
                  <c:v>660</c:v>
                </c:pt>
                <c:pt idx="5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69-422E-BBB0-6C7714B63BAC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MAX Ti3SiC2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Sheet1!$A$40:$A$46</c:f>
              <c:numCache>
                <c:formatCode>General</c:formatCode>
                <c:ptCount val="7"/>
                <c:pt idx="0">
                  <c:v>20</c:v>
                </c:pt>
                <c:pt idx="1">
                  <c:v>150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</c:numCache>
            </c:numRef>
          </c:xVal>
          <c:yVal>
            <c:numRef>
              <c:f>Sheet1!$B$40:$B$46</c:f>
              <c:numCache>
                <c:formatCode>General</c:formatCode>
                <c:ptCount val="7"/>
                <c:pt idx="0">
                  <c:v>435</c:v>
                </c:pt>
                <c:pt idx="1">
                  <c:v>434</c:v>
                </c:pt>
                <c:pt idx="2">
                  <c:v>340.94594594594594</c:v>
                </c:pt>
                <c:pt idx="3">
                  <c:v>329.18918918918916</c:v>
                </c:pt>
                <c:pt idx="4">
                  <c:v>305.67567567567568</c:v>
                </c:pt>
                <c:pt idx="5">
                  <c:v>274.3999895648542</c:v>
                </c:pt>
                <c:pt idx="6">
                  <c:v>246.32432432432432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69-422E-BBB0-6C7714B63BAC}"/>
            </c:ext>
          </c:extLst>
        </c:ser>
        <c:ser>
          <c:idx val="5"/>
          <c:order val="4"/>
          <c:tx>
            <c:strRef>
              <c:f>Sheet1!$A$51</c:f>
              <c:strCache>
                <c:ptCount val="1"/>
                <c:pt idx="0">
                  <c:v>RAFM F82H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Sheet1!$A$53:$A$65</c:f>
              <c:numCache>
                <c:formatCode>General</c:formatCode>
                <c:ptCount val="13"/>
                <c:pt idx="0">
                  <c:v>23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</c:numCache>
            </c:numRef>
          </c:xVal>
          <c:yVal>
            <c:numRef>
              <c:f>Sheet1!$B$53:$B$65</c:f>
              <c:numCache>
                <c:formatCode>General</c:formatCode>
                <c:ptCount val="13"/>
                <c:pt idx="0">
                  <c:v>669</c:v>
                </c:pt>
                <c:pt idx="1">
                  <c:v>645</c:v>
                </c:pt>
                <c:pt idx="2">
                  <c:v>624</c:v>
                </c:pt>
                <c:pt idx="3">
                  <c:v>579</c:v>
                </c:pt>
                <c:pt idx="4">
                  <c:v>548</c:v>
                </c:pt>
                <c:pt idx="5">
                  <c:v>532.27436534178503</c:v>
                </c:pt>
                <c:pt idx="6">
                  <c:v>517</c:v>
                </c:pt>
                <c:pt idx="7">
                  <c:v>493</c:v>
                </c:pt>
                <c:pt idx="8">
                  <c:v>463</c:v>
                </c:pt>
                <c:pt idx="9">
                  <c:v>420</c:v>
                </c:pt>
                <c:pt idx="10">
                  <c:v>368</c:v>
                </c:pt>
                <c:pt idx="11">
                  <c:v>307</c:v>
                </c:pt>
                <c:pt idx="12">
                  <c:v>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69-422E-BBB0-6C7714B63BAC}"/>
            </c:ext>
          </c:extLst>
        </c:ser>
        <c:ser>
          <c:idx val="4"/>
          <c:order val="5"/>
          <c:tx>
            <c:strRef>
              <c:f>Compilation!$A$14</c:f>
              <c:strCache>
                <c:ptCount val="1"/>
                <c:pt idx="0">
                  <c:v>SiC/SiC SA-Tyrannohex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Compilation!$B$14:$B$24</c:f>
              <c:numCache>
                <c:formatCode>General</c:formatCode>
                <c:ptCount val="11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</c:numCache>
            </c:numRef>
          </c:xVal>
          <c:yVal>
            <c:numRef>
              <c:f>Compilation!$D$14:$D$24</c:f>
              <c:numCache>
                <c:formatCode>General</c:formatCode>
                <c:ptCount val="11"/>
                <c:pt idx="0">
                  <c:v>265</c:v>
                </c:pt>
                <c:pt idx="1">
                  <c:v>265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  <c:pt idx="5">
                  <c:v>265</c:v>
                </c:pt>
                <c:pt idx="6">
                  <c:v>263</c:v>
                </c:pt>
                <c:pt idx="7">
                  <c:v>262</c:v>
                </c:pt>
                <c:pt idx="8">
                  <c:v>260</c:v>
                </c:pt>
                <c:pt idx="9">
                  <c:v>250</c:v>
                </c:pt>
                <c:pt idx="10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69-422E-BBB0-6C7714B63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91808"/>
        <c:axId val="363990168"/>
      </c:scatterChart>
      <c:valAx>
        <c:axId val="363991808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[C]</a:t>
                </a:r>
              </a:p>
            </c:rich>
          </c:tx>
          <c:layout>
            <c:manualLayout>
              <c:xMode val="edge"/>
              <c:yMode val="edge"/>
              <c:x val="0.36676183181479083"/>
              <c:y val="0.93235222790133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0168"/>
        <c:crosses val="autoZero"/>
        <c:crossBetween val="midCat"/>
        <c:majorUnit val="500"/>
      </c:valAx>
      <c:valAx>
        <c:axId val="363990168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Strength [MPa]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1.6050353871047713E-2"/>
              <c:y val="0.32894076836886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180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2260914966274385"/>
          <c:y val="4.824503393119816E-2"/>
          <c:w val="0.41951768125758476"/>
          <c:h val="0.23744669278977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32921288064802"/>
          <c:y val="4.2884990253411304E-2"/>
          <c:w val="0.75682132475376063"/>
          <c:h val="0.81519178523737168"/>
        </c:manualLayout>
      </c:layout>
      <c:scatterChart>
        <c:scatterStyle val="smoothMarker"/>
        <c:varyColors val="0"/>
        <c:ser>
          <c:idx val="0"/>
          <c:order val="0"/>
          <c:tx>
            <c:v>Tungsten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Compilation!$B$113:$B$120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</c:numCache>
            </c:numRef>
          </c:xVal>
          <c:yVal>
            <c:numRef>
              <c:f>Compilation!$D$113:$D$120</c:f>
              <c:numCache>
                <c:formatCode>General</c:formatCode>
                <c:ptCount val="8"/>
                <c:pt idx="0">
                  <c:v>379.20328999999998</c:v>
                </c:pt>
                <c:pt idx="1">
                  <c:v>376.90431999999998</c:v>
                </c:pt>
                <c:pt idx="2">
                  <c:v>362.73055999999997</c:v>
                </c:pt>
                <c:pt idx="3">
                  <c:v>337.84064000000001</c:v>
                </c:pt>
                <c:pt idx="4">
                  <c:v>304.69647999999995</c:v>
                </c:pt>
                <c:pt idx="5">
                  <c:v>265.76</c:v>
                </c:pt>
                <c:pt idx="6">
                  <c:v>244.88898999999995</c:v>
                </c:pt>
                <c:pt idx="7">
                  <c:v>223.49311999999992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D-485F-9D11-5EAE6DE07729}"/>
            </c:ext>
          </c:extLst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UHTC ZrB2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20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2300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696</c:v>
                </c:pt>
                <c:pt idx="1">
                  <c:v>660</c:v>
                </c:pt>
                <c:pt idx="2">
                  <c:v>525</c:v>
                </c:pt>
                <c:pt idx="3">
                  <c:v>378</c:v>
                </c:pt>
                <c:pt idx="4">
                  <c:v>301</c:v>
                </c:pt>
                <c:pt idx="5">
                  <c:v>348</c:v>
                </c:pt>
                <c:pt idx="6">
                  <c:v>341</c:v>
                </c:pt>
                <c:pt idx="7">
                  <c:v>287</c:v>
                </c:pt>
                <c:pt idx="8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D-485F-9D11-5EAE6DE07729}"/>
            </c:ext>
          </c:extLst>
        </c:ser>
        <c:ser>
          <c:idx val="3"/>
          <c:order val="2"/>
          <c:tx>
            <c:strRef>
              <c:f>Sheet1!$A$38</c:f>
              <c:strCache>
                <c:ptCount val="1"/>
                <c:pt idx="0">
                  <c:v>MAX Ti3SiC2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Sheet1!$A$40:$A$46</c:f>
              <c:numCache>
                <c:formatCode>General</c:formatCode>
                <c:ptCount val="7"/>
                <c:pt idx="0">
                  <c:v>20</c:v>
                </c:pt>
                <c:pt idx="1">
                  <c:v>150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</c:numCache>
            </c:numRef>
          </c:xVal>
          <c:yVal>
            <c:numRef>
              <c:f>Sheet1!$B$40:$B$46</c:f>
              <c:numCache>
                <c:formatCode>General</c:formatCode>
                <c:ptCount val="7"/>
                <c:pt idx="0">
                  <c:v>435</c:v>
                </c:pt>
                <c:pt idx="1">
                  <c:v>434</c:v>
                </c:pt>
                <c:pt idx="2">
                  <c:v>340.94594594594594</c:v>
                </c:pt>
                <c:pt idx="3">
                  <c:v>329.18918918918916</c:v>
                </c:pt>
                <c:pt idx="4">
                  <c:v>305.67567567567568</c:v>
                </c:pt>
                <c:pt idx="5">
                  <c:v>274.3999895648542</c:v>
                </c:pt>
                <c:pt idx="6">
                  <c:v>246.32432432432432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1D-485F-9D11-5EAE6DE07729}"/>
            </c:ext>
          </c:extLst>
        </c:ser>
        <c:ser>
          <c:idx val="5"/>
          <c:order val="3"/>
          <c:tx>
            <c:strRef>
              <c:f>Sheet1!$A$51</c:f>
              <c:strCache>
                <c:ptCount val="1"/>
                <c:pt idx="0">
                  <c:v>RAFM F82H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Sheet1!$A$53:$A$65</c:f>
              <c:numCache>
                <c:formatCode>General</c:formatCode>
                <c:ptCount val="13"/>
                <c:pt idx="0">
                  <c:v>23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</c:numCache>
            </c:numRef>
          </c:xVal>
          <c:yVal>
            <c:numRef>
              <c:f>Sheet1!$B$53:$B$65</c:f>
              <c:numCache>
                <c:formatCode>General</c:formatCode>
                <c:ptCount val="13"/>
                <c:pt idx="0">
                  <c:v>669</c:v>
                </c:pt>
                <c:pt idx="1">
                  <c:v>645</c:v>
                </c:pt>
                <c:pt idx="2">
                  <c:v>624</c:v>
                </c:pt>
                <c:pt idx="3">
                  <c:v>579</c:v>
                </c:pt>
                <c:pt idx="4">
                  <c:v>548</c:v>
                </c:pt>
                <c:pt idx="5">
                  <c:v>532.27436534178503</c:v>
                </c:pt>
                <c:pt idx="6">
                  <c:v>517</c:v>
                </c:pt>
                <c:pt idx="7">
                  <c:v>493</c:v>
                </c:pt>
                <c:pt idx="8">
                  <c:v>463</c:v>
                </c:pt>
                <c:pt idx="9">
                  <c:v>420</c:v>
                </c:pt>
                <c:pt idx="10">
                  <c:v>368</c:v>
                </c:pt>
                <c:pt idx="11">
                  <c:v>307</c:v>
                </c:pt>
                <c:pt idx="12">
                  <c:v>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1D-485F-9D11-5EAE6DE07729}"/>
            </c:ext>
          </c:extLst>
        </c:ser>
        <c:ser>
          <c:idx val="4"/>
          <c:order val="4"/>
          <c:tx>
            <c:strRef>
              <c:f>Compilation!$A$14</c:f>
              <c:strCache>
                <c:ptCount val="1"/>
                <c:pt idx="0">
                  <c:v>SiC/SiC SA-Tyrannohex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Compilation!$B$14:$B$24</c:f>
              <c:numCache>
                <c:formatCode>General</c:formatCode>
                <c:ptCount val="11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</c:numCache>
            </c:numRef>
          </c:xVal>
          <c:yVal>
            <c:numRef>
              <c:f>Compilation!$D$14:$D$24</c:f>
              <c:numCache>
                <c:formatCode>General</c:formatCode>
                <c:ptCount val="11"/>
                <c:pt idx="0">
                  <c:v>265</c:v>
                </c:pt>
                <c:pt idx="1">
                  <c:v>265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  <c:pt idx="5">
                  <c:v>265</c:v>
                </c:pt>
                <c:pt idx="6">
                  <c:v>263</c:v>
                </c:pt>
                <c:pt idx="7">
                  <c:v>262</c:v>
                </c:pt>
                <c:pt idx="8">
                  <c:v>260</c:v>
                </c:pt>
                <c:pt idx="9">
                  <c:v>250</c:v>
                </c:pt>
                <c:pt idx="10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1D-485F-9D11-5EAE6DE07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91808"/>
        <c:axId val="363990168"/>
      </c:scatterChart>
      <c:valAx>
        <c:axId val="363991808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[C]</a:t>
                </a:r>
              </a:p>
            </c:rich>
          </c:tx>
          <c:layout>
            <c:manualLayout>
              <c:xMode val="edge"/>
              <c:yMode val="edge"/>
              <c:x val="0.36676183181479083"/>
              <c:y val="0.93235222790133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0168"/>
        <c:crosses val="autoZero"/>
        <c:crossBetween val="midCat"/>
        <c:majorUnit val="500"/>
      </c:valAx>
      <c:valAx>
        <c:axId val="36399016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Strength [MPa]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1.6050353871047713E-2"/>
              <c:y val="0.32894076836886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180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7514183231633"/>
          <c:y val="4.2884990253411304E-2"/>
          <c:w val="0.79794046615316461"/>
          <c:h val="0.81519178523737168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Sheet1!$A$1</c:f>
              <c:strCache>
                <c:ptCount val="1"/>
                <c:pt idx="0">
                  <c:v>UHTC ZrB2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20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2300</c:v>
                </c:pt>
              </c:numCache>
            </c:numRef>
          </c:xVal>
          <c:yVal>
            <c:numRef>
              <c:f>Sheet1!$G$3:$G$11</c:f>
              <c:numCache>
                <c:formatCode>0.00</c:formatCode>
                <c:ptCount val="9"/>
                <c:pt idx="0">
                  <c:v>20.003847241867046</c:v>
                </c:pt>
                <c:pt idx="1">
                  <c:v>13.957255343082116</c:v>
                </c:pt>
                <c:pt idx="2">
                  <c:v>10.6640625</c:v>
                </c:pt>
                <c:pt idx="3">
                  <c:v>8.3368421052631572</c:v>
                </c:pt>
                <c:pt idx="4">
                  <c:v>7.614583333333333</c:v>
                </c:pt>
                <c:pt idx="5">
                  <c:v>8.9161490683229818</c:v>
                </c:pt>
                <c:pt idx="6">
                  <c:v>8.984767393989296</c:v>
                </c:pt>
                <c:pt idx="7">
                  <c:v>8.3881967213114752</c:v>
                </c:pt>
                <c:pt idx="8">
                  <c:v>9.9126436781609204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71-4356-9003-F9BD7A0D74E9}"/>
            </c:ext>
          </c:extLst>
        </c:ser>
        <c:ser>
          <c:idx val="3"/>
          <c:order val="2"/>
          <c:tx>
            <c:strRef>
              <c:f>Sheet1!$A$38</c:f>
              <c:strCache>
                <c:ptCount val="1"/>
                <c:pt idx="0">
                  <c:v>MAX Ti3SiC2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Sheet1!$A$40:$A$46</c:f>
              <c:numCache>
                <c:formatCode>General</c:formatCode>
                <c:ptCount val="7"/>
                <c:pt idx="0">
                  <c:v>20</c:v>
                </c:pt>
                <c:pt idx="1">
                  <c:v>150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</c:numCache>
            </c:numRef>
          </c:xVal>
          <c:yVal>
            <c:numRef>
              <c:f>Sheet1!$G$40:$G$46</c:f>
              <c:numCache>
                <c:formatCode>0.00</c:formatCode>
                <c:ptCount val="7"/>
                <c:pt idx="0">
                  <c:v>5.5879110864225385</c:v>
                </c:pt>
                <c:pt idx="1">
                  <c:v>5.3571309424520441</c:v>
                </c:pt>
                <c:pt idx="2">
                  <c:v>3.2629210872763874</c:v>
                </c:pt>
                <c:pt idx="3">
                  <c:v>3.0097297297297296</c:v>
                </c:pt>
                <c:pt idx="4">
                  <c:v>2.6977486651621074</c:v>
                </c:pt>
                <c:pt idx="5">
                  <c:v>2.4994850534620383</c:v>
                </c:pt>
                <c:pt idx="6">
                  <c:v>2.4328013500397847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71-4356-9003-F9BD7A0D74E9}"/>
            </c:ext>
          </c:extLst>
        </c:ser>
        <c:ser>
          <c:idx val="4"/>
          <c:order val="3"/>
          <c:spPr>
            <a:ln w="127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Compilation!$B$112:$B$123</c:f>
              <c:numCache>
                <c:formatCode>General</c:formatCode>
                <c:ptCount val="12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1400</c:v>
                </c:pt>
                <c:pt idx="10">
                  <c:v>1600</c:v>
                </c:pt>
                <c:pt idx="11">
                  <c:v>1800</c:v>
                </c:pt>
              </c:numCache>
            </c:numRef>
          </c:xVal>
          <c:yVal>
            <c:numRef>
              <c:f>Compilation!$N$112:$N$123</c:f>
              <c:numCache>
                <c:formatCode>General</c:formatCode>
                <c:ptCount val="12"/>
                <c:pt idx="0">
                  <c:v>30.190054210848977</c:v>
                </c:pt>
                <c:pt idx="1">
                  <c:v>28.796435090830492</c:v>
                </c:pt>
                <c:pt idx="2">
                  <c:v>27.004190516923995</c:v>
                </c:pt>
                <c:pt idx="3">
                  <c:v>23.423034854214123</c:v>
                </c:pt>
                <c:pt idx="4">
                  <c:v>20.033768729245594</c:v>
                </c:pt>
                <c:pt idx="5">
                  <c:v>16.943993093909398</c:v>
                </c:pt>
                <c:pt idx="6">
                  <c:v>14.174306043135852</c:v>
                </c:pt>
                <c:pt idx="7">
                  <c:v>12.902376713796523</c:v>
                </c:pt>
                <c:pt idx="8">
                  <c:v>11.699066937979527</c:v>
                </c:pt>
                <c:pt idx="9">
                  <c:v>9.4779591837739687</c:v>
                </c:pt>
                <c:pt idx="10">
                  <c:v>7.4812190413540378</c:v>
                </c:pt>
                <c:pt idx="11">
                  <c:v>5.7109757289154652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71-4356-9003-F9BD7A0D74E9}"/>
            </c:ext>
          </c:extLst>
        </c:ser>
        <c:ser>
          <c:idx val="6"/>
          <c:order val="6"/>
          <c:tx>
            <c:strRef>
              <c:f>Sheet1!$A$67</c:f>
              <c:strCache>
                <c:ptCount val="1"/>
                <c:pt idx="0">
                  <c:v>2D-C/C CX-270G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Sheet1!$A$69:$A$71</c:f>
              <c:numCache>
                <c:formatCode>General</c:formatCode>
                <c:ptCount val="3"/>
                <c:pt idx="0">
                  <c:v>25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Sheet1!$G$69:$G$71</c:f>
              <c:numCache>
                <c:formatCode>0.00</c:formatCode>
                <c:ptCount val="3"/>
                <c:pt idx="0">
                  <c:v>90.677357428921312</c:v>
                </c:pt>
                <c:pt idx="1">
                  <c:v>42.098203017832645</c:v>
                </c:pt>
                <c:pt idx="2">
                  <c:v>22.782098765432099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71-4356-9003-F9BD7A0D74E9}"/>
            </c:ext>
          </c:extLst>
        </c:ser>
        <c:ser>
          <c:idx val="7"/>
          <c:order val="7"/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Sheet1!$A$53:$A$65</c:f>
              <c:numCache>
                <c:formatCode>General</c:formatCode>
                <c:ptCount val="13"/>
                <c:pt idx="0">
                  <c:v>23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</c:numCache>
            </c:numRef>
          </c:xVal>
          <c:yVal>
            <c:numRef>
              <c:f>Sheet1!$G$53:$G$65</c:f>
              <c:numCache>
                <c:formatCode>0.00</c:formatCode>
                <c:ptCount val="13"/>
                <c:pt idx="0">
                  <c:v>6.3437391193036348</c:v>
                </c:pt>
                <c:pt idx="1">
                  <c:v>6.2336697247706416</c:v>
                </c:pt>
                <c:pt idx="2">
                  <c:v>6.1454545454545455</c:v>
                </c:pt>
                <c:pt idx="3">
                  <c:v>5.8337047101449278</c:v>
                </c:pt>
                <c:pt idx="4">
                  <c:v>5.4985495472624191</c:v>
                </c:pt>
                <c:pt idx="5">
                  <c:v>5.3080102294314058</c:v>
                </c:pt>
                <c:pt idx="6">
                  <c:v>5.1240736040609134</c:v>
                </c:pt>
                <c:pt idx="7">
                  <c:v>4.8532174738841407</c:v>
                </c:pt>
                <c:pt idx="8">
                  <c:v>4.62402503548845</c:v>
                </c:pt>
                <c:pt idx="9">
                  <c:v>4.2708884188260177</c:v>
                </c:pt>
                <c:pt idx="10">
                  <c:v>3.7395415730337076</c:v>
                </c:pt>
                <c:pt idx="11">
                  <c:v>3.233320834309819</c:v>
                </c:pt>
                <c:pt idx="12">
                  <c:v>2.6366326530612243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71-4356-9003-F9BD7A0D74E9}"/>
            </c:ext>
          </c:extLst>
        </c:ser>
        <c:ser>
          <c:idx val="8"/>
          <c:order val="8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Compilation!$B$14:$B$24</c:f>
              <c:numCache>
                <c:formatCode>General</c:formatCode>
                <c:ptCount val="11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</c:numCache>
            </c:numRef>
          </c:xVal>
          <c:yVal>
            <c:numRef>
              <c:f>Compilation!$N$14:$N$24</c:f>
              <c:numCache>
                <c:formatCode>General</c:formatCode>
                <c:ptCount val="11"/>
                <c:pt idx="0">
                  <c:v>5.9061583577712602</c:v>
                </c:pt>
                <c:pt idx="1">
                  <c:v>4.5991107220849301</c:v>
                </c:pt>
                <c:pt idx="2">
                  <c:v>3.4531006191084042</c:v>
                </c:pt>
                <c:pt idx="3">
                  <c:v>2.7986274090420125</c:v>
                </c:pt>
                <c:pt idx="4">
                  <c:v>2.5372387482987935</c:v>
                </c:pt>
                <c:pt idx="5">
                  <c:v>2.3392073039867025</c:v>
                </c:pt>
                <c:pt idx="6">
                  <c:v>2.1668384337178028</c:v>
                </c:pt>
                <c:pt idx="7">
                  <c:v>2.2237608738325694</c:v>
                </c:pt>
                <c:pt idx="8">
                  <c:v>2.5222623501112373</c:v>
                </c:pt>
                <c:pt idx="9">
                  <c:v>2.5700488412385396</c:v>
                </c:pt>
                <c:pt idx="10">
                  <c:v>1.3802798585979199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71-4356-9003-F9BD7A0D7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91808"/>
        <c:axId val="363990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Pure W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Compilation!$B$117:$B$119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800</c:v>
                      </c:pt>
                      <c:pt idx="1">
                        <c:v>1000</c:v>
                      </c:pt>
                      <c:pt idx="2">
                        <c:v>1100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Compilation!$N$117:$N$119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16.943993093909398</c:v>
                      </c:pt>
                      <c:pt idx="1">
                        <c:v>14.174306043135852</c:v>
                      </c:pt>
                      <c:pt idx="2">
                        <c:v>12.902376713796523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F71-4356-9003-F9BD7A0D74E9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Sheet1!$A$51</c15:sqref>
                        </c15:formulaRef>
                      </c:ext>
                    </c:extLst>
                    <c:strCache>
                      <c:ptCount val="1"/>
                      <c:pt idx="0">
                        <c:v>RAFM F82H</c:v>
                      </c:pt>
                    </c:strCache>
                  </c:strRef>
                </c:tx>
                <c:spPr>
                  <a:ln w="2540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Sheet1!$A$58:$A$62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350</c:v>
                      </c:pt>
                      <c:pt idx="1">
                        <c:v>400</c:v>
                      </c:pt>
                      <c:pt idx="2">
                        <c:v>450</c:v>
                      </c:pt>
                      <c:pt idx="3">
                        <c:v>500</c:v>
                      </c:pt>
                      <c:pt idx="4">
                        <c:v>550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Sheet1!$G$58:$G$62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5.3080102294314058</c:v>
                      </c:pt>
                      <c:pt idx="1">
                        <c:v>5.1240736040609134</c:v>
                      </c:pt>
                      <c:pt idx="2">
                        <c:v>4.8532174738841407</c:v>
                      </c:pt>
                      <c:pt idx="3">
                        <c:v>4.62402503548845</c:v>
                      </c:pt>
                      <c:pt idx="4">
                        <c:v>4.2708884188260177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71-4356-9003-F9BD7A0D74E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Compilation!$A$14</c15:sqref>
                        </c15:formulaRef>
                      </c:ext>
                    </c:extLst>
                    <c:strCache>
                      <c:ptCount val="1"/>
                      <c:pt idx="0">
                        <c:v>SiC/SiC SA-Tyrannohex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Compilation!$B$15:$B$21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200</c:v>
                      </c:pt>
                      <c:pt idx="1">
                        <c:v>500</c:v>
                      </c:pt>
                      <c:pt idx="2">
                        <c:v>800</c:v>
                      </c:pt>
                      <c:pt idx="3">
                        <c:v>1000</c:v>
                      </c:pt>
                      <c:pt idx="4">
                        <c:v>1200</c:v>
                      </c:pt>
                      <c:pt idx="5">
                        <c:v>1400</c:v>
                      </c:pt>
                      <c:pt idx="6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Compilation!$N$15:$N$21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4.5991107220849301</c:v>
                      </c:pt>
                      <c:pt idx="1">
                        <c:v>3.4531006191084042</c:v>
                      </c:pt>
                      <c:pt idx="2">
                        <c:v>2.7986274090420125</c:v>
                      </c:pt>
                      <c:pt idx="3">
                        <c:v>2.5372387482987935</c:v>
                      </c:pt>
                      <c:pt idx="4">
                        <c:v>2.3392073039867025</c:v>
                      </c:pt>
                      <c:pt idx="5">
                        <c:v>2.1668384337178028</c:v>
                      </c:pt>
                      <c:pt idx="6">
                        <c:v>2.2237608738325694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71-4356-9003-F9BD7A0D74E9}"/>
                  </c:ext>
                </c:extLst>
              </c15:ser>
            </c15:filteredScatterSeries>
          </c:ext>
        </c:extLst>
      </c:scatterChart>
      <c:valAx>
        <c:axId val="363991808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38636952141417896"/>
              <c:y val="0.93235222790133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0168"/>
        <c:crosses val="autoZero"/>
        <c:crossBetween val="midCat"/>
        <c:majorUnit val="500"/>
      </c:valAx>
      <c:valAx>
        <c:axId val="363990168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Thermal Stress Figure of Merit [kW/m]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3.8180548532350902E-3"/>
              <c:y val="9.97660818713450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180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32921288064802"/>
          <c:y val="4.2884990253411304E-2"/>
          <c:w val="0.75682132475376063"/>
          <c:h val="0.8151917852373716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Compilation!$A$79</c:f>
              <c:strCache>
                <c:ptCount val="1"/>
                <c:pt idx="0">
                  <c:v>14YWT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Compilation!$B$79:$B$83</c:f>
              <c:numCache>
                <c:formatCode>General</c:formatCode>
                <c:ptCount val="5"/>
                <c:pt idx="0">
                  <c:v>26</c:v>
                </c:pt>
                <c:pt idx="1">
                  <c:v>300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</c:numCache>
            </c:numRef>
          </c:xVal>
          <c:yVal>
            <c:numRef>
              <c:f>Compilation!$D$79:$D$83</c:f>
              <c:numCache>
                <c:formatCode>General</c:formatCode>
                <c:ptCount val="5"/>
                <c:pt idx="0">
                  <c:v>1563.5145663500002</c:v>
                </c:pt>
                <c:pt idx="1">
                  <c:v>1384.1661826000002</c:v>
                </c:pt>
                <c:pt idx="2">
                  <c:v>1134.9000000000001</c:v>
                </c:pt>
                <c:pt idx="3">
                  <c:v>782.89300000000003</c:v>
                </c:pt>
                <c:pt idx="4">
                  <c:v>507.99900000000002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F1-42F6-806E-D48ABB1F5712}"/>
            </c:ext>
          </c:extLst>
        </c:ser>
        <c:ser>
          <c:idx val="5"/>
          <c:order val="1"/>
          <c:tx>
            <c:strRef>
              <c:f>Sheet1!$A$51</c:f>
              <c:strCache>
                <c:ptCount val="1"/>
                <c:pt idx="0">
                  <c:v>RAFM F82H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Sheet1!$A$53:$A$65</c:f>
              <c:numCache>
                <c:formatCode>General</c:formatCode>
                <c:ptCount val="13"/>
                <c:pt idx="0">
                  <c:v>23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</c:numCache>
            </c:numRef>
          </c:xVal>
          <c:yVal>
            <c:numRef>
              <c:f>Sheet1!$B$53:$B$65</c:f>
              <c:numCache>
                <c:formatCode>General</c:formatCode>
                <c:ptCount val="13"/>
                <c:pt idx="0">
                  <c:v>669</c:v>
                </c:pt>
                <c:pt idx="1">
                  <c:v>645</c:v>
                </c:pt>
                <c:pt idx="2">
                  <c:v>624</c:v>
                </c:pt>
                <c:pt idx="3">
                  <c:v>579</c:v>
                </c:pt>
                <c:pt idx="4">
                  <c:v>548</c:v>
                </c:pt>
                <c:pt idx="5">
                  <c:v>532.27436534178503</c:v>
                </c:pt>
                <c:pt idx="6">
                  <c:v>517</c:v>
                </c:pt>
                <c:pt idx="7">
                  <c:v>493</c:v>
                </c:pt>
                <c:pt idx="8">
                  <c:v>463</c:v>
                </c:pt>
                <c:pt idx="9">
                  <c:v>420</c:v>
                </c:pt>
                <c:pt idx="10">
                  <c:v>368</c:v>
                </c:pt>
                <c:pt idx="11">
                  <c:v>307</c:v>
                </c:pt>
                <c:pt idx="12">
                  <c:v>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F1-42F6-806E-D48ABB1F5712}"/>
            </c:ext>
          </c:extLst>
        </c:ser>
        <c:ser>
          <c:idx val="2"/>
          <c:order val="2"/>
          <c:tx>
            <c:strRef>
              <c:f>Compilation!$A$25</c:f>
              <c:strCache>
                <c:ptCount val="1"/>
                <c:pt idx="0">
                  <c:v>V-4Cr-4Ti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Compilation!$B$25:$B$34</c:f>
              <c:numCache>
                <c:formatCode>General</c:formatCode>
                <c:ptCount val="10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750</c:v>
                </c:pt>
                <c:pt idx="9">
                  <c:v>800</c:v>
                </c:pt>
              </c:numCache>
            </c:numRef>
          </c:xVal>
          <c:yVal>
            <c:numRef>
              <c:f>Compilation!$D$25:$D$34</c:f>
              <c:numCache>
                <c:formatCode>General</c:formatCode>
                <c:ptCount val="10"/>
                <c:pt idx="0">
                  <c:v>425</c:v>
                </c:pt>
                <c:pt idx="1">
                  <c:v>400</c:v>
                </c:pt>
                <c:pt idx="2">
                  <c:v>360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365</c:v>
                </c:pt>
                <c:pt idx="7">
                  <c:v>390</c:v>
                </c:pt>
                <c:pt idx="8">
                  <c:v>390</c:v>
                </c:pt>
                <c:pt idx="9">
                  <c:v>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BF1-42F6-806E-D48ABB1F5712}"/>
            </c:ext>
          </c:extLst>
        </c:ser>
        <c:ser>
          <c:idx val="0"/>
          <c:order val="3"/>
          <c:tx>
            <c:v>Tungsten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Compilation!$B$113:$B$120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</c:numCache>
            </c:numRef>
          </c:xVal>
          <c:yVal>
            <c:numRef>
              <c:f>Compilation!$D$113:$D$120</c:f>
              <c:numCache>
                <c:formatCode>General</c:formatCode>
                <c:ptCount val="8"/>
                <c:pt idx="0">
                  <c:v>379.20328999999998</c:v>
                </c:pt>
                <c:pt idx="1">
                  <c:v>376.90431999999998</c:v>
                </c:pt>
                <c:pt idx="2">
                  <c:v>362.73055999999997</c:v>
                </c:pt>
                <c:pt idx="3">
                  <c:v>337.84064000000001</c:v>
                </c:pt>
                <c:pt idx="4">
                  <c:v>304.69647999999995</c:v>
                </c:pt>
                <c:pt idx="5">
                  <c:v>265.76</c:v>
                </c:pt>
                <c:pt idx="6">
                  <c:v>244.88898999999995</c:v>
                </c:pt>
                <c:pt idx="7">
                  <c:v>223.49311999999992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1-42F6-806E-D48ABB1F5712}"/>
            </c:ext>
          </c:extLst>
        </c:ser>
        <c:ser>
          <c:idx val="4"/>
          <c:order val="4"/>
          <c:tx>
            <c:strRef>
              <c:f>Compilation!$A$14</c:f>
              <c:strCache>
                <c:ptCount val="1"/>
                <c:pt idx="0">
                  <c:v>SiC/SiC SA-Tyrannohex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Compilation!$B$14:$B$24</c:f>
              <c:numCache>
                <c:formatCode>General</c:formatCode>
                <c:ptCount val="11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</c:numCache>
            </c:numRef>
          </c:xVal>
          <c:yVal>
            <c:numRef>
              <c:f>Compilation!$D$14:$D$24</c:f>
              <c:numCache>
                <c:formatCode>General</c:formatCode>
                <c:ptCount val="11"/>
                <c:pt idx="0">
                  <c:v>265</c:v>
                </c:pt>
                <c:pt idx="1">
                  <c:v>265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  <c:pt idx="5">
                  <c:v>265</c:v>
                </c:pt>
                <c:pt idx="6">
                  <c:v>263</c:v>
                </c:pt>
                <c:pt idx="7">
                  <c:v>262</c:v>
                </c:pt>
                <c:pt idx="8">
                  <c:v>260</c:v>
                </c:pt>
                <c:pt idx="9">
                  <c:v>250</c:v>
                </c:pt>
                <c:pt idx="10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F1-42F6-806E-D48ABB1F5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91808"/>
        <c:axId val="363990168"/>
      </c:scatterChart>
      <c:valAx>
        <c:axId val="363991808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[C]</a:t>
                </a:r>
              </a:p>
            </c:rich>
          </c:tx>
          <c:layout>
            <c:manualLayout>
              <c:xMode val="edge"/>
              <c:yMode val="edge"/>
              <c:x val="0.43844636355939387"/>
              <c:y val="0.93235222790133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0168"/>
        <c:crosses val="autoZero"/>
        <c:crossBetween val="midCat"/>
        <c:majorUnit val="500"/>
      </c:valAx>
      <c:valAx>
        <c:axId val="363990168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Strength [MPa]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1.6050292100584201E-2"/>
              <c:y val="0.28605577811545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180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576976265063644"/>
          <c:y val="5.7989900385258863E-2"/>
          <c:w val="0.42179296136370048"/>
          <c:h val="0.24074534542831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171449</xdr:colOff>
      <xdr:row>17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569483-56E3-48C4-B267-F425F8DAA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0</xdr:row>
      <xdr:rowOff>0</xdr:rowOff>
    </xdr:from>
    <xdr:to>
      <xdr:col>15</xdr:col>
      <xdr:colOff>285749</xdr:colOff>
      <xdr:row>17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CFFC9-8C2B-4315-8308-ECEA85BBE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18</xdr:row>
      <xdr:rowOff>57150</xdr:rowOff>
    </xdr:from>
    <xdr:to>
      <xdr:col>12</xdr:col>
      <xdr:colOff>469900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71CC21-E6AA-4084-BEEE-C12C0E0AE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18</xdr:col>
      <xdr:colOff>450850</xdr:colOff>
      <xdr:row>35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277B45-7D50-4F94-99F9-10472E4C1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18</xdr:row>
      <xdr:rowOff>0</xdr:rowOff>
    </xdr:from>
    <xdr:to>
      <xdr:col>24</xdr:col>
      <xdr:colOff>450850</xdr:colOff>
      <xdr:row>35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620F2E-FD17-4F2D-8C37-CEE6D3CE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22</xdr:col>
      <xdr:colOff>495300</xdr:colOff>
      <xdr:row>17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48AFBD-02D5-4930-8DE8-029378848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29</xdr:col>
      <xdr:colOff>495300</xdr:colOff>
      <xdr:row>17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218B7E-8BE8-4E44-9812-9D53E93A6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18</xdr:row>
      <xdr:rowOff>0</xdr:rowOff>
    </xdr:from>
    <xdr:to>
      <xdr:col>30</xdr:col>
      <xdr:colOff>450850</xdr:colOff>
      <xdr:row>35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137025C-9526-42CA-9CCB-621C4D321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35</xdr:col>
      <xdr:colOff>495300</xdr:colOff>
      <xdr:row>17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7FC7200-8128-46CF-BBC8-6BA8EEF53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18</xdr:row>
      <xdr:rowOff>0</xdr:rowOff>
    </xdr:from>
    <xdr:to>
      <xdr:col>36</xdr:col>
      <xdr:colOff>450850</xdr:colOff>
      <xdr:row>35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82E7F61-C912-412E-B0E3-9FFEBB526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558800</xdr:colOff>
      <xdr:row>1</xdr:row>
      <xdr:rowOff>0</xdr:rowOff>
    </xdr:from>
    <xdr:to>
      <xdr:col>26</xdr:col>
      <xdr:colOff>203200</xdr:colOff>
      <xdr:row>38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636ED-AF2A-4802-8A5D-11EE23DFF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222250</xdr:colOff>
      <xdr:row>41</xdr:row>
      <xdr:rowOff>63500</xdr:rowOff>
    </xdr:from>
    <xdr:to>
      <xdr:col>26</xdr:col>
      <xdr:colOff>476250</xdr:colOff>
      <xdr:row>62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59E0FB-FA1E-4D46-B633-36EE24B6E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209550</xdr:colOff>
      <xdr:row>64</xdr:row>
      <xdr:rowOff>82550</xdr:rowOff>
    </xdr:from>
    <xdr:to>
      <xdr:col>26</xdr:col>
      <xdr:colOff>463550</xdr:colOff>
      <xdr:row>90</xdr:row>
      <xdr:rowOff>6350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4AE199DC-F78B-44FA-878E-9E4BD3FB2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34</xdr:col>
      <xdr:colOff>247650</xdr:colOff>
      <xdr:row>38</xdr:row>
      <xdr:rowOff>120650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1937004D-F25E-4E23-890C-1B9C92E23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14</xdr:col>
      <xdr:colOff>341312</xdr:colOff>
      <xdr:row>0</xdr:row>
      <xdr:rowOff>22225</xdr:rowOff>
    </xdr:from>
    <xdr:ext cx="1328478" cy="4271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60439B3-2B07-44F4-BA6A-859C3BB49234}"/>
                </a:ext>
              </a:extLst>
            </xdr:cNvPr>
            <xdr:cNvSpPr txBox="1"/>
          </xdr:nvSpPr>
          <xdr:spPr>
            <a:xfrm>
              <a:off x="7929562" y="22225"/>
              <a:ext cx="1328478" cy="427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𝑀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𝜎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𝐾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𝜈</m:t>
                            </m:r>
                          </m:e>
                        </m:d>
                      </m:num>
                      <m:den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𝛼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𝐸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60439B3-2B07-44F4-BA6A-859C3BB49234}"/>
                </a:ext>
              </a:extLst>
            </xdr:cNvPr>
            <xdr:cNvSpPr txBox="1"/>
          </xdr:nvSpPr>
          <xdr:spPr>
            <a:xfrm>
              <a:off x="7929562" y="22225"/>
              <a:ext cx="1328478" cy="427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𝑀=</a:t>
              </a:r>
              <a:r>
                <a:rPr lang="en-US" sz="1100" b="0" i="0">
                  <a:latin typeface="Cambria Math"/>
                  <a:ea typeface="Cambria Math"/>
                </a:rPr>
                <a:t>𝜎𝐾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(</a:t>
              </a:r>
              <a:r>
                <a:rPr lang="en-US" sz="1100" b="0" i="0">
                  <a:latin typeface="Cambria Math"/>
                  <a:ea typeface="Cambria Math"/>
                </a:rPr>
                <a:t>1−𝜈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)/</a:t>
              </a:r>
              <a:r>
                <a:rPr lang="en-US" sz="1100" b="0" i="0">
                  <a:latin typeface="Cambria Math"/>
                  <a:ea typeface="Cambria Math"/>
                </a:rPr>
                <a:t>𝛼𝐸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18</xdr:col>
      <xdr:colOff>44450</xdr:colOff>
      <xdr:row>91</xdr:row>
      <xdr:rowOff>44450</xdr:rowOff>
    </xdr:from>
    <xdr:to>
      <xdr:col>26</xdr:col>
      <xdr:colOff>463550</xdr:colOff>
      <xdr:row>122</xdr:row>
      <xdr:rowOff>95250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139FB3D6-FF85-4402-B273-3AD7BEFE6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-1</xdr:colOff>
      <xdr:row>40</xdr:row>
      <xdr:rowOff>1</xdr:rowOff>
    </xdr:from>
    <xdr:to>
      <xdr:col>35</xdr:col>
      <xdr:colOff>308428</xdr:colOff>
      <xdr:row>75</xdr:row>
      <xdr:rowOff>18142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4D6432-67A7-4D5F-A091-EE47403E9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0.32574</cdr:x>
      <cdr:y>0.71918</cdr:y>
    </cdr:from>
    <cdr:to>
      <cdr:x>0.46079</cdr:x>
      <cdr:y>0.74446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6B530B32-2192-47B5-9DC5-D267514832F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8004" y="4431757"/>
          <a:ext cx="608628" cy="155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Arial"/>
              <a:cs typeface="Arial"/>
            </a:rPr>
            <a:t>Alloy 800H</a:t>
          </a:r>
        </a:p>
      </cdr:txBody>
    </cdr:sp>
  </cdr:relSizeAnchor>
  <cdr:relSizeAnchor xmlns:cdr="http://schemas.openxmlformats.org/drawingml/2006/chartDrawing">
    <cdr:from>
      <cdr:x>0.74547</cdr:x>
      <cdr:y>0.69217</cdr:y>
    </cdr:from>
    <cdr:to>
      <cdr:x>0.93885</cdr:x>
      <cdr:y>0.73618</cdr:y>
    </cdr:to>
    <cdr:sp macro="" textlink="">
      <cdr:nvSpPr>
        <cdr:cNvPr id="2052" name="Text Box 4">
          <a:extLst xmlns:a="http://schemas.openxmlformats.org/drawingml/2006/main">
            <a:ext uri="{FF2B5EF4-FFF2-40B4-BE49-F238E27FC236}">
              <a16:creationId xmlns:a16="http://schemas.microsoft.com/office/drawing/2014/main" id="{C2D1B324-BFF1-4D06-BE86-4BBC9E6C51A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9599" y="4265315"/>
          <a:ext cx="871521" cy="2711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FF6600"/>
              </a:solidFill>
              <a:latin typeface="Arial"/>
              <a:cs typeface="Arial"/>
            </a:rPr>
            <a:t>SiC Composite </a:t>
          </a:r>
        </a:p>
        <a:p xmlns:a="http://schemas.openxmlformats.org/drawingml/2006/main">
          <a:pPr algn="l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FF6600"/>
              </a:solidFill>
              <a:latin typeface="Arial"/>
              <a:cs typeface="Arial"/>
            </a:rPr>
            <a:t>SA-Tyrannohex</a:t>
          </a:r>
        </a:p>
      </cdr:txBody>
    </cdr:sp>
  </cdr:relSizeAnchor>
  <cdr:relSizeAnchor xmlns:cdr="http://schemas.openxmlformats.org/drawingml/2006/chartDrawing">
    <cdr:from>
      <cdr:x>0.74547</cdr:x>
      <cdr:y>0.81346</cdr:y>
    </cdr:from>
    <cdr:to>
      <cdr:x>0.95163</cdr:x>
      <cdr:y>0.85746</cdr:y>
    </cdr:to>
    <cdr:sp macro="" textlink="">
      <cdr:nvSpPr>
        <cdr:cNvPr id="2053" name="Text Box 5">
          <a:extLst xmlns:a="http://schemas.openxmlformats.org/drawingml/2006/main">
            <a:ext uri="{FF2B5EF4-FFF2-40B4-BE49-F238E27FC236}">
              <a16:creationId xmlns:a16="http://schemas.microsoft.com/office/drawing/2014/main" id="{AE70E52C-C0FB-4E15-A184-8939361ECDD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9599" y="5012706"/>
          <a:ext cx="929100" cy="2711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808000"/>
              </a:solidFill>
              <a:latin typeface="Arial"/>
              <a:cs typeface="Arial"/>
            </a:rPr>
            <a:t>SiC Composite</a:t>
          </a:r>
        </a:p>
        <a:p xmlns:a="http://schemas.openxmlformats.org/drawingml/2006/main">
          <a:pPr algn="l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808000"/>
              </a:solidFill>
              <a:latin typeface="Arial"/>
              <a:cs typeface="Arial"/>
            </a:rPr>
            <a:t>Hi-Nicalon-S CVI</a:t>
          </a:r>
        </a:p>
      </cdr:txBody>
    </cdr:sp>
  </cdr:relSizeAnchor>
  <cdr:relSizeAnchor xmlns:cdr="http://schemas.openxmlformats.org/drawingml/2006/chartDrawing">
    <cdr:from>
      <cdr:x>0.15736</cdr:x>
      <cdr:y>0.55444</cdr:y>
    </cdr:from>
    <cdr:to>
      <cdr:x>0.20559</cdr:x>
      <cdr:y>0.57971</cdr:y>
    </cdr:to>
    <cdr:sp macro="" textlink="">
      <cdr:nvSpPr>
        <cdr:cNvPr id="2055" name="Text Box 7">
          <a:extLst xmlns:a="http://schemas.openxmlformats.org/drawingml/2006/main">
            <a:ext uri="{FF2B5EF4-FFF2-40B4-BE49-F238E27FC236}">
              <a16:creationId xmlns:a16="http://schemas.microsoft.com/office/drawing/2014/main" id="{5A2FD720-D608-41F3-8B81-C5BC915DEB4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9159" y="3416556"/>
          <a:ext cx="217367" cy="155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80"/>
              </a:solidFill>
              <a:latin typeface="Arial"/>
              <a:cs typeface="Arial"/>
            </a:rPr>
            <a:t>T91</a:t>
          </a:r>
        </a:p>
      </cdr:txBody>
    </cdr:sp>
  </cdr:relSizeAnchor>
  <cdr:relSizeAnchor xmlns:cdr="http://schemas.openxmlformats.org/drawingml/2006/chartDrawing">
    <cdr:from>
      <cdr:x>0.45961</cdr:x>
      <cdr:y>0.62711</cdr:y>
    </cdr:from>
    <cdr:to>
      <cdr:x>0.57616</cdr:x>
      <cdr:y>0.65239</cdr:y>
    </cdr:to>
    <cdr:sp macro="" textlink="">
      <cdr:nvSpPr>
        <cdr:cNvPr id="2056" name="Text Box 8">
          <a:extLst xmlns:a="http://schemas.openxmlformats.org/drawingml/2006/main">
            <a:ext uri="{FF2B5EF4-FFF2-40B4-BE49-F238E27FC236}">
              <a16:creationId xmlns:a16="http://schemas.microsoft.com/office/drawing/2014/main" id="{A39CC4C5-85EF-4334-9BA2-934594D35C1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71311" y="3864401"/>
          <a:ext cx="525272" cy="155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800080"/>
              </a:solidFill>
              <a:latin typeface="Arial"/>
              <a:cs typeface="Arial"/>
            </a:rPr>
            <a:t>Alloy 617</a:t>
          </a:r>
        </a:p>
      </cdr:txBody>
    </cdr:sp>
  </cdr:relSizeAnchor>
  <cdr:relSizeAnchor xmlns:cdr="http://schemas.openxmlformats.org/drawingml/2006/chartDrawing">
    <cdr:from>
      <cdr:x>0.7073</cdr:x>
      <cdr:y>0.59127</cdr:y>
    </cdr:from>
    <cdr:to>
      <cdr:x>0.94049</cdr:x>
      <cdr:y>0.63319</cdr:y>
    </cdr:to>
    <cdr:sp macro="" textlink="">
      <cdr:nvSpPr>
        <cdr:cNvPr id="2057" name="Text Box 9">
          <a:extLst xmlns:a="http://schemas.openxmlformats.org/drawingml/2006/main">
            <a:ext uri="{FF2B5EF4-FFF2-40B4-BE49-F238E27FC236}">
              <a16:creationId xmlns:a16="http://schemas.microsoft.com/office/drawing/2014/main" id="{C1686A4D-D0C5-4920-AC48-9AFCF960826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87579" y="3643511"/>
          <a:ext cx="1050929" cy="2583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FF00FF"/>
              </a:solidFill>
              <a:latin typeface="Arial"/>
              <a:cs typeface="Arial"/>
            </a:rPr>
            <a:t>Carbon Composite</a:t>
          </a:r>
        </a:p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en-US" sz="900" b="1" i="0" u="none" strike="noStrike" baseline="0">
              <a:solidFill>
                <a:srgbClr val="FF00FF"/>
              </a:solidFill>
              <a:latin typeface="Arial"/>
              <a:cs typeface="Arial"/>
            </a:rPr>
            <a:t>SGL YR-1501G</a:t>
          </a:r>
        </a:p>
      </cdr:txBody>
    </cdr:sp>
  </cdr:relSizeAnchor>
  <cdr:relSizeAnchor xmlns:cdr="http://schemas.openxmlformats.org/drawingml/2006/chartDrawing">
    <cdr:from>
      <cdr:x>0.19724</cdr:x>
      <cdr:y>0.65633</cdr:y>
    </cdr:from>
    <cdr:to>
      <cdr:x>0.31518</cdr:x>
      <cdr:y>0.68161</cdr:y>
    </cdr:to>
    <cdr:sp macro="" textlink="">
      <cdr:nvSpPr>
        <cdr:cNvPr id="2058" name="Text Box 10">
          <a:extLst xmlns:a="http://schemas.openxmlformats.org/drawingml/2006/main">
            <a:ext uri="{FF2B5EF4-FFF2-40B4-BE49-F238E27FC236}">
              <a16:creationId xmlns:a16="http://schemas.microsoft.com/office/drawing/2014/main" id="{292BE11B-601A-4F5A-9013-800CE5755D0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8917" y="4044461"/>
          <a:ext cx="531492" cy="155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8000"/>
              </a:solidFill>
              <a:latin typeface="Arial"/>
              <a:cs typeface="Arial"/>
            </a:rPr>
            <a:t>V-4Cr-4Ti</a:t>
          </a:r>
        </a:p>
      </cdr:txBody>
    </cdr:sp>
  </cdr:relSizeAnchor>
  <cdr:relSizeAnchor xmlns:cdr="http://schemas.openxmlformats.org/drawingml/2006/chartDrawing">
    <cdr:from>
      <cdr:x>0.28144</cdr:x>
      <cdr:y>0.16896</cdr:y>
    </cdr:from>
    <cdr:to>
      <cdr:x>0.37094</cdr:x>
      <cdr:y>0.19423</cdr:y>
    </cdr:to>
    <cdr:sp macro="" textlink="">
      <cdr:nvSpPr>
        <cdr:cNvPr id="2059" name="Text Box 11">
          <a:extLst xmlns:a="http://schemas.openxmlformats.org/drawingml/2006/main">
            <a:ext uri="{FF2B5EF4-FFF2-40B4-BE49-F238E27FC236}">
              <a16:creationId xmlns:a16="http://schemas.microsoft.com/office/drawing/2014/main" id="{9667B306-6D46-4B44-AFA0-585533EF836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68372" y="1041158"/>
          <a:ext cx="403316" cy="155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14YWT</a:t>
          </a:r>
        </a:p>
      </cdr:txBody>
    </cdr:sp>
  </cdr:relSizeAnchor>
  <cdr:relSizeAnchor xmlns:cdr="http://schemas.openxmlformats.org/drawingml/2006/chartDrawing">
    <cdr:from>
      <cdr:x>0.18697</cdr:x>
      <cdr:y>0.75723</cdr:y>
    </cdr:from>
    <cdr:to>
      <cdr:x>0.25368</cdr:x>
      <cdr:y>0.7825</cdr:y>
    </cdr:to>
    <cdr:sp macro="" textlink="">
      <cdr:nvSpPr>
        <cdr:cNvPr id="2060" name="Text Box 12">
          <a:extLst xmlns:a="http://schemas.openxmlformats.org/drawingml/2006/main">
            <a:ext uri="{FF2B5EF4-FFF2-40B4-BE49-F238E27FC236}">
              <a16:creationId xmlns:a16="http://schemas.microsoft.com/office/drawing/2014/main" id="{F96E49DC-5084-4F03-A4B7-ED9F2595EDD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608" y="4666204"/>
          <a:ext cx="300660" cy="155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CCFF"/>
              </a:solidFill>
              <a:latin typeface="Arial"/>
              <a:cs typeface="Arial"/>
            </a:rPr>
            <a:t>Zry-4</a:t>
          </a:r>
        </a:p>
      </cdr:txBody>
    </cdr:sp>
  </cdr:relSizeAnchor>
  <cdr:relSizeAnchor xmlns:cdr="http://schemas.openxmlformats.org/drawingml/2006/chartDrawing">
    <cdr:from>
      <cdr:x>0.46647</cdr:x>
      <cdr:y>0.57506</cdr:y>
    </cdr:from>
    <cdr:to>
      <cdr:x>0.52319</cdr:x>
      <cdr:y>0.60033</cdr:y>
    </cdr:to>
    <cdr:sp macro="" textlink="">
      <cdr:nvSpPr>
        <cdr:cNvPr id="2061" name="Text Box 13">
          <a:extLst xmlns:a="http://schemas.openxmlformats.org/drawingml/2006/main">
            <a:ext uri="{FF2B5EF4-FFF2-40B4-BE49-F238E27FC236}">
              <a16:creationId xmlns:a16="http://schemas.microsoft.com/office/drawing/2014/main" id="{12A55508-C985-4B11-A6D5-38935EA0831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2227" y="3543621"/>
          <a:ext cx="255647" cy="155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FF9900"/>
              </a:solidFill>
              <a:latin typeface="Arial"/>
              <a:cs typeface="Arial"/>
            </a:rPr>
            <a:t>TZM</a:t>
          </a:r>
        </a:p>
      </cdr:txBody>
    </cdr:sp>
  </cdr:relSizeAnchor>
  <cdr:relSizeAnchor xmlns:cdr="http://schemas.openxmlformats.org/drawingml/2006/chartDrawing">
    <cdr:from>
      <cdr:x>0.55825</cdr:x>
      <cdr:y>0.81174</cdr:y>
    </cdr:from>
    <cdr:to>
      <cdr:x>0.68869</cdr:x>
      <cdr:y>0.87852</cdr:y>
    </cdr:to>
    <cdr:sp macro="" textlink="">
      <cdr:nvSpPr>
        <cdr:cNvPr id="2062" name="Text Box 14">
          <a:extLst xmlns:a="http://schemas.openxmlformats.org/drawingml/2006/main">
            <a:ext uri="{FF2B5EF4-FFF2-40B4-BE49-F238E27FC236}">
              <a16:creationId xmlns:a16="http://schemas.microsoft.com/office/drawing/2014/main" id="{808C4BCD-C0B2-40A1-A8E3-4F522E89004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26681" y="4310075"/>
          <a:ext cx="590181" cy="352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339966"/>
              </a:solidFill>
              <a:latin typeface="Arial"/>
              <a:cs typeface="Arial"/>
            </a:rPr>
            <a:t>Alumina Composite</a:t>
          </a:r>
        </a:p>
      </cdr:txBody>
    </cdr:sp>
  </cdr:relSizeAnchor>
  <cdr:relSizeAnchor xmlns:cdr="http://schemas.openxmlformats.org/drawingml/2006/chartDrawing">
    <cdr:from>
      <cdr:x>0.31497</cdr:x>
      <cdr:y>0.84243</cdr:y>
    </cdr:from>
    <cdr:to>
      <cdr:x>0.42437</cdr:x>
      <cdr:y>0.8677</cdr:y>
    </cdr:to>
    <cdr:sp macro="" textlink="">
      <cdr:nvSpPr>
        <cdr:cNvPr id="2063" name="Text Box 15">
          <a:extLst xmlns:a="http://schemas.openxmlformats.org/drawingml/2006/main">
            <a:ext uri="{FF2B5EF4-FFF2-40B4-BE49-F238E27FC236}">
              <a16:creationId xmlns:a16="http://schemas.microsoft.com/office/drawing/2014/main" id="{6A7C5A57-E0A0-40D9-92D0-70FFF2DF4D6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19486" y="5191225"/>
          <a:ext cx="493020" cy="155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808080"/>
              </a:solidFill>
              <a:latin typeface="Arial"/>
              <a:cs typeface="Arial"/>
            </a:rPr>
            <a:t>Graphite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0.32941</cdr:x>
      <cdr:y>0.29564</cdr:y>
    </cdr:from>
    <cdr:to>
      <cdr:x>0.38374</cdr:x>
      <cdr:y>0.34654</cdr:y>
    </cdr:to>
    <cdr:sp macro="" textlink="">
      <cdr:nvSpPr>
        <cdr:cNvPr id="9217" name="Text Box 1">
          <a:extLst xmlns:a="http://schemas.openxmlformats.org/drawingml/2006/main">
            <a:ext uri="{FF2B5EF4-FFF2-40B4-BE49-F238E27FC236}">
              <a16:creationId xmlns:a16="http://schemas.microsoft.com/office/drawing/2014/main" id="{CD4DEE16-85B5-4CEE-9ECF-F36C7CDC419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5142" y="1011857"/>
          <a:ext cx="244939" cy="1742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T91</a:t>
          </a:r>
        </a:p>
      </cdr:txBody>
    </cdr:sp>
  </cdr:relSizeAnchor>
  <cdr:relSizeAnchor xmlns:cdr="http://schemas.openxmlformats.org/drawingml/2006/chartDrawing">
    <cdr:from>
      <cdr:x>0.15955</cdr:x>
      <cdr:y>0.47837</cdr:y>
    </cdr:from>
    <cdr:to>
      <cdr:x>0.30462</cdr:x>
      <cdr:y>0.52927</cdr:y>
    </cdr:to>
    <cdr:sp macro="" textlink="">
      <cdr:nvSpPr>
        <cdr:cNvPr id="9218" name="Text Box 2">
          <a:extLst xmlns:a="http://schemas.openxmlformats.org/drawingml/2006/main">
            <a:ext uri="{FF2B5EF4-FFF2-40B4-BE49-F238E27FC236}">
              <a16:creationId xmlns:a16="http://schemas.microsoft.com/office/drawing/2014/main" id="{0770AB7B-36BE-4EDA-B821-972F5A4B385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9342" y="1637302"/>
          <a:ext cx="654025" cy="1742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25" b="0" i="0" u="none" strike="noStrike" baseline="0">
              <a:solidFill>
                <a:srgbClr val="0000FF"/>
              </a:solidFill>
              <a:latin typeface="Arial"/>
              <a:cs typeface="Arial"/>
            </a:rPr>
            <a:t>Alloy 800H</a:t>
          </a:r>
        </a:p>
      </cdr:txBody>
    </cdr:sp>
  </cdr:relSizeAnchor>
  <cdr:relSizeAnchor xmlns:cdr="http://schemas.openxmlformats.org/drawingml/2006/chartDrawing">
    <cdr:from>
      <cdr:x>0.36611</cdr:x>
      <cdr:y>0.5537</cdr:y>
    </cdr:from>
    <cdr:to>
      <cdr:x>0.49655</cdr:x>
      <cdr:y>0.6046</cdr:y>
    </cdr:to>
    <cdr:sp macro="" textlink="">
      <cdr:nvSpPr>
        <cdr:cNvPr id="9219" name="Text Box 3">
          <a:extLst xmlns:a="http://schemas.openxmlformats.org/drawingml/2006/main">
            <a:ext uri="{FF2B5EF4-FFF2-40B4-BE49-F238E27FC236}">
              <a16:creationId xmlns:a16="http://schemas.microsoft.com/office/drawing/2014/main" id="{4E5C44B1-CF16-41BF-ACE9-5E8472F8A15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629" y="1895120"/>
          <a:ext cx="588046" cy="1742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25" b="0" i="0" u="none" strike="noStrike" baseline="0">
              <a:solidFill>
                <a:srgbClr val="008000"/>
              </a:solidFill>
              <a:latin typeface="Arial"/>
              <a:cs typeface="Arial"/>
            </a:rPr>
            <a:t>V-4Cr-4Ti</a:t>
          </a:r>
        </a:p>
      </cdr:txBody>
    </cdr:sp>
  </cdr:relSizeAnchor>
  <cdr:relSizeAnchor xmlns:cdr="http://schemas.openxmlformats.org/drawingml/2006/chartDrawing">
    <cdr:from>
      <cdr:x>0.66839</cdr:x>
      <cdr:y>0.40863</cdr:y>
    </cdr:from>
    <cdr:to>
      <cdr:x>0.87504</cdr:x>
      <cdr:y>0.45953</cdr:y>
    </cdr:to>
    <cdr:sp macro="" textlink="">
      <cdr:nvSpPr>
        <cdr:cNvPr id="9220" name="Text Box 4">
          <a:extLst xmlns:a="http://schemas.openxmlformats.org/drawingml/2006/main">
            <a:ext uri="{FF2B5EF4-FFF2-40B4-BE49-F238E27FC236}">
              <a16:creationId xmlns:a16="http://schemas.microsoft.com/office/drawing/2014/main" id="{803B2336-5B77-46CD-A522-A7F242A4785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3436" y="1398597"/>
          <a:ext cx="931665" cy="1742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25" b="0" i="0" u="none" strike="noStrike" baseline="0">
              <a:solidFill>
                <a:srgbClr val="FF6600"/>
              </a:solidFill>
              <a:latin typeface="Arial"/>
              <a:cs typeface="Arial"/>
            </a:rPr>
            <a:t>SA-Tyrannohex</a:t>
          </a:r>
        </a:p>
      </cdr:txBody>
    </cdr:sp>
  </cdr:relSizeAnchor>
  <cdr:relSizeAnchor xmlns:cdr="http://schemas.openxmlformats.org/drawingml/2006/chartDrawing">
    <cdr:from>
      <cdr:x>0.53548</cdr:x>
      <cdr:y>0.67132</cdr:y>
    </cdr:from>
    <cdr:to>
      <cdr:x>0.73072</cdr:x>
      <cdr:y>0.72222</cdr:y>
    </cdr:to>
    <cdr:sp macro="" textlink="">
      <cdr:nvSpPr>
        <cdr:cNvPr id="9221" name="Text Box 5">
          <a:extLst xmlns:a="http://schemas.openxmlformats.org/drawingml/2006/main">
            <a:ext uri="{FF2B5EF4-FFF2-40B4-BE49-F238E27FC236}">
              <a16:creationId xmlns:a16="http://schemas.microsoft.com/office/drawing/2014/main" id="{DC7995C4-9451-410B-9774-610E5A6BD4A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14220" y="2297700"/>
          <a:ext cx="880241" cy="1742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25" b="0" i="0" u="none" strike="noStrike" baseline="0">
              <a:solidFill>
                <a:srgbClr val="FF0000"/>
              </a:solidFill>
              <a:latin typeface="Arial"/>
              <a:cs typeface="Arial"/>
            </a:rPr>
            <a:t>Hi-Nicalon CVI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0.60819</cdr:x>
      <cdr:y>0.60482</cdr:y>
    </cdr:from>
    <cdr:to>
      <cdr:x>0.8172</cdr:x>
      <cdr:y>0.64484</cdr:y>
    </cdr:to>
    <cdr:sp macro="" textlink="">
      <cdr:nvSpPr>
        <cdr:cNvPr id="25602" name="Text Box 2">
          <a:extLst xmlns:a="http://schemas.openxmlformats.org/drawingml/2006/main">
            <a:ext uri="{FF2B5EF4-FFF2-40B4-BE49-F238E27FC236}">
              <a16:creationId xmlns:a16="http://schemas.microsoft.com/office/drawing/2014/main" id="{413FAA62-D927-4DA8-9B40-8E9AC8C437B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017" y="2521625"/>
          <a:ext cx="942309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FF6600"/>
              </a:solidFill>
              <a:latin typeface="Arial"/>
              <a:cs typeface="Arial"/>
            </a:rPr>
            <a:t>SA-Tyrannohex</a:t>
          </a:r>
        </a:p>
      </cdr:txBody>
    </cdr:sp>
  </cdr:relSizeAnchor>
  <cdr:relSizeAnchor xmlns:cdr="http://schemas.openxmlformats.org/drawingml/2006/chartDrawing">
    <cdr:from>
      <cdr:x>0.45252</cdr:x>
      <cdr:y>0.099</cdr:y>
    </cdr:from>
    <cdr:to>
      <cdr:x>0.67541</cdr:x>
      <cdr:y>0.13902</cdr:y>
    </cdr:to>
    <cdr:sp macro="" textlink="">
      <cdr:nvSpPr>
        <cdr:cNvPr id="25607" name="Text Box 7">
          <a:extLst xmlns:a="http://schemas.openxmlformats.org/drawingml/2006/main">
            <a:ext uri="{FF2B5EF4-FFF2-40B4-BE49-F238E27FC236}">
              <a16:creationId xmlns:a16="http://schemas.microsoft.com/office/drawing/2014/main" id="{F521441A-B578-4E7D-9D75-2821B431D11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40186" y="412761"/>
          <a:ext cx="1004890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808000"/>
              </a:solidFill>
              <a:latin typeface="Arial"/>
              <a:cs typeface="Arial"/>
            </a:rPr>
            <a:t>Hi-Nicalon-S CVI</a:t>
          </a:r>
        </a:p>
      </cdr:txBody>
    </cdr:sp>
  </cdr:relSizeAnchor>
  <cdr:relSizeAnchor xmlns:cdr="http://schemas.openxmlformats.org/drawingml/2006/chartDrawing">
    <cdr:from>
      <cdr:x>0.19259</cdr:x>
      <cdr:y>0.47075</cdr:y>
    </cdr:from>
    <cdr:to>
      <cdr:x>0.42319</cdr:x>
      <cdr:y>0.51076</cdr:y>
    </cdr:to>
    <cdr:sp macro="" textlink="">
      <cdr:nvSpPr>
        <cdr:cNvPr id="25608" name="Text Box 8">
          <a:extLst xmlns:a="http://schemas.openxmlformats.org/drawingml/2006/main">
            <a:ext uri="{FF2B5EF4-FFF2-40B4-BE49-F238E27FC236}">
              <a16:creationId xmlns:a16="http://schemas.microsoft.com/office/drawing/2014/main" id="{0CD0BF70-DD39-40BA-A14F-FD08638DEF0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8291" y="1962648"/>
          <a:ext cx="1039644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FF"/>
              </a:solidFill>
              <a:latin typeface="Arial"/>
              <a:cs typeface="Arial"/>
            </a:rPr>
            <a:t>Tyranno-SA3 CVI</a:t>
          </a:r>
        </a:p>
      </cdr:txBody>
    </cdr:sp>
  </cdr:relSizeAnchor>
  <cdr:relSizeAnchor xmlns:cdr="http://schemas.openxmlformats.org/drawingml/2006/chartDrawing">
    <cdr:from>
      <cdr:x>0.15146</cdr:x>
      <cdr:y>0.45125</cdr:y>
    </cdr:from>
    <cdr:to>
      <cdr:x>0.31325</cdr:x>
      <cdr:y>0.45125</cdr:y>
    </cdr:to>
    <cdr:sp macro="" textlink="">
      <cdr:nvSpPr>
        <cdr:cNvPr id="25609" name="Line 9">
          <a:extLst xmlns:a="http://schemas.openxmlformats.org/drawingml/2006/main">
            <a:ext uri="{FF2B5EF4-FFF2-40B4-BE49-F238E27FC236}">
              <a16:creationId xmlns:a16="http://schemas.microsoft.com/office/drawing/2014/main" id="{BCA85216-327B-467B-9FD2-E6EA9C2718EF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681088" y="1719275"/>
          <a:ext cx="743474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stealth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0.63022</cdr:x>
      <cdr:y>0.25282</cdr:y>
    </cdr:from>
    <cdr:to>
      <cdr:x>0.84095</cdr:x>
      <cdr:y>0.25282</cdr:y>
    </cdr:to>
    <cdr:sp macro="" textlink="">
      <cdr:nvSpPr>
        <cdr:cNvPr id="25610" name="Line 10">
          <a:extLst xmlns:a="http://schemas.openxmlformats.org/drawingml/2006/main">
            <a:ext uri="{FF2B5EF4-FFF2-40B4-BE49-F238E27FC236}">
              <a16:creationId xmlns:a16="http://schemas.microsoft.com/office/drawing/2014/main" id="{3F7A88A2-DA35-4938-8367-15A9057660B1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877110" y="964178"/>
          <a:ext cx="96429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stealth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0.15146</cdr:x>
      <cdr:y>0.34593</cdr:y>
    </cdr:from>
    <cdr:to>
      <cdr:x>0.38154</cdr:x>
      <cdr:y>0.34593</cdr:y>
    </cdr:to>
    <cdr:sp macro="" textlink="">
      <cdr:nvSpPr>
        <cdr:cNvPr id="25611" name="Line 11">
          <a:extLst xmlns:a="http://schemas.openxmlformats.org/drawingml/2006/main">
            <a:ext uri="{FF2B5EF4-FFF2-40B4-BE49-F238E27FC236}">
              <a16:creationId xmlns:a16="http://schemas.microsoft.com/office/drawing/2014/main" id="{F16C39F0-CE82-4505-B1CF-8E82EAEE49C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1088" y="1319847"/>
          <a:ext cx="105528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stealth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</cdr:x>
      <cdr:y>0.51075</cdr:y>
    </cdr:from>
    <cdr:to>
      <cdr:x>0.57518</cdr:x>
      <cdr:y>0.53602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1BF0DB17-4DF2-4CE0-B670-FECBC4A3DC8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80925" y="3147329"/>
          <a:ext cx="608628" cy="155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Arial"/>
              <a:cs typeface="Arial"/>
            </a:rPr>
            <a:t>Alloy 800H</a:t>
          </a:r>
        </a:p>
      </cdr:txBody>
    </cdr:sp>
  </cdr:relSizeAnchor>
  <cdr:relSizeAnchor xmlns:cdr="http://schemas.openxmlformats.org/drawingml/2006/chartDrawing">
    <cdr:from>
      <cdr:x>0.75651</cdr:x>
      <cdr:y>0.33987</cdr:y>
    </cdr:from>
    <cdr:to>
      <cdr:x>0.95009</cdr:x>
      <cdr:y>0.38387</cdr:y>
    </cdr:to>
    <cdr:sp macro="" textlink="">
      <cdr:nvSpPr>
        <cdr:cNvPr id="2052" name="Text Box 4">
          <a:extLst xmlns:a="http://schemas.openxmlformats.org/drawingml/2006/main">
            <a:ext uri="{FF2B5EF4-FFF2-40B4-BE49-F238E27FC236}">
              <a16:creationId xmlns:a16="http://schemas.microsoft.com/office/drawing/2014/main" id="{7EEA1472-B1C0-4989-ADA9-4DCCF8A1018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05921" y="2094354"/>
          <a:ext cx="871521" cy="2711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FF6600"/>
              </a:solidFill>
              <a:latin typeface="Arial"/>
              <a:cs typeface="Arial"/>
            </a:rPr>
            <a:t>SiC Composite </a:t>
          </a:r>
        </a:p>
        <a:p xmlns:a="http://schemas.openxmlformats.org/drawingml/2006/main">
          <a:pPr algn="l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FF6600"/>
              </a:solidFill>
              <a:latin typeface="Arial"/>
              <a:cs typeface="Arial"/>
            </a:rPr>
            <a:t>SA-Tyrannohex</a:t>
          </a:r>
        </a:p>
      </cdr:txBody>
    </cdr:sp>
  </cdr:relSizeAnchor>
  <cdr:relSizeAnchor xmlns:cdr="http://schemas.openxmlformats.org/drawingml/2006/chartDrawing">
    <cdr:from>
      <cdr:x>0.74223</cdr:x>
      <cdr:y>0.54047</cdr:y>
    </cdr:from>
    <cdr:to>
      <cdr:x>0.9486</cdr:x>
      <cdr:y>0.58447</cdr:y>
    </cdr:to>
    <cdr:sp macro="" textlink="">
      <cdr:nvSpPr>
        <cdr:cNvPr id="2053" name="Text Box 5">
          <a:extLst xmlns:a="http://schemas.openxmlformats.org/drawingml/2006/main">
            <a:ext uri="{FF2B5EF4-FFF2-40B4-BE49-F238E27FC236}">
              <a16:creationId xmlns:a16="http://schemas.microsoft.com/office/drawing/2014/main" id="{8D9D8A63-7141-4C51-911F-71A7119DF86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41645" y="3330470"/>
          <a:ext cx="929100" cy="2711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808000"/>
              </a:solidFill>
              <a:latin typeface="Arial"/>
              <a:cs typeface="Arial"/>
            </a:rPr>
            <a:t>SiC Composite</a:t>
          </a:r>
        </a:p>
        <a:p xmlns:a="http://schemas.openxmlformats.org/drawingml/2006/main">
          <a:pPr algn="l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808000"/>
              </a:solidFill>
              <a:latin typeface="Arial"/>
              <a:cs typeface="Arial"/>
            </a:rPr>
            <a:t>Hi-Nicalon-S CVI</a:t>
          </a:r>
        </a:p>
      </cdr:txBody>
    </cdr:sp>
  </cdr:relSizeAnchor>
  <cdr:relSizeAnchor xmlns:cdr="http://schemas.openxmlformats.org/drawingml/2006/chartDrawing">
    <cdr:from>
      <cdr:x>0.26628</cdr:x>
      <cdr:y>0.28007</cdr:y>
    </cdr:from>
    <cdr:to>
      <cdr:x>0.31456</cdr:x>
      <cdr:y>0.30534</cdr:y>
    </cdr:to>
    <cdr:sp macro="" textlink="">
      <cdr:nvSpPr>
        <cdr:cNvPr id="2055" name="Text Box 7">
          <a:extLst xmlns:a="http://schemas.openxmlformats.org/drawingml/2006/main">
            <a:ext uri="{FF2B5EF4-FFF2-40B4-BE49-F238E27FC236}">
              <a16:creationId xmlns:a16="http://schemas.microsoft.com/office/drawing/2014/main" id="{F349B666-844D-478E-99B3-947E540407B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98839" y="1725842"/>
          <a:ext cx="217367" cy="155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80"/>
              </a:solidFill>
              <a:latin typeface="Arial"/>
              <a:cs typeface="Arial"/>
            </a:rPr>
            <a:t>T91</a:t>
          </a:r>
        </a:p>
      </cdr:txBody>
    </cdr:sp>
  </cdr:relSizeAnchor>
  <cdr:relSizeAnchor xmlns:cdr="http://schemas.openxmlformats.org/drawingml/2006/chartDrawing">
    <cdr:from>
      <cdr:x>0.50377</cdr:x>
      <cdr:y>0.40432</cdr:y>
    </cdr:from>
    <cdr:to>
      <cdr:x>0.62044</cdr:x>
      <cdr:y>0.4296</cdr:y>
    </cdr:to>
    <cdr:sp macro="" textlink="">
      <cdr:nvSpPr>
        <cdr:cNvPr id="2056" name="Text Box 8">
          <a:extLst xmlns:a="http://schemas.openxmlformats.org/drawingml/2006/main">
            <a:ext uri="{FF2B5EF4-FFF2-40B4-BE49-F238E27FC236}">
              <a16:creationId xmlns:a16="http://schemas.microsoft.com/office/drawing/2014/main" id="{FAE44984-E2A3-4D22-9DFB-C615344FC33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68058" y="2491535"/>
          <a:ext cx="525272" cy="155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800080"/>
              </a:solidFill>
              <a:latin typeface="Arial"/>
              <a:cs typeface="Arial"/>
            </a:rPr>
            <a:t>Alloy 617</a:t>
          </a:r>
        </a:p>
      </cdr:txBody>
    </cdr:sp>
  </cdr:relSizeAnchor>
  <cdr:relSizeAnchor xmlns:cdr="http://schemas.openxmlformats.org/drawingml/2006/chartDrawing">
    <cdr:from>
      <cdr:x>0.71298</cdr:x>
      <cdr:y>0.25741</cdr:y>
    </cdr:from>
    <cdr:to>
      <cdr:x>0.94641</cdr:x>
      <cdr:y>0.30141</cdr:y>
    </cdr:to>
    <cdr:sp macro="" textlink="">
      <cdr:nvSpPr>
        <cdr:cNvPr id="2057" name="Text Box 9">
          <a:extLst xmlns:a="http://schemas.openxmlformats.org/drawingml/2006/main">
            <a:ext uri="{FF2B5EF4-FFF2-40B4-BE49-F238E27FC236}">
              <a16:creationId xmlns:a16="http://schemas.microsoft.com/office/drawing/2014/main" id="{DE7A844D-1CAB-4B6D-B86F-B03CC609294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09931" y="1586206"/>
          <a:ext cx="1050929" cy="2711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FF00FF"/>
              </a:solidFill>
              <a:latin typeface="Arial"/>
              <a:cs typeface="Arial"/>
            </a:rPr>
            <a:t>Carbon Composite</a:t>
          </a:r>
        </a:p>
        <a:p xmlns:a="http://schemas.openxmlformats.org/drawingml/2006/main">
          <a:pPr algn="l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FF00FF"/>
              </a:solidFill>
              <a:latin typeface="Arial"/>
              <a:cs typeface="Arial"/>
            </a:rPr>
            <a:t>SGL 1501YR</a:t>
          </a:r>
        </a:p>
      </cdr:txBody>
    </cdr:sp>
  </cdr:relSizeAnchor>
  <cdr:relSizeAnchor xmlns:cdr="http://schemas.openxmlformats.org/drawingml/2006/chartDrawing">
    <cdr:from>
      <cdr:x>0.32912</cdr:x>
      <cdr:y>0.35967</cdr:y>
    </cdr:from>
    <cdr:to>
      <cdr:x>0.44718</cdr:x>
      <cdr:y>0.38495</cdr:y>
    </cdr:to>
    <cdr:sp macro="" textlink="">
      <cdr:nvSpPr>
        <cdr:cNvPr id="2058" name="Text Box 10">
          <a:extLst xmlns:a="http://schemas.openxmlformats.org/drawingml/2006/main">
            <a:ext uri="{FF2B5EF4-FFF2-40B4-BE49-F238E27FC236}">
              <a16:creationId xmlns:a16="http://schemas.microsoft.com/office/drawing/2014/main" id="{D9197FCF-C6A3-400B-ACB1-273EDB84AE8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1760" y="2216391"/>
          <a:ext cx="531492" cy="155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8000"/>
              </a:solidFill>
              <a:latin typeface="Arial"/>
              <a:cs typeface="Arial"/>
            </a:rPr>
            <a:t>V-4Cr-4Ti</a:t>
          </a:r>
        </a:p>
      </cdr:txBody>
    </cdr:sp>
  </cdr:relSizeAnchor>
  <cdr:relSizeAnchor xmlns:cdr="http://schemas.openxmlformats.org/drawingml/2006/chartDrawing">
    <cdr:from>
      <cdr:x>0.33948</cdr:x>
      <cdr:y>0.14506</cdr:y>
    </cdr:from>
    <cdr:to>
      <cdr:x>0.42906</cdr:x>
      <cdr:y>0.17034</cdr:y>
    </cdr:to>
    <cdr:sp macro="" textlink="">
      <cdr:nvSpPr>
        <cdr:cNvPr id="2059" name="Text Box 11">
          <a:extLst xmlns:a="http://schemas.openxmlformats.org/drawingml/2006/main">
            <a:ext uri="{FF2B5EF4-FFF2-40B4-BE49-F238E27FC236}">
              <a16:creationId xmlns:a16="http://schemas.microsoft.com/office/drawing/2014/main" id="{1A356E71-76A5-407E-A69C-3C6D68369B8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28383" y="893906"/>
          <a:ext cx="403316" cy="155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14YWT</a:t>
          </a:r>
        </a:p>
      </cdr:txBody>
    </cdr:sp>
  </cdr:relSizeAnchor>
  <cdr:relSizeAnchor xmlns:cdr="http://schemas.openxmlformats.org/drawingml/2006/chartDrawing">
    <cdr:from>
      <cdr:x>0.21052</cdr:x>
      <cdr:y>0.41291</cdr:y>
    </cdr:from>
    <cdr:to>
      <cdr:x>0.2773</cdr:x>
      <cdr:y>0.43818</cdr:y>
    </cdr:to>
    <cdr:sp macro="" textlink="">
      <cdr:nvSpPr>
        <cdr:cNvPr id="2060" name="Text Box 12">
          <a:extLst xmlns:a="http://schemas.openxmlformats.org/drawingml/2006/main">
            <a:ext uri="{FF2B5EF4-FFF2-40B4-BE49-F238E27FC236}">
              <a16:creationId xmlns:a16="http://schemas.microsoft.com/office/drawing/2014/main" id="{95EC49C7-0224-4029-AB1E-5CCE4915D28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7794" y="2544443"/>
          <a:ext cx="300660" cy="155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chemeClr val="accent2"/>
              </a:solidFill>
              <a:latin typeface="Arial"/>
              <a:cs typeface="Arial"/>
            </a:rPr>
            <a:t>Zry-4</a:t>
          </a:r>
        </a:p>
      </cdr:txBody>
    </cdr:sp>
  </cdr:relSizeAnchor>
  <cdr:relSizeAnchor xmlns:cdr="http://schemas.openxmlformats.org/drawingml/2006/chartDrawing">
    <cdr:from>
      <cdr:x>0.54364</cdr:x>
      <cdr:y>0.26454</cdr:y>
    </cdr:from>
    <cdr:to>
      <cdr:x>0.60043</cdr:x>
      <cdr:y>0.28981</cdr:y>
    </cdr:to>
    <cdr:sp macro="" textlink="">
      <cdr:nvSpPr>
        <cdr:cNvPr id="2061" name="Text Box 13">
          <a:extLst xmlns:a="http://schemas.openxmlformats.org/drawingml/2006/main">
            <a:ext uri="{FF2B5EF4-FFF2-40B4-BE49-F238E27FC236}">
              <a16:creationId xmlns:a16="http://schemas.microsoft.com/office/drawing/2014/main" id="{A34D935C-3CDF-4EFF-BEBE-D6938A6AFB3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47565" y="1630143"/>
          <a:ext cx="255647" cy="155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FF9900"/>
              </a:solidFill>
              <a:latin typeface="Arial"/>
              <a:cs typeface="Arial"/>
            </a:rPr>
            <a:t>TZM</a:t>
          </a:r>
        </a:p>
      </cdr:txBody>
    </cdr:sp>
  </cdr:relSizeAnchor>
  <cdr:relSizeAnchor xmlns:cdr="http://schemas.openxmlformats.org/drawingml/2006/chartDrawing">
    <cdr:from>
      <cdr:x>0.61644</cdr:x>
      <cdr:y>0.51256</cdr:y>
    </cdr:from>
    <cdr:to>
      <cdr:x>0.7459</cdr:x>
      <cdr:y>0.57886</cdr:y>
    </cdr:to>
    <cdr:sp macro="" textlink="">
      <cdr:nvSpPr>
        <cdr:cNvPr id="2062" name="Text Box 14">
          <a:extLst xmlns:a="http://schemas.openxmlformats.org/drawingml/2006/main">
            <a:ext uri="{FF2B5EF4-FFF2-40B4-BE49-F238E27FC236}">
              <a16:creationId xmlns:a16="http://schemas.microsoft.com/office/drawing/2014/main" id="{B3347DD0-CD75-4C88-B668-E56FFD38985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75395" y="2718044"/>
          <a:ext cx="588917" cy="3517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339966"/>
              </a:solidFill>
              <a:latin typeface="Arial"/>
              <a:cs typeface="Arial"/>
            </a:rPr>
            <a:t>Alumina Composite</a:t>
          </a:r>
        </a:p>
      </cdr:txBody>
    </cdr:sp>
  </cdr:relSizeAnchor>
  <cdr:relSizeAnchor xmlns:cdr="http://schemas.openxmlformats.org/drawingml/2006/chartDrawing">
    <cdr:from>
      <cdr:x>0.37276</cdr:x>
      <cdr:y>0.68329</cdr:y>
    </cdr:from>
    <cdr:to>
      <cdr:x>0.56775</cdr:x>
      <cdr:y>0.70857</cdr:y>
    </cdr:to>
    <cdr:sp macro="" textlink="">
      <cdr:nvSpPr>
        <cdr:cNvPr id="2063" name="Text Box 15">
          <a:extLst xmlns:a="http://schemas.openxmlformats.org/drawingml/2006/main">
            <a:ext uri="{FF2B5EF4-FFF2-40B4-BE49-F238E27FC236}">
              <a16:creationId xmlns:a16="http://schemas.microsoft.com/office/drawing/2014/main" id="{05CF9E65-86E3-4D06-8C1C-2D99D0B8C2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78240" y="4210595"/>
          <a:ext cx="877869" cy="155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808080"/>
              </a:solidFill>
              <a:latin typeface="Arial"/>
              <a:cs typeface="Arial"/>
            </a:rPr>
            <a:t>Graphite IG-110</a:t>
          </a:r>
        </a:p>
      </cdr:txBody>
    </cdr:sp>
  </cdr:relSizeAnchor>
  <cdr:relSizeAnchor xmlns:cdr="http://schemas.openxmlformats.org/drawingml/2006/chartDrawing">
    <cdr:from>
      <cdr:x>0.79958</cdr:x>
      <cdr:y>0.48833</cdr:y>
    </cdr:from>
    <cdr:to>
      <cdr:x>0.81435</cdr:x>
      <cdr:y>0.54039</cdr:y>
    </cdr:to>
    <cdr:sp macro="" textlink="">
      <cdr:nv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9ABBD66A-3EB5-4045-AA16-B7200F027941}"/>
            </a:ext>
          </a:extLst>
        </cdr:cNvPr>
        <cdr:cNvSpPr/>
      </cdr:nvSpPr>
      <cdr:spPr>
        <a:xfrm xmlns:a="http://schemas.openxmlformats.org/drawingml/2006/main" rot="16200000" flipV="1">
          <a:off x="3505204" y="2695571"/>
          <a:ext cx="276224" cy="6668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3">
              <a:lumMod val="50000"/>
            </a:schemeClr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0.59788</cdr:x>
      <cdr:y>0.5823</cdr:y>
    </cdr:from>
    <cdr:to>
      <cdr:x>0.81671</cdr:x>
      <cdr:y>0.64605</cdr:y>
    </cdr:to>
    <cdr:sp macro="" textlink="">
      <cdr:nvSpPr>
        <cdr:cNvPr id="2052" name="Text Box 4">
          <a:extLst xmlns:a="http://schemas.openxmlformats.org/drawingml/2006/main">
            <a:ext uri="{FF2B5EF4-FFF2-40B4-BE49-F238E27FC236}">
              <a16:creationId xmlns:a16="http://schemas.microsoft.com/office/drawing/2014/main" id="{1C8BA0EC-5C21-4103-9483-F46BEDC6600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57616" y="2882001"/>
          <a:ext cx="1155766" cy="3155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SiC Composite </a:t>
          </a:r>
        </a:p>
        <a:p xmlns:a="http://schemas.openxmlformats.org/drawingml/2006/main">
          <a:pPr algn="l" rtl="0">
            <a:lnSpc>
              <a:spcPts val="9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SA-Tyrannohex</a:t>
          </a:r>
        </a:p>
      </cdr:txBody>
    </cdr:sp>
  </cdr:relSizeAnchor>
  <cdr:relSizeAnchor xmlns:cdr="http://schemas.openxmlformats.org/drawingml/2006/chartDrawing">
    <cdr:from>
      <cdr:x>0.22487</cdr:x>
      <cdr:y>0.44559</cdr:y>
    </cdr:from>
    <cdr:to>
      <cdr:x>0.45826</cdr:x>
      <cdr:y>0.50934</cdr:y>
    </cdr:to>
    <cdr:sp macro="" textlink="">
      <cdr:nvSpPr>
        <cdr:cNvPr id="2053" name="Text Box 5">
          <a:extLst xmlns:a="http://schemas.openxmlformats.org/drawingml/2006/main">
            <a:ext uri="{FF2B5EF4-FFF2-40B4-BE49-F238E27FC236}">
              <a16:creationId xmlns:a16="http://schemas.microsoft.com/office/drawing/2014/main" id="{E8D6B617-2FC4-4DD7-86AC-B5E9EBAAAC7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7624" y="2205394"/>
          <a:ext cx="1232645" cy="3155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339933"/>
              </a:solidFill>
              <a:latin typeface="Arial"/>
              <a:cs typeface="Arial"/>
            </a:rPr>
            <a:t>SiC Composite</a:t>
          </a:r>
        </a:p>
        <a:p xmlns:a="http://schemas.openxmlformats.org/drawingml/2006/main">
          <a:pPr algn="l" rtl="0">
            <a:lnSpc>
              <a:spcPts val="900"/>
            </a:lnSpc>
            <a:defRPr sz="1000"/>
          </a:pPr>
          <a:r>
            <a:rPr lang="en-US" sz="1200" b="1" i="0" u="none" strike="noStrike" baseline="0">
              <a:solidFill>
                <a:srgbClr val="339933"/>
              </a:solidFill>
              <a:latin typeface="Arial"/>
              <a:cs typeface="Arial"/>
            </a:rPr>
            <a:t>Hi-Nicalon-S CVI</a:t>
          </a:r>
        </a:p>
      </cdr:txBody>
    </cdr:sp>
  </cdr:relSizeAnchor>
  <cdr:relSizeAnchor xmlns:cdr="http://schemas.openxmlformats.org/drawingml/2006/chartDrawing">
    <cdr:from>
      <cdr:x>0.30387</cdr:x>
      <cdr:y>0.72444</cdr:y>
    </cdr:from>
    <cdr:to>
      <cdr:x>0.37863</cdr:x>
      <cdr:y>0.76488</cdr:y>
    </cdr:to>
    <cdr:sp macro="" textlink="">
      <cdr:nvSpPr>
        <cdr:cNvPr id="2060" name="Text Box 12">
          <a:extLst xmlns:a="http://schemas.openxmlformats.org/drawingml/2006/main">
            <a:ext uri="{FF2B5EF4-FFF2-40B4-BE49-F238E27FC236}">
              <a16:creationId xmlns:a16="http://schemas.microsoft.com/office/drawing/2014/main" id="{41CE107C-8810-4261-A5B7-11D48F73622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04877" y="3585533"/>
          <a:ext cx="394788" cy="2001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70C0"/>
              </a:solidFill>
              <a:latin typeface="Arial"/>
              <a:cs typeface="Arial"/>
            </a:rPr>
            <a:t>Zry-4</a:t>
          </a:r>
        </a:p>
      </cdr:txBody>
    </cdr:sp>
  </cdr:relSizeAnchor>
  <cdr:relSizeAnchor xmlns:cdr="http://schemas.openxmlformats.org/drawingml/2006/chartDrawing">
    <cdr:from>
      <cdr:x>0.39134</cdr:x>
      <cdr:y>0.29353</cdr:y>
    </cdr:from>
    <cdr:to>
      <cdr:x>0.45471</cdr:x>
      <cdr:y>0.33396</cdr:y>
    </cdr:to>
    <cdr:sp macro="" textlink="">
      <cdr:nvSpPr>
        <cdr:cNvPr id="2061" name="Text Box 13">
          <a:extLst xmlns:a="http://schemas.openxmlformats.org/drawingml/2006/main">
            <a:ext uri="{FF2B5EF4-FFF2-40B4-BE49-F238E27FC236}">
              <a16:creationId xmlns:a16="http://schemas.microsoft.com/office/drawing/2014/main" id="{0571EF03-9AD4-41E4-8847-E67E3BFA58F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6836" y="1452789"/>
          <a:ext cx="334643" cy="2001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FF9900"/>
              </a:solidFill>
              <a:latin typeface="Arial"/>
              <a:cs typeface="Arial"/>
            </a:rPr>
            <a:t>TZM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0.50275</cdr:x>
      <cdr:y>0.76555</cdr:y>
    </cdr:from>
    <cdr:to>
      <cdr:x>0.62374</cdr:x>
      <cdr:y>0.81588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6B530B32-2192-47B5-9DC5-D267514832F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36052" y="4388986"/>
          <a:ext cx="634404" cy="2885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FF"/>
              </a:solidFill>
              <a:latin typeface="Arial"/>
              <a:cs typeface="Arial"/>
            </a:rPr>
            <a:t> 800H</a:t>
          </a:r>
        </a:p>
      </cdr:txBody>
    </cdr:sp>
  </cdr:relSizeAnchor>
  <cdr:relSizeAnchor xmlns:cdr="http://schemas.openxmlformats.org/drawingml/2006/chartDrawing">
    <cdr:from>
      <cdr:x>0.5964</cdr:x>
      <cdr:y>0.55221</cdr:y>
    </cdr:from>
    <cdr:to>
      <cdr:x>0.85294</cdr:x>
      <cdr:y>0.65348</cdr:y>
    </cdr:to>
    <cdr:sp macro="" textlink="">
      <cdr:nvSpPr>
        <cdr:cNvPr id="2052" name="Text Box 4">
          <a:extLst xmlns:a="http://schemas.openxmlformats.org/drawingml/2006/main">
            <a:ext uri="{FF2B5EF4-FFF2-40B4-BE49-F238E27FC236}">
              <a16:creationId xmlns:a16="http://schemas.microsoft.com/office/drawing/2014/main" id="{C2D1B324-BFF1-4D06-BE86-4BBC9E6C51A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27103" y="3165926"/>
          <a:ext cx="1345112" cy="580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FF6600"/>
              </a:solidFill>
              <a:latin typeface="Arial"/>
              <a:cs typeface="Arial"/>
            </a:rPr>
            <a:t>SiC Composite </a:t>
          </a:r>
        </a:p>
        <a:p xmlns:a="http://schemas.openxmlformats.org/drawingml/2006/main">
          <a:pPr algn="l" rtl="0">
            <a:lnSpc>
              <a:spcPts val="900"/>
            </a:lnSpc>
            <a:defRPr sz="1000"/>
          </a:pPr>
          <a:endParaRPr lang="en-US" sz="1800" b="1" i="0" u="none" strike="noStrike" baseline="0">
            <a:solidFill>
              <a:srgbClr val="FF6600"/>
            </a:solidFill>
            <a:latin typeface="Arial"/>
            <a:cs typeface="Arial"/>
          </a:endParaRPr>
        </a:p>
        <a:p xmlns:a="http://schemas.openxmlformats.org/drawingml/2006/main">
          <a:pPr algn="l" rtl="0">
            <a:lnSpc>
              <a:spcPts val="900"/>
            </a:lnSpc>
            <a:defRPr sz="1000"/>
          </a:pPr>
          <a:r>
            <a:rPr lang="en-US" sz="1800" b="1" i="0" u="none" strike="noStrike" baseline="0">
              <a:solidFill>
                <a:srgbClr val="FF6600"/>
              </a:solidFill>
              <a:latin typeface="Arial"/>
              <a:cs typeface="Arial"/>
            </a:rPr>
            <a:t>SA-Tyrannohex</a:t>
          </a:r>
        </a:p>
      </cdr:txBody>
    </cdr:sp>
  </cdr:relSizeAnchor>
  <cdr:relSizeAnchor xmlns:cdr="http://schemas.openxmlformats.org/drawingml/2006/chartDrawing">
    <cdr:from>
      <cdr:x>0.25591</cdr:x>
      <cdr:y>0.40204</cdr:y>
    </cdr:from>
    <cdr:to>
      <cdr:x>0.33529</cdr:x>
      <cdr:y>0.45237</cdr:y>
    </cdr:to>
    <cdr:sp macro="" textlink="">
      <cdr:nvSpPr>
        <cdr:cNvPr id="2055" name="Text Box 7">
          <a:extLst xmlns:a="http://schemas.openxmlformats.org/drawingml/2006/main">
            <a:ext uri="{FF2B5EF4-FFF2-40B4-BE49-F238E27FC236}">
              <a16:creationId xmlns:a16="http://schemas.microsoft.com/office/drawing/2014/main" id="{5A2FD720-D608-41F3-8B81-C5BC915DEB4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41795" y="2304964"/>
          <a:ext cx="416204" cy="2885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80"/>
              </a:solidFill>
              <a:latin typeface="Arial"/>
              <a:cs typeface="Arial"/>
            </a:rPr>
            <a:t>T91</a:t>
          </a:r>
        </a:p>
      </cdr:txBody>
    </cdr:sp>
  </cdr:relSizeAnchor>
  <cdr:relSizeAnchor xmlns:cdr="http://schemas.openxmlformats.org/drawingml/2006/chartDrawing">
    <cdr:from>
      <cdr:x>0.41719</cdr:x>
      <cdr:y>0.38818</cdr:y>
    </cdr:from>
    <cdr:to>
      <cdr:x>0.50639</cdr:x>
      <cdr:y>0.43851</cdr:y>
    </cdr:to>
    <cdr:sp macro="" textlink="">
      <cdr:nvSpPr>
        <cdr:cNvPr id="2056" name="Text Box 8">
          <a:extLst xmlns:a="http://schemas.openxmlformats.org/drawingml/2006/main">
            <a:ext uri="{FF2B5EF4-FFF2-40B4-BE49-F238E27FC236}">
              <a16:creationId xmlns:a16="http://schemas.microsoft.com/office/drawing/2014/main" id="{A39CC4C5-85EF-4334-9BA2-934594D35C1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87438" y="2225471"/>
          <a:ext cx="467692" cy="2885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chemeClr val="accent4">
                  <a:lumMod val="75000"/>
                </a:schemeClr>
              </a:solidFill>
              <a:latin typeface="Arial"/>
              <a:cs typeface="Arial"/>
            </a:rPr>
            <a:t> 617</a:t>
          </a:r>
        </a:p>
      </cdr:txBody>
    </cdr:sp>
  </cdr:relSizeAnchor>
  <cdr:relSizeAnchor xmlns:cdr="http://schemas.openxmlformats.org/drawingml/2006/chartDrawing">
    <cdr:from>
      <cdr:x>0.2714</cdr:x>
      <cdr:y>0.73813</cdr:y>
    </cdr:from>
    <cdr:to>
      <cdr:x>0.38257</cdr:x>
      <cdr:y>0.78846</cdr:y>
    </cdr:to>
    <cdr:sp macro="" textlink="">
      <cdr:nvSpPr>
        <cdr:cNvPr id="2060" name="Text Box 12">
          <a:extLst xmlns:a="http://schemas.openxmlformats.org/drawingml/2006/main">
            <a:ext uri="{FF2B5EF4-FFF2-40B4-BE49-F238E27FC236}">
              <a16:creationId xmlns:a16="http://schemas.microsoft.com/office/drawing/2014/main" id="{F96E49DC-5084-4F03-A4B7-ED9F2595EDD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23025" y="4231819"/>
          <a:ext cx="582916" cy="2885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B050"/>
              </a:solidFill>
              <a:latin typeface="Arial"/>
              <a:cs typeface="Arial"/>
            </a:rPr>
            <a:t>Zry-4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opLeftCell="A43" workbookViewId="0">
      <selection activeCell="AL31" sqref="AL31"/>
    </sheetView>
  </sheetViews>
  <sheetFormatPr defaultRowHeight="15" x14ac:dyDescent="0.25"/>
  <cols>
    <col min="4" max="4" width="8.85546875" style="1"/>
    <col min="7" max="7" width="8.85546875" style="1"/>
  </cols>
  <sheetData>
    <row r="1" spans="1:7" x14ac:dyDescent="0.25">
      <c r="A1" t="s">
        <v>3</v>
      </c>
    </row>
    <row r="2" spans="1:7" x14ac:dyDescent="0.25">
      <c r="A2" t="s">
        <v>0</v>
      </c>
      <c r="B2" t="s">
        <v>1</v>
      </c>
      <c r="C2" t="s">
        <v>2</v>
      </c>
      <c r="D2" s="1" t="s">
        <v>21</v>
      </c>
      <c r="E2" t="s">
        <v>8</v>
      </c>
      <c r="G2" s="1" t="s">
        <v>9</v>
      </c>
    </row>
    <row r="3" spans="1:7" x14ac:dyDescent="0.25">
      <c r="A3">
        <v>20</v>
      </c>
      <c r="B3">
        <v>696</v>
      </c>
      <c r="C3">
        <v>127</v>
      </c>
      <c r="D3" s="1">
        <v>7</v>
      </c>
      <c r="E3">
        <v>505</v>
      </c>
      <c r="G3" s="1">
        <f>B3*C3*(1-0.2)/D3/E3</f>
        <v>20.003847241867046</v>
      </c>
    </row>
    <row r="4" spans="1:7" x14ac:dyDescent="0.25">
      <c r="A4">
        <v>1000</v>
      </c>
      <c r="B4">
        <v>660</v>
      </c>
      <c r="C4">
        <v>94</v>
      </c>
      <c r="D4" s="1">
        <f>D3</f>
        <v>7</v>
      </c>
      <c r="E4">
        <v>508</v>
      </c>
      <c r="G4" s="1">
        <f>B4*C4*(1-0.2)/D4/E4</f>
        <v>13.957255343082116</v>
      </c>
    </row>
    <row r="5" spans="1:7" x14ac:dyDescent="0.25">
      <c r="A5">
        <v>1200</v>
      </c>
      <c r="B5">
        <v>525</v>
      </c>
      <c r="C5">
        <v>91</v>
      </c>
      <c r="D5" s="1">
        <f t="shared" ref="D5:D11" si="0">D4</f>
        <v>7</v>
      </c>
      <c r="E5">
        <v>512</v>
      </c>
      <c r="G5" s="1">
        <f t="shared" ref="G5:G11" si="1">B5*C5*(1-0.2)/D5/E5</f>
        <v>10.6640625</v>
      </c>
    </row>
    <row r="6" spans="1:7" x14ac:dyDescent="0.25">
      <c r="A6">
        <v>1400</v>
      </c>
      <c r="B6">
        <v>378</v>
      </c>
      <c r="C6">
        <v>88</v>
      </c>
      <c r="D6" s="1">
        <f t="shared" si="0"/>
        <v>7</v>
      </c>
      <c r="E6">
        <v>456</v>
      </c>
      <c r="G6" s="1">
        <f t="shared" si="1"/>
        <v>8.3368421052631572</v>
      </c>
    </row>
    <row r="7" spans="1:7" x14ac:dyDescent="0.25">
      <c r="A7">
        <v>1600</v>
      </c>
      <c r="B7">
        <v>301</v>
      </c>
      <c r="C7">
        <v>85</v>
      </c>
      <c r="D7" s="1">
        <f t="shared" si="0"/>
        <v>7</v>
      </c>
      <c r="E7">
        <v>384</v>
      </c>
      <c r="G7" s="1">
        <f t="shared" si="1"/>
        <v>7.614583333333333</v>
      </c>
    </row>
    <row r="8" spans="1:7" x14ac:dyDescent="0.25">
      <c r="A8">
        <v>1800</v>
      </c>
      <c r="B8">
        <v>348</v>
      </c>
      <c r="C8">
        <v>82.5</v>
      </c>
      <c r="D8" s="1">
        <f t="shared" si="0"/>
        <v>7</v>
      </c>
      <c r="E8">
        <v>368</v>
      </c>
      <c r="G8" s="1">
        <f t="shared" si="1"/>
        <v>8.9161490683229818</v>
      </c>
    </row>
    <row r="9" spans="1:7" x14ac:dyDescent="0.25">
      <c r="A9">
        <v>2000</v>
      </c>
      <c r="B9">
        <v>341</v>
      </c>
      <c r="C9">
        <v>80</v>
      </c>
      <c r="D9" s="1">
        <f t="shared" si="0"/>
        <v>7</v>
      </c>
      <c r="E9">
        <v>347</v>
      </c>
      <c r="G9" s="1">
        <f t="shared" si="1"/>
        <v>8.984767393989296</v>
      </c>
    </row>
    <row r="10" spans="1:7" x14ac:dyDescent="0.25">
      <c r="A10">
        <v>2200</v>
      </c>
      <c r="B10">
        <v>287</v>
      </c>
      <c r="C10">
        <v>78</v>
      </c>
      <c r="D10" s="1">
        <f t="shared" si="0"/>
        <v>7</v>
      </c>
      <c r="E10">
        <v>305</v>
      </c>
      <c r="G10" s="1">
        <f t="shared" si="1"/>
        <v>8.3881967213114752</v>
      </c>
    </row>
    <row r="11" spans="1:7" x14ac:dyDescent="0.25">
      <c r="A11">
        <v>2300</v>
      </c>
      <c r="B11">
        <v>294</v>
      </c>
      <c r="C11">
        <v>77</v>
      </c>
      <c r="D11" s="1">
        <f t="shared" si="0"/>
        <v>7</v>
      </c>
      <c r="E11">
        <v>261</v>
      </c>
      <c r="G11" s="1">
        <f t="shared" si="1"/>
        <v>9.9126436781609204</v>
      </c>
    </row>
    <row r="12" spans="1:7" x14ac:dyDescent="0.25">
      <c r="A12" t="s">
        <v>11</v>
      </c>
      <c r="B12" t="s">
        <v>10</v>
      </c>
    </row>
    <row r="13" spans="1:7" x14ac:dyDescent="0.25">
      <c r="B13" t="s">
        <v>12</v>
      </c>
    </row>
    <row r="14" spans="1:7" x14ac:dyDescent="0.25">
      <c r="B14" t="s">
        <v>13</v>
      </c>
    </row>
    <row r="15" spans="1:7" x14ac:dyDescent="0.25">
      <c r="A15" t="s">
        <v>4</v>
      </c>
    </row>
    <row r="16" spans="1:7" x14ac:dyDescent="0.25">
      <c r="A16" t="s">
        <v>0</v>
      </c>
      <c r="B16" t="s">
        <v>1</v>
      </c>
      <c r="C16" t="s">
        <v>2</v>
      </c>
      <c r="D16" s="1" t="s">
        <v>7</v>
      </c>
      <c r="E16" t="s">
        <v>8</v>
      </c>
      <c r="G16" s="1" t="s">
        <v>9</v>
      </c>
    </row>
    <row r="17" spans="1:7" x14ac:dyDescent="0.25">
      <c r="A17">
        <v>20</v>
      </c>
      <c r="C17">
        <v>175</v>
      </c>
      <c r="D17" s="1">
        <f>W!H2</f>
        <v>5.25</v>
      </c>
      <c r="E17">
        <f>W!C2</f>
        <v>408</v>
      </c>
    </row>
    <row r="18" spans="1:7" x14ac:dyDescent="0.25">
      <c r="A18">
        <v>200</v>
      </c>
      <c r="C18">
        <v>150</v>
      </c>
      <c r="D18" s="1">
        <f>W!H5</f>
        <v>5.35</v>
      </c>
      <c r="E18">
        <v>402</v>
      </c>
    </row>
    <row r="19" spans="1:7" x14ac:dyDescent="0.25">
      <c r="A19">
        <v>500</v>
      </c>
      <c r="B19">
        <v>400</v>
      </c>
      <c r="C19">
        <v>122</v>
      </c>
      <c r="D19" s="1">
        <v>5.5</v>
      </c>
      <c r="E19">
        <v>374</v>
      </c>
      <c r="G19" s="1">
        <f>B19*C19*(1-0.3)/D19/E19</f>
        <v>16.606708799222169</v>
      </c>
    </row>
    <row r="20" spans="1:7" x14ac:dyDescent="0.25">
      <c r="A20">
        <v>600</v>
      </c>
      <c r="B20">
        <v>390</v>
      </c>
      <c r="C20">
        <v>122</v>
      </c>
      <c r="D20" s="1">
        <f>W!H8</f>
        <v>5.55</v>
      </c>
      <c r="E20">
        <v>382</v>
      </c>
      <c r="G20" s="1">
        <f t="shared" ref="G20:G25" si="2">B20*C20*(1-0.3)/D20/E20</f>
        <v>15.709636337908591</v>
      </c>
    </row>
    <row r="21" spans="1:7" x14ac:dyDescent="0.25">
      <c r="A21">
        <v>1000</v>
      </c>
      <c r="B21">
        <v>330</v>
      </c>
      <c r="C21">
        <v>111</v>
      </c>
      <c r="D21" s="1">
        <f>W!H12</f>
        <v>5.8</v>
      </c>
      <c r="E21">
        <v>355</v>
      </c>
      <c r="G21" s="1">
        <f t="shared" si="2"/>
        <v>12.45313258863526</v>
      </c>
    </row>
    <row r="22" spans="1:7" x14ac:dyDescent="0.25">
      <c r="A22">
        <v>1200</v>
      </c>
      <c r="B22">
        <v>270</v>
      </c>
      <c r="C22">
        <v>108</v>
      </c>
      <c r="D22" s="1">
        <f>W!H13</f>
        <v>5.92</v>
      </c>
      <c r="E22">
        <v>340</v>
      </c>
      <c r="G22" s="1">
        <f t="shared" si="2"/>
        <v>10.141096979332273</v>
      </c>
    </row>
    <row r="23" spans="1:7" x14ac:dyDescent="0.25">
      <c r="A23">
        <v>1500</v>
      </c>
      <c r="B23">
        <v>175</v>
      </c>
      <c r="C23">
        <v>108</v>
      </c>
      <c r="D23" s="1">
        <v>6.06</v>
      </c>
      <c r="E23">
        <v>320</v>
      </c>
      <c r="G23" s="1">
        <f t="shared" si="2"/>
        <v>6.8224009900990099</v>
      </c>
    </row>
    <row r="24" spans="1:7" x14ac:dyDescent="0.25">
      <c r="A24">
        <v>1727</v>
      </c>
      <c r="B24">
        <v>100</v>
      </c>
      <c r="C24">
        <v>100</v>
      </c>
      <c r="D24" s="1">
        <f>W!H15</f>
        <v>6.2149999999999999</v>
      </c>
      <c r="E24">
        <v>295</v>
      </c>
      <c r="G24" s="1">
        <f t="shared" si="2"/>
        <v>3.817990918635886</v>
      </c>
    </row>
    <row r="25" spans="1:7" x14ac:dyDescent="0.25">
      <c r="A25">
        <v>2000</v>
      </c>
      <c r="B25">
        <v>70</v>
      </c>
      <c r="C25">
        <v>100</v>
      </c>
      <c r="D25" s="1">
        <v>6.5</v>
      </c>
      <c r="E25">
        <v>260</v>
      </c>
      <c r="G25" s="1">
        <f t="shared" si="2"/>
        <v>2.8994082840236683</v>
      </c>
    </row>
    <row r="27" spans="1:7" x14ac:dyDescent="0.25">
      <c r="F27" s="36" t="s">
        <v>73</v>
      </c>
    </row>
    <row r="28" spans="1:7" x14ac:dyDescent="0.25">
      <c r="A28" t="s">
        <v>5</v>
      </c>
    </row>
    <row r="29" spans="1:7" x14ac:dyDescent="0.25">
      <c r="A29" t="s">
        <v>0</v>
      </c>
      <c r="B29" t="s">
        <v>1</v>
      </c>
      <c r="C29" t="s">
        <v>2</v>
      </c>
      <c r="D29" s="1" t="s">
        <v>7</v>
      </c>
      <c r="E29" t="s">
        <v>8</v>
      </c>
      <c r="G29" s="1" t="s">
        <v>9</v>
      </c>
    </row>
    <row r="30" spans="1:7" x14ac:dyDescent="0.25">
      <c r="A30">
        <v>20</v>
      </c>
    </row>
    <row r="31" spans="1:7" x14ac:dyDescent="0.25">
      <c r="A31">
        <v>600</v>
      </c>
      <c r="B31">
        <v>860</v>
      </c>
    </row>
    <row r="32" spans="1:7" x14ac:dyDescent="0.25">
      <c r="A32">
        <v>800</v>
      </c>
      <c r="B32">
        <v>850</v>
      </c>
    </row>
    <row r="33" spans="1:7" x14ac:dyDescent="0.25">
      <c r="A33">
        <v>1000</v>
      </c>
      <c r="B33">
        <v>840</v>
      </c>
    </row>
    <row r="34" spans="1:7" x14ac:dyDescent="0.25">
      <c r="A34">
        <v>1200</v>
      </c>
      <c r="B34">
        <v>740</v>
      </c>
    </row>
    <row r="35" spans="1:7" x14ac:dyDescent="0.25">
      <c r="A35">
        <v>1400</v>
      </c>
      <c r="B35">
        <v>660</v>
      </c>
    </row>
    <row r="36" spans="1:7" x14ac:dyDescent="0.25">
      <c r="A36">
        <v>1600</v>
      </c>
      <c r="B36">
        <v>480</v>
      </c>
    </row>
    <row r="38" spans="1:7" x14ac:dyDescent="0.25">
      <c r="A38" t="s">
        <v>6</v>
      </c>
    </row>
    <row r="39" spans="1:7" x14ac:dyDescent="0.25">
      <c r="A39" t="s">
        <v>0</v>
      </c>
      <c r="B39" t="s">
        <v>1</v>
      </c>
      <c r="C39" t="s">
        <v>2</v>
      </c>
      <c r="D39" s="1" t="s">
        <v>7</v>
      </c>
      <c r="E39" t="s">
        <v>8</v>
      </c>
      <c r="G39" s="1" t="s">
        <v>9</v>
      </c>
    </row>
    <row r="40" spans="1:7" x14ac:dyDescent="0.25">
      <c r="A40">
        <v>20</v>
      </c>
      <c r="B40">
        <v>435</v>
      </c>
      <c r="C40">
        <v>37</v>
      </c>
      <c r="D40" s="1">
        <f>21.14/3</f>
        <v>7.0466666666666669</v>
      </c>
      <c r="E40">
        <v>327</v>
      </c>
      <c r="G40" s="1">
        <f t="shared" ref="G40:G46" si="3">B40*C40*(1-0.2)/D40/E40</f>
        <v>5.5879110864225385</v>
      </c>
    </row>
    <row r="41" spans="1:7" x14ac:dyDescent="0.25">
      <c r="A41">
        <v>150</v>
      </c>
      <c r="B41">
        <v>434</v>
      </c>
      <c r="C41">
        <v>37</v>
      </c>
      <c r="D41" s="1">
        <f>22/3</f>
        <v>7.333333333333333</v>
      </c>
      <c r="E41">
        <v>327</v>
      </c>
      <c r="G41" s="1">
        <f t="shared" si="3"/>
        <v>5.3571309424520441</v>
      </c>
    </row>
    <row r="42" spans="1:7" x14ac:dyDescent="0.25">
      <c r="A42">
        <v>900</v>
      </c>
      <c r="B42">
        <f>B40/185*145</f>
        <v>340.94594594594594</v>
      </c>
      <c r="C42">
        <v>33.4</v>
      </c>
      <c r="D42" s="1">
        <f>27.92/3</f>
        <v>9.3066666666666666</v>
      </c>
      <c r="E42">
        <v>300</v>
      </c>
      <c r="G42" s="1">
        <f t="shared" si="3"/>
        <v>3.2629210872763874</v>
      </c>
    </row>
    <row r="43" spans="1:7" x14ac:dyDescent="0.25">
      <c r="A43">
        <v>1000</v>
      </c>
      <c r="B43">
        <f>B40/185*140</f>
        <v>329.18918918918916</v>
      </c>
      <c r="C43">
        <v>32.799999999999997</v>
      </c>
      <c r="D43" s="1">
        <f>28.7/3</f>
        <v>9.5666666666666664</v>
      </c>
      <c r="E43">
        <v>300</v>
      </c>
      <c r="G43" s="1">
        <f t="shared" si="3"/>
        <v>3.0097297297297296</v>
      </c>
    </row>
    <row r="44" spans="1:7" x14ac:dyDescent="0.25">
      <c r="A44">
        <v>1100</v>
      </c>
      <c r="B44">
        <f>B40/185*130</f>
        <v>305.67567567567568</v>
      </c>
      <c r="C44">
        <v>32.5</v>
      </c>
      <c r="D44" s="1">
        <f>29.46/3</f>
        <v>9.82</v>
      </c>
      <c r="E44">
        <v>300</v>
      </c>
      <c r="G44" s="1">
        <f t="shared" si="3"/>
        <v>2.6977486651621074</v>
      </c>
    </row>
    <row r="45" spans="1:7" x14ac:dyDescent="0.25">
      <c r="A45">
        <v>1200</v>
      </c>
      <c r="B45">
        <f>(B44*B46)^0.5</f>
        <v>274.3999895648542</v>
      </c>
      <c r="C45">
        <v>32.200000000000003</v>
      </c>
      <c r="D45" s="1">
        <f>30.3/3</f>
        <v>10.1</v>
      </c>
      <c r="E45">
        <v>280</v>
      </c>
      <c r="G45" s="1">
        <f t="shared" si="3"/>
        <v>2.4994850534620383</v>
      </c>
    </row>
    <row r="46" spans="1:7" x14ac:dyDescent="0.25">
      <c r="A46">
        <v>1300</v>
      </c>
      <c r="B46">
        <f>B41/185*105</f>
        <v>246.32432432432432</v>
      </c>
      <c r="C46">
        <v>31.8</v>
      </c>
      <c r="D46" s="1">
        <f>30.91/3</f>
        <v>10.303333333333333</v>
      </c>
      <c r="E46">
        <v>250</v>
      </c>
      <c r="G46" s="1">
        <f t="shared" si="3"/>
        <v>2.4328013500397847</v>
      </c>
    </row>
    <row r="47" spans="1:7" x14ac:dyDescent="0.25">
      <c r="A47" t="s">
        <v>22</v>
      </c>
      <c r="B47" t="s">
        <v>23</v>
      </c>
    </row>
    <row r="48" spans="1:7" x14ac:dyDescent="0.25">
      <c r="B48" t="s">
        <v>24</v>
      </c>
    </row>
    <row r="49" spans="1:7" x14ac:dyDescent="0.25">
      <c r="B49" t="s">
        <v>25</v>
      </c>
    </row>
    <row r="51" spans="1:7" x14ac:dyDescent="0.25">
      <c r="A51" t="s">
        <v>26</v>
      </c>
    </row>
    <row r="52" spans="1:7" x14ac:dyDescent="0.25">
      <c r="A52" t="s">
        <v>0</v>
      </c>
      <c r="B52" t="s">
        <v>1</v>
      </c>
      <c r="C52" t="s">
        <v>2</v>
      </c>
      <c r="D52" s="1" t="s">
        <v>7</v>
      </c>
      <c r="E52" t="s">
        <v>8</v>
      </c>
      <c r="F52" t="s">
        <v>27</v>
      </c>
      <c r="G52" s="1" t="s">
        <v>9</v>
      </c>
    </row>
    <row r="53" spans="1:7" x14ac:dyDescent="0.25">
      <c r="A53">
        <v>23</v>
      </c>
      <c r="B53">
        <v>669</v>
      </c>
      <c r="C53">
        <v>31.3</v>
      </c>
      <c r="D53" s="1">
        <v>10.8</v>
      </c>
      <c r="E53">
        <v>217</v>
      </c>
      <c r="F53">
        <v>0.28999999999999998</v>
      </c>
      <c r="G53" s="1">
        <f>B53*C53*(1-F53)/D53/E53</f>
        <v>6.3437391193036348</v>
      </c>
    </row>
    <row r="54" spans="1:7" x14ac:dyDescent="0.25">
      <c r="A54">
        <v>50</v>
      </c>
      <c r="B54">
        <v>645</v>
      </c>
      <c r="C54">
        <v>31.9</v>
      </c>
      <c r="D54" s="1">
        <v>10.9</v>
      </c>
      <c r="E54">
        <v>215</v>
      </c>
      <c r="F54">
        <v>0.28999999999999998</v>
      </c>
      <c r="G54" s="1">
        <f t="shared" ref="G54:G65" si="4">B54*C54*(1-F54)/D54/E54</f>
        <v>6.2336697247706416</v>
      </c>
    </row>
    <row r="55" spans="1:7" x14ac:dyDescent="0.25">
      <c r="A55">
        <v>100</v>
      </c>
      <c r="B55">
        <v>624</v>
      </c>
      <c r="C55">
        <v>32.5</v>
      </c>
      <c r="D55" s="1">
        <v>11</v>
      </c>
      <c r="E55">
        <v>213</v>
      </c>
      <c r="F55">
        <v>0.28999999999999998</v>
      </c>
      <c r="G55" s="1">
        <f t="shared" si="4"/>
        <v>6.1454545454545455</v>
      </c>
    </row>
    <row r="56" spans="1:7" x14ac:dyDescent="0.25">
      <c r="A56">
        <v>200</v>
      </c>
      <c r="B56">
        <v>579</v>
      </c>
      <c r="C56">
        <v>32.9</v>
      </c>
      <c r="D56" s="1">
        <v>11.2</v>
      </c>
      <c r="E56">
        <v>207</v>
      </c>
      <c r="F56">
        <v>0.28999999999999998</v>
      </c>
      <c r="G56" s="1">
        <f t="shared" si="4"/>
        <v>5.8337047101449278</v>
      </c>
    </row>
    <row r="57" spans="1:7" x14ac:dyDescent="0.25">
      <c r="A57">
        <v>300</v>
      </c>
      <c r="B57">
        <v>548</v>
      </c>
      <c r="C57">
        <v>33.4</v>
      </c>
      <c r="D57" s="1">
        <v>11.7</v>
      </c>
      <c r="E57">
        <v>202</v>
      </c>
      <c r="F57">
        <v>0.28999999999999998</v>
      </c>
      <c r="G57" s="1">
        <f t="shared" ref="G57" si="5">B57*C57*(1-F57)/D57/E57</f>
        <v>5.4985495472624191</v>
      </c>
    </row>
    <row r="58" spans="1:7" x14ac:dyDescent="0.25">
      <c r="A58">
        <v>350</v>
      </c>
      <c r="B58">
        <f>(B57*B59)^0.5</f>
        <v>532.27436534178503</v>
      </c>
      <c r="C58">
        <f>(C57*C59)^0.5</f>
        <v>33.199397584896026</v>
      </c>
      <c r="D58">
        <f>(D57*D59)^0.5</f>
        <v>11.849050594878898</v>
      </c>
      <c r="E58">
        <f>(E57*E59)^0.5</f>
        <v>199.48433522459854</v>
      </c>
      <c r="F58">
        <f>(F57*F59)^0.5</f>
        <v>0.28999999999999998</v>
      </c>
      <c r="G58" s="1">
        <f t="shared" si="4"/>
        <v>5.3080102294314058</v>
      </c>
    </row>
    <row r="59" spans="1:7" x14ac:dyDescent="0.25">
      <c r="A59">
        <v>400</v>
      </c>
      <c r="B59">
        <v>517</v>
      </c>
      <c r="C59">
        <v>33</v>
      </c>
      <c r="D59" s="1">
        <v>12</v>
      </c>
      <c r="E59">
        <v>197</v>
      </c>
      <c r="F59">
        <v>0.28999999999999998</v>
      </c>
      <c r="G59" s="1">
        <f t="shared" si="4"/>
        <v>5.1240736040609134</v>
      </c>
    </row>
    <row r="60" spans="1:7" x14ac:dyDescent="0.25">
      <c r="A60">
        <v>450</v>
      </c>
      <c r="B60">
        <v>493</v>
      </c>
      <c r="C60">
        <v>32.85</v>
      </c>
      <c r="D60" s="1">
        <v>12.15</v>
      </c>
      <c r="E60">
        <v>195</v>
      </c>
      <c r="F60">
        <v>0.28999999999999998</v>
      </c>
      <c r="G60" s="1">
        <f t="shared" si="4"/>
        <v>4.8532174738841407</v>
      </c>
    </row>
    <row r="61" spans="1:7" x14ac:dyDescent="0.25">
      <c r="A61">
        <v>500</v>
      </c>
      <c r="B61">
        <v>463</v>
      </c>
      <c r="C61">
        <v>32.700000000000003</v>
      </c>
      <c r="D61" s="1">
        <v>12.3</v>
      </c>
      <c r="E61">
        <v>189</v>
      </c>
      <c r="F61">
        <v>0.28999999999999998</v>
      </c>
      <c r="G61" s="1">
        <f t="shared" si="4"/>
        <v>4.62402503548845</v>
      </c>
    </row>
    <row r="62" spans="1:7" x14ac:dyDescent="0.25">
      <c r="A62">
        <v>550</v>
      </c>
      <c r="B62">
        <v>420</v>
      </c>
      <c r="C62">
        <v>32.5</v>
      </c>
      <c r="D62" s="1">
        <v>12.4</v>
      </c>
      <c r="E62">
        <v>183</v>
      </c>
      <c r="F62">
        <v>0.28999999999999998</v>
      </c>
      <c r="G62" s="1">
        <f t="shared" si="4"/>
        <v>4.2708884188260177</v>
      </c>
    </row>
    <row r="63" spans="1:7" x14ac:dyDescent="0.25">
      <c r="A63">
        <v>600</v>
      </c>
      <c r="B63">
        <v>368</v>
      </c>
      <c r="C63">
        <v>32.299999999999997</v>
      </c>
      <c r="D63" s="1">
        <v>12.5</v>
      </c>
      <c r="E63">
        <v>178</v>
      </c>
      <c r="F63">
        <v>0.3</v>
      </c>
      <c r="G63" s="1">
        <f t="shared" si="4"/>
        <v>3.7395415730337076</v>
      </c>
    </row>
    <row r="64" spans="1:7" x14ac:dyDescent="0.25">
      <c r="A64">
        <v>650</v>
      </c>
      <c r="B64">
        <v>307</v>
      </c>
      <c r="C64">
        <v>32.099999999999994</v>
      </c>
      <c r="D64" s="1">
        <v>12.55</v>
      </c>
      <c r="E64">
        <v>170</v>
      </c>
      <c r="F64">
        <v>0.3</v>
      </c>
      <c r="G64" s="1">
        <f t="shared" si="4"/>
        <v>3.233320834309819</v>
      </c>
    </row>
    <row r="65" spans="1:7" x14ac:dyDescent="0.25">
      <c r="A65">
        <v>700</v>
      </c>
      <c r="B65">
        <v>243</v>
      </c>
      <c r="C65">
        <v>31.9</v>
      </c>
      <c r="D65" s="1">
        <v>12.6</v>
      </c>
      <c r="E65">
        <v>161</v>
      </c>
      <c r="F65">
        <v>0.31</v>
      </c>
      <c r="G65" s="1">
        <f t="shared" si="4"/>
        <v>2.6366326530612243</v>
      </c>
    </row>
    <row r="67" spans="1:7" x14ac:dyDescent="0.25">
      <c r="A67" t="s">
        <v>74</v>
      </c>
    </row>
    <row r="68" spans="1:7" x14ac:dyDescent="0.25">
      <c r="A68" t="s">
        <v>0</v>
      </c>
      <c r="B68" t="s">
        <v>1</v>
      </c>
      <c r="C68" t="s">
        <v>2</v>
      </c>
      <c r="D68" s="1" t="s">
        <v>7</v>
      </c>
      <c r="E68" t="s">
        <v>8</v>
      </c>
      <c r="F68" t="s">
        <v>27</v>
      </c>
      <c r="G68" s="1" t="s">
        <v>9</v>
      </c>
    </row>
    <row r="69" spans="1:7" x14ac:dyDescent="0.25">
      <c r="A69">
        <v>25</v>
      </c>
      <c r="B69">
        <v>167</v>
      </c>
      <c r="C69">
        <v>193</v>
      </c>
      <c r="D69" s="1">
        <v>3.73</v>
      </c>
      <c r="E69">
        <v>81</v>
      </c>
      <c r="F69">
        <v>0.15</v>
      </c>
      <c r="G69" s="1">
        <f t="shared" ref="G69:G70" si="6">B69*C69*(1-F69)/D69/E69</f>
        <v>90.677357428921312</v>
      </c>
    </row>
    <row r="70" spans="1:7" x14ac:dyDescent="0.25">
      <c r="A70">
        <v>1000</v>
      </c>
      <c r="B70">
        <f>B69*414/360</f>
        <v>192.05</v>
      </c>
      <c r="C70">
        <v>94</v>
      </c>
      <c r="D70" s="1">
        <v>4.5</v>
      </c>
      <c r="E70">
        <f>E69</f>
        <v>81</v>
      </c>
      <c r="F70">
        <f>F69</f>
        <v>0.15</v>
      </c>
      <c r="G70" s="1">
        <f t="shared" si="6"/>
        <v>42.098203017832645</v>
      </c>
    </row>
    <row r="71" spans="1:7" x14ac:dyDescent="0.25">
      <c r="A71">
        <v>2000</v>
      </c>
      <c r="B71">
        <f>B69*468/360</f>
        <v>217.1</v>
      </c>
      <c r="C71">
        <v>60</v>
      </c>
      <c r="D71" s="1">
        <v>6</v>
      </c>
      <c r="E71">
        <f>E70</f>
        <v>81</v>
      </c>
      <c r="F71">
        <f>F70</f>
        <v>0.15</v>
      </c>
      <c r="G71" s="1">
        <f t="shared" ref="G71" si="7">B71*C71*(1-F71)/D71/E71</f>
        <v>22.782098765432099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tabSelected="1" workbookViewId="0">
      <selection activeCell="H1" sqref="H1"/>
    </sheetView>
  </sheetViews>
  <sheetFormatPr defaultRowHeight="15" x14ac:dyDescent="0.25"/>
  <sheetData>
    <row r="1" spans="1:8" x14ac:dyDescent="0.25">
      <c r="A1" t="s">
        <v>20</v>
      </c>
      <c r="B1" t="s">
        <v>19</v>
      </c>
      <c r="C1" t="s">
        <v>75</v>
      </c>
      <c r="D1" t="s">
        <v>18</v>
      </c>
      <c r="E1" t="s">
        <v>17</v>
      </c>
      <c r="F1" t="s">
        <v>16</v>
      </c>
      <c r="G1" t="s">
        <v>15</v>
      </c>
      <c r="H1" t="s">
        <v>14</v>
      </c>
    </row>
    <row r="2" spans="1:8" x14ac:dyDescent="0.25">
      <c r="A2">
        <v>293</v>
      </c>
      <c r="B2">
        <v>19300</v>
      </c>
      <c r="C2">
        <v>408</v>
      </c>
      <c r="D2">
        <v>0.28000000000000003</v>
      </c>
      <c r="E2">
        <v>174.91</v>
      </c>
      <c r="F2">
        <v>132.33000000000001</v>
      </c>
      <c r="H2">
        <v>5.25</v>
      </c>
    </row>
    <row r="3" spans="1:8" x14ac:dyDescent="0.25">
      <c r="A3">
        <v>300</v>
      </c>
      <c r="C3">
        <v>407.8</v>
      </c>
      <c r="D3">
        <v>0.28000000000000003</v>
      </c>
      <c r="E3">
        <v>174</v>
      </c>
      <c r="F3">
        <v>132</v>
      </c>
      <c r="H3">
        <v>5.2480000000000002</v>
      </c>
    </row>
    <row r="4" spans="1:8" x14ac:dyDescent="0.25">
      <c r="A4">
        <v>400</v>
      </c>
      <c r="C4">
        <v>404.66</v>
      </c>
      <c r="D4">
        <v>0.28000000000000003</v>
      </c>
      <c r="E4">
        <v>159</v>
      </c>
      <c r="F4">
        <v>137</v>
      </c>
      <c r="H4">
        <v>5.3049999999999997</v>
      </c>
    </row>
    <row r="5" spans="1:8" x14ac:dyDescent="0.25">
      <c r="A5">
        <v>473</v>
      </c>
      <c r="C5">
        <v>402</v>
      </c>
      <c r="D5">
        <v>0.28000000000000003</v>
      </c>
      <c r="E5">
        <v>150.12</v>
      </c>
      <c r="F5">
        <v>138.44</v>
      </c>
      <c r="H5">
        <v>5.35</v>
      </c>
    </row>
    <row r="6" spans="1:8" x14ac:dyDescent="0.25">
      <c r="A6">
        <v>600</v>
      </c>
      <c r="C6">
        <v>396.61</v>
      </c>
      <c r="D6">
        <v>0.28000000000000003</v>
      </c>
      <c r="E6">
        <v>137</v>
      </c>
      <c r="F6">
        <v>142</v>
      </c>
      <c r="H6">
        <v>5.4189999999999996</v>
      </c>
    </row>
    <row r="7" spans="1:8" x14ac:dyDescent="0.25">
      <c r="A7">
        <v>800</v>
      </c>
      <c r="C7">
        <v>386.42</v>
      </c>
      <c r="D7">
        <v>0.28000000000000003</v>
      </c>
      <c r="E7">
        <v>125</v>
      </c>
      <c r="F7">
        <v>145</v>
      </c>
      <c r="H7">
        <v>5.5330000000000004</v>
      </c>
    </row>
    <row r="8" spans="1:8" x14ac:dyDescent="0.25">
      <c r="A8">
        <v>873</v>
      </c>
      <c r="C8">
        <v>382</v>
      </c>
      <c r="D8">
        <v>0.28999999999999998</v>
      </c>
      <c r="E8">
        <v>121.6</v>
      </c>
      <c r="F8">
        <v>146.66999999999999</v>
      </c>
      <c r="H8">
        <v>5.55</v>
      </c>
    </row>
    <row r="9" spans="1:8" x14ac:dyDescent="0.25">
      <c r="A9">
        <v>1000</v>
      </c>
      <c r="C9">
        <v>374.36</v>
      </c>
      <c r="D9">
        <v>0.28999999999999998</v>
      </c>
      <c r="E9">
        <v>118</v>
      </c>
      <c r="F9">
        <v>148</v>
      </c>
      <c r="H9">
        <v>5.6459999999999999</v>
      </c>
    </row>
    <row r="10" spans="1:8" x14ac:dyDescent="0.25">
      <c r="A10">
        <v>1073</v>
      </c>
      <c r="C10">
        <v>370</v>
      </c>
      <c r="D10">
        <v>0.28999999999999998</v>
      </c>
      <c r="E10">
        <v>115.33</v>
      </c>
      <c r="F10">
        <v>149.68</v>
      </c>
      <c r="H10">
        <v>5.76</v>
      </c>
    </row>
    <row r="11" spans="1:8" x14ac:dyDescent="0.25">
      <c r="A11">
        <v>1200</v>
      </c>
      <c r="C11">
        <v>360.69</v>
      </c>
      <c r="D11">
        <v>0.28999999999999998</v>
      </c>
      <c r="E11">
        <v>113</v>
      </c>
      <c r="F11">
        <v>152</v>
      </c>
      <c r="H11">
        <v>5.7</v>
      </c>
    </row>
    <row r="12" spans="1:8" x14ac:dyDescent="0.25">
      <c r="A12">
        <v>1273</v>
      </c>
      <c r="C12">
        <v>355</v>
      </c>
      <c r="D12">
        <v>0.28999999999999998</v>
      </c>
      <c r="E12">
        <v>111.43</v>
      </c>
      <c r="F12">
        <v>152.74</v>
      </c>
      <c r="H12">
        <v>5.8</v>
      </c>
    </row>
    <row r="13" spans="1:8" x14ac:dyDescent="0.25">
      <c r="A13">
        <v>1473</v>
      </c>
      <c r="C13">
        <v>340</v>
      </c>
      <c r="D13">
        <v>0.28999999999999998</v>
      </c>
      <c r="E13">
        <v>108.39</v>
      </c>
      <c r="F13">
        <v>156.16999999999999</v>
      </c>
      <c r="H13">
        <v>5.92</v>
      </c>
    </row>
    <row r="14" spans="1:8" x14ac:dyDescent="0.25">
      <c r="A14">
        <v>1500</v>
      </c>
      <c r="C14">
        <v>337.74</v>
      </c>
      <c r="D14">
        <v>0.28999999999999998</v>
      </c>
      <c r="E14">
        <v>107</v>
      </c>
      <c r="F14">
        <v>157</v>
      </c>
      <c r="H14">
        <v>5.931</v>
      </c>
    </row>
    <row r="15" spans="1:8" x14ac:dyDescent="0.25">
      <c r="A15">
        <v>2000</v>
      </c>
      <c r="C15">
        <v>295.17</v>
      </c>
      <c r="D15">
        <v>0.23</v>
      </c>
      <c r="E15">
        <v>100</v>
      </c>
      <c r="F15">
        <v>167</v>
      </c>
      <c r="H15">
        <v>6.2149999999999999</v>
      </c>
    </row>
    <row r="16" spans="1:8" x14ac:dyDescent="0.25">
      <c r="A16">
        <v>2500</v>
      </c>
      <c r="C16">
        <v>250.77</v>
      </c>
      <c r="D16">
        <v>0.28999999999999998</v>
      </c>
      <c r="E16">
        <v>95</v>
      </c>
      <c r="F16">
        <v>176</v>
      </c>
      <c r="H16">
        <v>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8"/>
  <sheetViews>
    <sheetView zoomScale="70" zoomScaleNormal="70" workbookViewId="0">
      <pane ySplit="1" topLeftCell="A8" activePane="bottomLeft" state="frozen"/>
      <selection pane="bottomLeft" activeCell="B79" sqref="B79:F83"/>
    </sheetView>
  </sheetViews>
  <sheetFormatPr defaultColWidth="8.85546875" defaultRowHeight="12.75" x14ac:dyDescent="0.2"/>
  <cols>
    <col min="1" max="1" width="22.140625" style="8" customWidth="1"/>
    <col min="2" max="2" width="6.140625" style="8" customWidth="1"/>
    <col min="3" max="3" width="6.140625" style="35" customWidth="1"/>
    <col min="4" max="14" width="6.85546875" style="8" customWidth="1"/>
    <col min="15" max="279" width="8.85546875" style="8" customWidth="1"/>
    <col min="280" max="16384" width="8.85546875" style="8"/>
  </cols>
  <sheetData>
    <row r="1" spans="1:16" s="4" customFormat="1" ht="37.5" customHeight="1" x14ac:dyDescent="0.2">
      <c r="A1" s="2" t="s">
        <v>28</v>
      </c>
      <c r="B1" s="2" t="s">
        <v>29</v>
      </c>
      <c r="C1" s="3" t="s">
        <v>30</v>
      </c>
      <c r="D1" s="2" t="s">
        <v>31</v>
      </c>
      <c r="E1" s="2" t="s">
        <v>32</v>
      </c>
      <c r="F1" s="2" t="s">
        <v>8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21</v>
      </c>
      <c r="M1" s="2" t="s">
        <v>38</v>
      </c>
      <c r="N1" s="2" t="s">
        <v>39</v>
      </c>
      <c r="O1" s="2" t="s">
        <v>40</v>
      </c>
      <c r="P1" s="2"/>
    </row>
    <row r="2" spans="1:16" x14ac:dyDescent="0.2">
      <c r="A2" s="5" t="s">
        <v>41</v>
      </c>
      <c r="B2" s="6">
        <f>C2-273</f>
        <v>23</v>
      </c>
      <c r="C2" s="7">
        <v>296</v>
      </c>
      <c r="D2" s="6">
        <v>669</v>
      </c>
      <c r="E2" s="6"/>
      <c r="F2" s="6">
        <v>217</v>
      </c>
      <c r="G2" s="6"/>
      <c r="H2" s="6">
        <v>31.3</v>
      </c>
      <c r="I2" s="6"/>
      <c r="J2" s="6"/>
      <c r="K2" s="6"/>
      <c r="L2" s="6">
        <v>10.8</v>
      </c>
      <c r="M2" s="6">
        <v>0.28999999999999998</v>
      </c>
      <c r="N2" s="6">
        <f>D2*H2*(1-M2)/L2/F2</f>
        <v>6.3437391193036348</v>
      </c>
      <c r="O2" s="6" t="s">
        <v>42</v>
      </c>
      <c r="P2" s="6"/>
    </row>
    <row r="3" spans="1:16" x14ac:dyDescent="0.2">
      <c r="A3" s="6"/>
      <c r="B3" s="6">
        <f t="shared" ref="B3:B13" si="0">C3-273</f>
        <v>50</v>
      </c>
      <c r="C3" s="7">
        <v>323</v>
      </c>
      <c r="D3" s="6">
        <v>645</v>
      </c>
      <c r="E3" s="6"/>
      <c r="F3" s="6">
        <v>215</v>
      </c>
      <c r="G3" s="6"/>
      <c r="H3" s="9">
        <f>(H2+H4)/2</f>
        <v>31.9</v>
      </c>
      <c r="I3" s="9"/>
      <c r="J3" s="9"/>
      <c r="K3" s="9"/>
      <c r="L3" s="9">
        <f>(L2+L4)/2</f>
        <v>10.9</v>
      </c>
      <c r="M3" s="6">
        <f>M2</f>
        <v>0.28999999999999998</v>
      </c>
      <c r="N3" s="6">
        <f t="shared" ref="N3:N34" si="1">D3*H3*(1-M3)/L3/F3</f>
        <v>6.2336697247706416</v>
      </c>
      <c r="O3" s="6"/>
      <c r="P3" s="6"/>
    </row>
    <row r="4" spans="1:16" x14ac:dyDescent="0.2">
      <c r="A4" s="6"/>
      <c r="B4" s="6">
        <f t="shared" si="0"/>
        <v>100</v>
      </c>
      <c r="C4" s="7">
        <f>C3+50</f>
        <v>373</v>
      </c>
      <c r="D4" s="6">
        <v>624</v>
      </c>
      <c r="E4" s="6"/>
      <c r="F4" s="6">
        <v>213</v>
      </c>
      <c r="G4" s="6"/>
      <c r="H4" s="6">
        <v>32.5</v>
      </c>
      <c r="I4" s="6"/>
      <c r="J4" s="6"/>
      <c r="K4" s="6"/>
      <c r="L4" s="6">
        <v>11</v>
      </c>
      <c r="M4" s="6">
        <f t="shared" ref="M4:M10" si="2">M3</f>
        <v>0.28999999999999998</v>
      </c>
      <c r="N4" s="6">
        <f t="shared" si="1"/>
        <v>6.1454545454545455</v>
      </c>
      <c r="O4" s="6"/>
      <c r="P4" s="6"/>
    </row>
    <row r="5" spans="1:16" x14ac:dyDescent="0.2">
      <c r="A5" s="6"/>
      <c r="B5" s="6">
        <f t="shared" si="0"/>
        <v>200</v>
      </c>
      <c r="C5" s="7">
        <v>473</v>
      </c>
      <c r="D5" s="6">
        <v>579</v>
      </c>
      <c r="E5" s="6"/>
      <c r="F5" s="6">
        <v>207</v>
      </c>
      <c r="G5" s="6"/>
      <c r="H5" s="6">
        <v>32.9</v>
      </c>
      <c r="I5" s="6"/>
      <c r="J5" s="6"/>
      <c r="K5" s="6"/>
      <c r="L5" s="6">
        <v>11.2</v>
      </c>
      <c r="M5" s="6">
        <f t="shared" si="2"/>
        <v>0.28999999999999998</v>
      </c>
      <c r="N5" s="6">
        <f t="shared" si="1"/>
        <v>5.8337047101449278</v>
      </c>
      <c r="O5" s="6"/>
      <c r="P5" s="6"/>
    </row>
    <row r="6" spans="1:16" x14ac:dyDescent="0.2">
      <c r="A6" s="6"/>
      <c r="B6" s="6">
        <f t="shared" si="0"/>
        <v>300</v>
      </c>
      <c r="C6" s="7">
        <v>573</v>
      </c>
      <c r="D6" s="6">
        <v>548</v>
      </c>
      <c r="E6" s="6"/>
      <c r="F6" s="6">
        <v>202</v>
      </c>
      <c r="G6" s="6"/>
      <c r="H6" s="6">
        <v>33.4</v>
      </c>
      <c r="I6" s="6"/>
      <c r="J6" s="6"/>
      <c r="K6" s="6"/>
      <c r="L6" s="6">
        <v>11.7</v>
      </c>
      <c r="M6" s="6">
        <f t="shared" si="2"/>
        <v>0.28999999999999998</v>
      </c>
      <c r="N6" s="6">
        <f t="shared" si="1"/>
        <v>5.4985495472624191</v>
      </c>
      <c r="O6" s="6"/>
      <c r="P6" s="6"/>
    </row>
    <row r="7" spans="1:16" x14ac:dyDescent="0.2">
      <c r="A7" s="6"/>
      <c r="B7" s="6">
        <f t="shared" si="0"/>
        <v>400</v>
      </c>
      <c r="C7" s="7">
        <v>673</v>
      </c>
      <c r="D7" s="6">
        <v>517</v>
      </c>
      <c r="E7" s="6"/>
      <c r="F7" s="6">
        <v>197</v>
      </c>
      <c r="G7" s="6"/>
      <c r="H7" s="6">
        <v>33</v>
      </c>
      <c r="I7" s="6"/>
      <c r="J7" s="6"/>
      <c r="K7" s="6"/>
      <c r="L7" s="6">
        <v>12</v>
      </c>
      <c r="M7" s="6">
        <f t="shared" si="2"/>
        <v>0.28999999999999998</v>
      </c>
      <c r="N7" s="6">
        <f t="shared" si="1"/>
        <v>5.1240736040609134</v>
      </c>
      <c r="O7" s="6"/>
      <c r="P7" s="6"/>
    </row>
    <row r="8" spans="1:16" x14ac:dyDescent="0.2">
      <c r="A8" s="6"/>
      <c r="B8" s="6">
        <f t="shared" si="0"/>
        <v>450</v>
      </c>
      <c r="C8" s="7">
        <f t="shared" ref="C8:C13" si="3">C7+50</f>
        <v>723</v>
      </c>
      <c r="D8" s="6">
        <v>493</v>
      </c>
      <c r="E8" s="6"/>
      <c r="F8" s="6">
        <v>195</v>
      </c>
      <c r="G8" s="6"/>
      <c r="H8" s="9">
        <f>(H7+H9)/2</f>
        <v>32.85</v>
      </c>
      <c r="I8" s="9"/>
      <c r="J8" s="9"/>
      <c r="K8" s="9"/>
      <c r="L8" s="9">
        <f>(L7+L9)/2</f>
        <v>12.15</v>
      </c>
      <c r="M8" s="6">
        <f t="shared" si="2"/>
        <v>0.28999999999999998</v>
      </c>
      <c r="N8" s="6">
        <f t="shared" si="1"/>
        <v>4.8532174738841407</v>
      </c>
      <c r="O8" s="6"/>
      <c r="P8" s="6"/>
    </row>
    <row r="9" spans="1:16" x14ac:dyDescent="0.2">
      <c r="A9" s="6"/>
      <c r="B9" s="6">
        <f t="shared" si="0"/>
        <v>500</v>
      </c>
      <c r="C9" s="7">
        <f t="shared" si="3"/>
        <v>773</v>
      </c>
      <c r="D9" s="6">
        <v>463</v>
      </c>
      <c r="E9" s="6"/>
      <c r="F9" s="6">
        <v>189</v>
      </c>
      <c r="G9" s="6"/>
      <c r="H9" s="6">
        <v>32.700000000000003</v>
      </c>
      <c r="I9" s="6"/>
      <c r="J9" s="6"/>
      <c r="K9" s="6"/>
      <c r="L9" s="6">
        <v>12.3</v>
      </c>
      <c r="M9" s="6">
        <f t="shared" si="2"/>
        <v>0.28999999999999998</v>
      </c>
      <c r="N9" s="6">
        <f t="shared" si="1"/>
        <v>4.62402503548845</v>
      </c>
      <c r="O9" s="6"/>
      <c r="P9" s="6"/>
    </row>
    <row r="10" spans="1:16" x14ac:dyDescent="0.2">
      <c r="A10" s="6"/>
      <c r="B10" s="6">
        <f t="shared" si="0"/>
        <v>550</v>
      </c>
      <c r="C10" s="7">
        <f t="shared" si="3"/>
        <v>823</v>
      </c>
      <c r="D10" s="6">
        <v>420</v>
      </c>
      <c r="E10" s="6"/>
      <c r="F10" s="6">
        <v>183</v>
      </c>
      <c r="G10" s="6"/>
      <c r="H10" s="9">
        <f>(H9+H11)/2</f>
        <v>32.5</v>
      </c>
      <c r="I10" s="9"/>
      <c r="J10" s="9"/>
      <c r="K10" s="9"/>
      <c r="L10" s="9">
        <f>(L9+L11)/2</f>
        <v>12.4</v>
      </c>
      <c r="M10" s="6">
        <f t="shared" si="2"/>
        <v>0.28999999999999998</v>
      </c>
      <c r="N10" s="6">
        <f t="shared" si="1"/>
        <v>4.2708884188260177</v>
      </c>
      <c r="O10" s="6"/>
      <c r="P10" s="6"/>
    </row>
    <row r="11" spans="1:16" x14ac:dyDescent="0.2">
      <c r="A11" s="6"/>
      <c r="B11" s="6">
        <f t="shared" si="0"/>
        <v>600</v>
      </c>
      <c r="C11" s="7">
        <f t="shared" si="3"/>
        <v>873</v>
      </c>
      <c r="D11" s="6">
        <v>368</v>
      </c>
      <c r="E11" s="6"/>
      <c r="F11" s="6">
        <v>178</v>
      </c>
      <c r="G11" s="6"/>
      <c r="H11" s="6">
        <v>32.299999999999997</v>
      </c>
      <c r="I11" s="6"/>
      <c r="J11" s="6"/>
      <c r="K11" s="6"/>
      <c r="L11" s="6">
        <v>12.5</v>
      </c>
      <c r="M11" s="6">
        <v>0.3</v>
      </c>
      <c r="N11" s="6">
        <f t="shared" si="1"/>
        <v>3.7395415730337076</v>
      </c>
      <c r="O11" s="6"/>
      <c r="P11" s="6"/>
    </row>
    <row r="12" spans="1:16" x14ac:dyDescent="0.2">
      <c r="A12" s="6"/>
      <c r="B12" s="6">
        <f t="shared" si="0"/>
        <v>650</v>
      </c>
      <c r="C12" s="7">
        <f t="shared" si="3"/>
        <v>923</v>
      </c>
      <c r="D12" s="6">
        <v>307</v>
      </c>
      <c r="E12" s="6"/>
      <c r="F12" s="6">
        <v>170</v>
      </c>
      <c r="G12" s="6"/>
      <c r="H12" s="9">
        <f>(H11+H13)/2</f>
        <v>32.099999999999994</v>
      </c>
      <c r="I12" s="9"/>
      <c r="J12" s="9"/>
      <c r="K12" s="9"/>
      <c r="L12" s="9">
        <f>(L11+L13)/2</f>
        <v>12.55</v>
      </c>
      <c r="M12" s="6">
        <f>M11</f>
        <v>0.3</v>
      </c>
      <c r="N12" s="6">
        <f t="shared" si="1"/>
        <v>3.233320834309819</v>
      </c>
      <c r="O12" s="6"/>
      <c r="P12" s="6"/>
    </row>
    <row r="13" spans="1:16" x14ac:dyDescent="0.2">
      <c r="A13" s="6"/>
      <c r="B13" s="6">
        <f t="shared" si="0"/>
        <v>700</v>
      </c>
      <c r="C13" s="7">
        <f t="shared" si="3"/>
        <v>973</v>
      </c>
      <c r="D13" s="6">
        <v>243</v>
      </c>
      <c r="E13" s="6"/>
      <c r="F13" s="6">
        <v>161</v>
      </c>
      <c r="G13" s="6"/>
      <c r="H13" s="6">
        <v>31.9</v>
      </c>
      <c r="I13" s="6"/>
      <c r="J13" s="6"/>
      <c r="K13" s="6"/>
      <c r="L13" s="6">
        <v>12.6</v>
      </c>
      <c r="M13" s="6">
        <v>0.31</v>
      </c>
      <c r="N13" s="6">
        <f t="shared" si="1"/>
        <v>2.6366326530612243</v>
      </c>
      <c r="O13" s="6"/>
      <c r="P13" s="6"/>
    </row>
    <row r="14" spans="1:16" x14ac:dyDescent="0.2">
      <c r="A14" s="10" t="s">
        <v>43</v>
      </c>
      <c r="B14" s="11">
        <v>20</v>
      </c>
      <c r="C14" s="12">
        <f t="shared" ref="C14:C24" si="4">B14+273</f>
        <v>293</v>
      </c>
      <c r="D14" s="11">
        <v>265</v>
      </c>
      <c r="E14" s="11"/>
      <c r="F14" s="11">
        <v>310</v>
      </c>
      <c r="G14" s="11"/>
      <c r="H14" s="11">
        <v>38</v>
      </c>
      <c r="I14" s="13">
        <f t="shared" ref="I14:I24" si="5">871.58+0.43286*C14-0.000093524*C14^2-29687000/C14^2</f>
        <v>644.5741947361912</v>
      </c>
      <c r="J14" s="11">
        <v>3.1</v>
      </c>
      <c r="K14" s="11">
        <f>I14*J14/H14</f>
        <v>52.583684307426125</v>
      </c>
      <c r="L14" s="11">
        <v>4.4000000000000004</v>
      </c>
      <c r="M14" s="11">
        <v>0.2</v>
      </c>
      <c r="N14" s="11">
        <f t="shared" si="1"/>
        <v>5.9061583577712602</v>
      </c>
      <c r="O14" s="11" t="s">
        <v>44</v>
      </c>
      <c r="P14" s="11"/>
    </row>
    <row r="15" spans="1:16" x14ac:dyDescent="0.2">
      <c r="A15" s="11"/>
      <c r="B15" s="11">
        <v>200</v>
      </c>
      <c r="C15" s="12">
        <f>B15+273</f>
        <v>473</v>
      </c>
      <c r="D15" s="11">
        <v>265</v>
      </c>
      <c r="E15" s="11"/>
      <c r="F15" s="11">
        <v>310</v>
      </c>
      <c r="G15" s="11"/>
      <c r="H15" s="11">
        <f t="shared" ref="H15:H24" si="6">I15*J15/K15</f>
        <v>33.625573675620956</v>
      </c>
      <c r="I15" s="13">
        <f t="shared" si="5"/>
        <v>922.7069656410921</v>
      </c>
      <c r="J15" s="13">
        <f t="shared" ref="J15:J24" si="7">J$14/3.21*3.233-0.000056682*(C15)+0.0000000036981*(C15)^2-609.97/(C15)^2</f>
        <v>3.0935022454325072</v>
      </c>
      <c r="K15" s="13">
        <f t="shared" ref="K15:K24" si="8">K14/C14*C15</f>
        <v>84.887654189121349</v>
      </c>
      <c r="L15" s="11">
        <v>5</v>
      </c>
      <c r="M15" s="11">
        <v>0.2</v>
      </c>
      <c r="N15" s="11">
        <f>D15*H15*(1-M15)/L15/F15</f>
        <v>4.5991107220849301</v>
      </c>
      <c r="O15" s="11"/>
      <c r="P15" s="11"/>
    </row>
    <row r="16" spans="1:16" x14ac:dyDescent="0.2">
      <c r="A16" s="11"/>
      <c r="B16" s="11">
        <v>500</v>
      </c>
      <c r="C16" s="12">
        <f>B16+273</f>
        <v>773</v>
      </c>
      <c r="D16" s="11">
        <v>265</v>
      </c>
      <c r="E16" s="11"/>
      <c r="F16" s="11">
        <v>300</v>
      </c>
      <c r="G16" s="11"/>
      <c r="H16" s="11">
        <f t="shared" si="6"/>
        <v>24.432315701238707</v>
      </c>
      <c r="I16" s="13">
        <f t="shared" si="5"/>
        <v>1100.6145335452279</v>
      </c>
      <c r="J16" s="13">
        <f t="shared" si="7"/>
        <v>3.0795855532543555</v>
      </c>
      <c r="K16" s="13">
        <f t="shared" si="8"/>
        <v>138.72760399194672</v>
      </c>
      <c r="L16" s="11">
        <v>5</v>
      </c>
      <c r="M16" s="11">
        <v>0.2</v>
      </c>
      <c r="N16" s="11">
        <f>D16*H16*(1-M16)/L16/F16</f>
        <v>3.4531006191084042</v>
      </c>
      <c r="O16" s="11"/>
      <c r="P16" s="11"/>
    </row>
    <row r="17" spans="1:16" x14ac:dyDescent="0.2">
      <c r="A17" s="11"/>
      <c r="B17" s="11">
        <v>800</v>
      </c>
      <c r="C17" s="12">
        <f>B17+273</f>
        <v>1073</v>
      </c>
      <c r="D17" s="11">
        <v>265</v>
      </c>
      <c r="E17" s="11"/>
      <c r="F17" s="11">
        <v>290</v>
      </c>
      <c r="G17" s="11"/>
      <c r="H17" s="11">
        <f t="shared" si="6"/>
        <v>19.141555392032632</v>
      </c>
      <c r="I17" s="13">
        <f t="shared" si="5"/>
        <v>1202.5769024682752</v>
      </c>
      <c r="J17" s="13">
        <f t="shared" si="7"/>
        <v>3.0651199853458806</v>
      </c>
      <c r="K17" s="13">
        <f t="shared" si="8"/>
        <v>192.5675537947721</v>
      </c>
      <c r="L17" s="11">
        <v>5</v>
      </c>
      <c r="M17" s="11">
        <v>0.2</v>
      </c>
      <c r="N17" s="11">
        <f>D17*H17*(1-M17)/L17/F17</f>
        <v>2.7986274090420125</v>
      </c>
      <c r="O17" s="11"/>
      <c r="P17" s="11"/>
    </row>
    <row r="18" spans="1:16" x14ac:dyDescent="0.2">
      <c r="A18" s="11"/>
      <c r="B18" s="11">
        <v>1000</v>
      </c>
      <c r="C18" s="12">
        <f>B18+273</f>
        <v>1273</v>
      </c>
      <c r="D18" s="11">
        <v>265</v>
      </c>
      <c r="E18" s="11"/>
      <c r="F18" s="11">
        <v>280</v>
      </c>
      <c r="G18" s="11"/>
      <c r="H18" s="11">
        <f t="shared" si="6"/>
        <v>16.755350224614673</v>
      </c>
      <c r="I18" s="13">
        <f t="shared" si="5"/>
        <v>1252.7330992137322</v>
      </c>
      <c r="J18" s="13">
        <f t="shared" si="7"/>
        <v>3.0556721285212181</v>
      </c>
      <c r="K18" s="13">
        <f t="shared" si="8"/>
        <v>228.46085366332233</v>
      </c>
      <c r="L18" s="11">
        <v>5</v>
      </c>
      <c r="M18" s="11">
        <v>0.2</v>
      </c>
      <c r="N18" s="11">
        <f>D18*H18*(1-M18)/L18/F18</f>
        <v>2.5372387482987935</v>
      </c>
      <c r="O18" s="11"/>
      <c r="P18" s="11"/>
    </row>
    <row r="19" spans="1:16" x14ac:dyDescent="0.2">
      <c r="A19" s="11"/>
      <c r="B19" s="11">
        <v>1200</v>
      </c>
      <c r="C19" s="12">
        <f>B19+273</f>
        <v>1473</v>
      </c>
      <c r="D19" s="11">
        <v>265</v>
      </c>
      <c r="E19" s="11"/>
      <c r="F19" s="11">
        <v>270</v>
      </c>
      <c r="G19" s="11"/>
      <c r="H19" s="11">
        <f t="shared" si="6"/>
        <v>14.895895567839851</v>
      </c>
      <c r="I19" s="13">
        <f t="shared" si="5"/>
        <v>1292.5786911247831</v>
      </c>
      <c r="J19" s="13">
        <f t="shared" si="7"/>
        <v>3.0464619995467106</v>
      </c>
      <c r="K19" s="13">
        <f t="shared" si="8"/>
        <v>264.35415353187261</v>
      </c>
      <c r="L19" s="11">
        <v>5</v>
      </c>
      <c r="M19" s="11">
        <v>0.2</v>
      </c>
      <c r="N19" s="11">
        <f>D19*H19*(1-M19)/L19/F19</f>
        <v>2.3392073039867025</v>
      </c>
      <c r="O19" s="11"/>
      <c r="P19" s="11"/>
    </row>
    <row r="20" spans="1:16" x14ac:dyDescent="0.2">
      <c r="A20" s="11"/>
      <c r="B20" s="11">
        <v>1400</v>
      </c>
      <c r="C20" s="12">
        <f t="shared" si="4"/>
        <v>1673</v>
      </c>
      <c r="D20" s="11">
        <v>263</v>
      </c>
      <c r="E20" s="11"/>
      <c r="F20" s="11">
        <v>260</v>
      </c>
      <c r="G20" s="11"/>
      <c r="H20" s="11">
        <f t="shared" si="6"/>
        <v>13.388260284378058</v>
      </c>
      <c r="I20" s="13">
        <f t="shared" si="5"/>
        <v>1323.3811871959444</v>
      </c>
      <c r="J20" s="13">
        <f t="shared" si="7"/>
        <v>3.0375156415544158</v>
      </c>
      <c r="K20" s="13">
        <f t="shared" si="8"/>
        <v>300.2474534004229</v>
      </c>
      <c r="L20" s="11">
        <v>5</v>
      </c>
      <c r="M20" s="11">
        <v>0.2</v>
      </c>
      <c r="N20" s="11">
        <f t="shared" si="1"/>
        <v>2.1668384337178028</v>
      </c>
      <c r="O20" s="11"/>
      <c r="P20" s="11"/>
    </row>
    <row r="21" spans="1:16" x14ac:dyDescent="0.2">
      <c r="A21" s="11"/>
      <c r="B21" s="11">
        <v>1500</v>
      </c>
      <c r="C21" s="12">
        <f t="shared" si="4"/>
        <v>1773</v>
      </c>
      <c r="D21" s="11">
        <v>262</v>
      </c>
      <c r="E21" s="11"/>
      <c r="F21" s="11">
        <v>240</v>
      </c>
      <c r="G21" s="11"/>
      <c r="H21" s="11">
        <f t="shared" si="6"/>
        <v>12.731455384537611</v>
      </c>
      <c r="I21" s="13">
        <f t="shared" si="5"/>
        <v>1335.6015290040953</v>
      </c>
      <c r="J21" s="13">
        <f t="shared" si="7"/>
        <v>3.0331456967179293</v>
      </c>
      <c r="K21" s="13">
        <f t="shared" si="8"/>
        <v>318.19410333469801</v>
      </c>
      <c r="L21" s="11">
        <v>5</v>
      </c>
      <c r="M21" s="11">
        <v>0.2</v>
      </c>
      <c r="N21" s="11">
        <f t="shared" si="1"/>
        <v>2.2237608738325694</v>
      </c>
      <c r="O21" s="11"/>
      <c r="P21" s="11"/>
    </row>
    <row r="22" spans="1:16" x14ac:dyDescent="0.2">
      <c r="A22" s="11"/>
      <c r="B22" s="11">
        <v>1600</v>
      </c>
      <c r="C22" s="12">
        <f t="shared" si="4"/>
        <v>1873</v>
      </c>
      <c r="D22" s="11">
        <v>260</v>
      </c>
      <c r="E22" s="11"/>
      <c r="F22" s="11">
        <v>200</v>
      </c>
      <c r="G22" s="11"/>
      <c r="H22" s="11">
        <f t="shared" si="6"/>
        <v>12.126261298611716</v>
      </c>
      <c r="I22" s="13">
        <f t="shared" si="5"/>
        <v>1345.7701778061046</v>
      </c>
      <c r="J22" s="13">
        <f t="shared" si="7"/>
        <v>3.0288459905514551</v>
      </c>
      <c r="K22" s="13">
        <f t="shared" si="8"/>
        <v>336.14075326897313</v>
      </c>
      <c r="L22" s="11">
        <v>5</v>
      </c>
      <c r="M22" s="11">
        <v>0.2</v>
      </c>
      <c r="N22" s="11">
        <f t="shared" si="1"/>
        <v>2.5222623501112373</v>
      </c>
      <c r="O22" s="11"/>
      <c r="P22" s="11"/>
    </row>
    <row r="23" spans="1:16" x14ac:dyDescent="0.2">
      <c r="A23" s="11"/>
      <c r="B23" s="11">
        <v>1700</v>
      </c>
      <c r="C23" s="12">
        <f t="shared" si="4"/>
        <v>1973</v>
      </c>
      <c r="D23" s="11">
        <v>250</v>
      </c>
      <c r="E23" s="11"/>
      <c r="F23" s="11">
        <v>180</v>
      </c>
      <c r="G23" s="11"/>
      <c r="H23" s="11">
        <f t="shared" si="6"/>
        <v>11.565219785573429</v>
      </c>
      <c r="I23" s="13">
        <f t="shared" si="5"/>
        <v>1353.9229236181784</v>
      </c>
      <c r="J23" s="13">
        <f t="shared" si="7"/>
        <v>3.0246172584218591</v>
      </c>
      <c r="K23" s="13">
        <f t="shared" si="8"/>
        <v>354.08740320324824</v>
      </c>
      <c r="L23" s="11">
        <v>5</v>
      </c>
      <c r="M23" s="11">
        <v>0.2</v>
      </c>
      <c r="N23" s="11">
        <f t="shared" si="1"/>
        <v>2.5700488412385396</v>
      </c>
      <c r="O23" s="11"/>
      <c r="P23" s="11"/>
    </row>
    <row r="24" spans="1:16" x14ac:dyDescent="0.2">
      <c r="A24" s="11"/>
      <c r="B24" s="11">
        <v>1800</v>
      </c>
      <c r="C24" s="12">
        <f t="shared" si="4"/>
        <v>2073</v>
      </c>
      <c r="D24" s="11">
        <v>125</v>
      </c>
      <c r="E24" s="11"/>
      <c r="F24" s="11">
        <v>160</v>
      </c>
      <c r="G24" s="11"/>
      <c r="H24" s="11">
        <f t="shared" si="6"/>
        <v>11.042238868783357</v>
      </c>
      <c r="I24" s="13">
        <f t="shared" si="5"/>
        <v>1360.087137971113</v>
      </c>
      <c r="J24" s="13">
        <f t="shared" si="7"/>
        <v>3.0204600627238829</v>
      </c>
      <c r="K24" s="13">
        <f t="shared" si="8"/>
        <v>372.03405313752341</v>
      </c>
      <c r="L24" s="11">
        <v>5</v>
      </c>
      <c r="M24" s="11">
        <v>0.2</v>
      </c>
      <c r="N24" s="11">
        <f t="shared" si="1"/>
        <v>1.3802798585979199</v>
      </c>
      <c r="O24" s="11"/>
      <c r="P24" s="11"/>
    </row>
    <row r="25" spans="1:16" x14ac:dyDescent="0.2">
      <c r="A25" s="14" t="s">
        <v>45</v>
      </c>
      <c r="B25" s="15">
        <v>20</v>
      </c>
      <c r="C25" s="16">
        <f>B25+273</f>
        <v>293</v>
      </c>
      <c r="D25" s="15">
        <v>425</v>
      </c>
      <c r="E25" s="15"/>
      <c r="F25" s="15">
        <f t="shared" ref="F25:F31" si="9">((1.28-0.0000961*C25)+0.04)*100</f>
        <v>129.18427000000003</v>
      </c>
      <c r="G25" s="15"/>
      <c r="H25" s="15">
        <f>30.35*(1-0.0002835*(B25 - 20))</f>
        <v>30.35</v>
      </c>
      <c r="I25" s="15"/>
      <c r="J25" s="15"/>
      <c r="K25" s="15"/>
      <c r="L25" s="15">
        <f>9.08*(1+0.000121*B25+0.0000002284*B25^2-0.00000000024*B25^3)</f>
        <v>9.1027857152000013</v>
      </c>
      <c r="M25" s="15">
        <v>0.3</v>
      </c>
      <c r="N25" s="11">
        <f t="shared" si="1"/>
        <v>7.6782404938967082</v>
      </c>
      <c r="O25" s="15" t="s">
        <v>46</v>
      </c>
      <c r="P25" s="15"/>
    </row>
    <row r="26" spans="1:16" x14ac:dyDescent="0.2">
      <c r="A26" s="15"/>
      <c r="B26" s="15">
        <v>100</v>
      </c>
      <c r="C26" s="16">
        <f t="shared" ref="C26:C43" si="10">B26+273</f>
        <v>373</v>
      </c>
      <c r="D26" s="15">
        <v>400</v>
      </c>
      <c r="E26" s="15"/>
      <c r="F26" s="15">
        <f t="shared" si="9"/>
        <v>128.41547</v>
      </c>
      <c r="G26" s="15"/>
      <c r="H26" s="15">
        <f t="shared" ref="H26:H34" si="11">30.35*(1-0.0002835*(B26 - 20))</f>
        <v>29.661662</v>
      </c>
      <c r="I26" s="15"/>
      <c r="J26" s="15"/>
      <c r="K26" s="15"/>
      <c r="L26" s="15">
        <f>9.08*(1+0.000121*B26+0.0000002284*B26^2-0.00000000024*B26^3)</f>
        <v>9.208427519999999</v>
      </c>
      <c r="M26" s="15">
        <v>0.3</v>
      </c>
      <c r="N26" s="11">
        <f>D26*H26*(1-M26)/L26/F26</f>
        <v>7.0234532073945362</v>
      </c>
      <c r="O26" s="15"/>
      <c r="P26" s="15"/>
    </row>
    <row r="27" spans="1:16" x14ac:dyDescent="0.2">
      <c r="A27" s="15"/>
      <c r="B27" s="15">
        <f t="shared" ref="B27:B32" si="12">B26+100</f>
        <v>200</v>
      </c>
      <c r="C27" s="16">
        <f t="shared" si="10"/>
        <v>473</v>
      </c>
      <c r="D27" s="15">
        <v>360</v>
      </c>
      <c r="E27" s="15"/>
      <c r="F27" s="15">
        <f t="shared" si="9"/>
        <v>127.45447000000001</v>
      </c>
      <c r="G27" s="15"/>
      <c r="H27" s="15">
        <f t="shared" si="11"/>
        <v>28.801239500000001</v>
      </c>
      <c r="I27" s="15"/>
      <c r="J27" s="15"/>
      <c r="K27" s="15"/>
      <c r="L27" s="15">
        <f>9.08*(1+0.000121*B27+0.0000002284*B27^2-0.00000000024*B27^3)</f>
        <v>9.3652572800000016</v>
      </c>
      <c r="M27" s="15">
        <v>0.3</v>
      </c>
      <c r="N27" s="11">
        <f t="shared" si="1"/>
        <v>6.0804669931622373</v>
      </c>
      <c r="O27" s="15"/>
      <c r="P27" s="15"/>
    </row>
    <row r="28" spans="1:16" x14ac:dyDescent="0.2">
      <c r="A28" s="15"/>
      <c r="B28" s="15">
        <f t="shared" si="12"/>
        <v>300</v>
      </c>
      <c r="C28" s="16">
        <f t="shared" si="10"/>
        <v>573</v>
      </c>
      <c r="D28" s="15">
        <v>330</v>
      </c>
      <c r="E28" s="15"/>
      <c r="F28" s="15">
        <f t="shared" si="9"/>
        <v>126.49347</v>
      </c>
      <c r="G28" s="15"/>
      <c r="H28" s="15">
        <f t="shared" si="11"/>
        <v>27.940817000000003</v>
      </c>
      <c r="I28" s="15"/>
      <c r="J28" s="15"/>
      <c r="K28" s="15"/>
      <c r="L28" s="15">
        <f t="shared" ref="L28:L34" si="13">9.08*(1+0.000121*B28+0.0000002284*B28^2-0.00000000024*B28^3)</f>
        <v>9.5374140799999996</v>
      </c>
      <c r="M28" s="15">
        <v>0.3</v>
      </c>
      <c r="N28" s="11">
        <f t="shared" si="1"/>
        <v>5.3499821847684164</v>
      </c>
      <c r="O28" s="15"/>
      <c r="P28" s="15"/>
    </row>
    <row r="29" spans="1:16" x14ac:dyDescent="0.2">
      <c r="A29" s="15"/>
      <c r="B29" s="15">
        <f t="shared" si="12"/>
        <v>400</v>
      </c>
      <c r="C29" s="16">
        <f t="shared" si="10"/>
        <v>673</v>
      </c>
      <c r="D29" s="15">
        <v>340</v>
      </c>
      <c r="E29" s="15"/>
      <c r="F29" s="15">
        <f t="shared" si="9"/>
        <v>125.53247</v>
      </c>
      <c r="G29" s="15"/>
      <c r="H29" s="15">
        <f t="shared" si="11"/>
        <v>27.080394500000001</v>
      </c>
      <c r="I29" s="15"/>
      <c r="J29" s="15"/>
      <c r="K29" s="15"/>
      <c r="L29" s="15">
        <f t="shared" si="13"/>
        <v>9.7118227199999989</v>
      </c>
      <c r="M29" s="15">
        <v>0.3</v>
      </c>
      <c r="N29" s="11">
        <f t="shared" si="1"/>
        <v>5.2865838324705861</v>
      </c>
      <c r="O29" s="15"/>
      <c r="P29" s="15"/>
    </row>
    <row r="30" spans="1:16" x14ac:dyDescent="0.2">
      <c r="A30" s="15"/>
      <c r="B30" s="15">
        <f t="shared" si="12"/>
        <v>500</v>
      </c>
      <c r="C30" s="16">
        <f t="shared" si="10"/>
        <v>773</v>
      </c>
      <c r="D30" s="15">
        <v>350</v>
      </c>
      <c r="E30" s="15"/>
      <c r="F30" s="15">
        <f t="shared" si="9"/>
        <v>124.57147000000002</v>
      </c>
      <c r="G30" s="15"/>
      <c r="H30" s="15">
        <f t="shared" si="11"/>
        <v>26.219972000000002</v>
      </c>
      <c r="I30" s="15"/>
      <c r="J30" s="15"/>
      <c r="K30" s="15"/>
      <c r="L30" s="15">
        <f t="shared" si="13"/>
        <v>9.8754079999999984</v>
      </c>
      <c r="M30" s="15">
        <v>0.3</v>
      </c>
      <c r="N30" s="11">
        <f t="shared" si="1"/>
        <v>5.2218533521311592</v>
      </c>
      <c r="O30" s="15"/>
      <c r="P30" s="15"/>
    </row>
    <row r="31" spans="1:16" x14ac:dyDescent="0.2">
      <c r="A31" s="15"/>
      <c r="B31" s="15">
        <f t="shared" si="12"/>
        <v>600</v>
      </c>
      <c r="C31" s="16">
        <f t="shared" si="10"/>
        <v>873</v>
      </c>
      <c r="D31" s="15">
        <v>365</v>
      </c>
      <c r="E31" s="15"/>
      <c r="F31" s="15">
        <f t="shared" si="9"/>
        <v>123.61047000000001</v>
      </c>
      <c r="G31" s="15"/>
      <c r="H31" s="15">
        <f t="shared" si="11"/>
        <v>25.359549500000004</v>
      </c>
      <c r="I31" s="15"/>
      <c r="J31" s="15"/>
      <c r="K31" s="15"/>
      <c r="L31" s="15">
        <f t="shared" si="13"/>
        <v>10.015094720000002</v>
      </c>
      <c r="M31" s="15">
        <v>0.3</v>
      </c>
      <c r="N31" s="11">
        <f t="shared" si="1"/>
        <v>5.2338602210465135</v>
      </c>
      <c r="O31" s="15"/>
      <c r="P31" s="15"/>
    </row>
    <row r="32" spans="1:16" x14ac:dyDescent="0.2">
      <c r="A32" s="15"/>
      <c r="B32" s="15">
        <f t="shared" si="12"/>
        <v>700</v>
      </c>
      <c r="C32" s="16">
        <f t="shared" si="10"/>
        <v>973</v>
      </c>
      <c r="D32" s="15">
        <v>390</v>
      </c>
      <c r="E32" s="15"/>
      <c r="F32" s="15">
        <v>121</v>
      </c>
      <c r="G32" s="15"/>
      <c r="H32" s="15">
        <f t="shared" si="11"/>
        <v>24.499127000000001</v>
      </c>
      <c r="I32" s="15"/>
      <c r="J32" s="15"/>
      <c r="K32" s="15"/>
      <c r="L32" s="15">
        <f t="shared" si="13"/>
        <v>10.11780768</v>
      </c>
      <c r="M32" s="15">
        <v>0.3</v>
      </c>
      <c r="N32" s="11">
        <f t="shared" si="1"/>
        <v>5.4631291274924898</v>
      </c>
      <c r="O32" s="15"/>
      <c r="P32" s="15"/>
    </row>
    <row r="33" spans="1:16" x14ac:dyDescent="0.2">
      <c r="A33" s="15"/>
      <c r="B33" s="15">
        <v>750</v>
      </c>
      <c r="C33" s="16">
        <f t="shared" si="10"/>
        <v>1023</v>
      </c>
      <c r="D33" s="15">
        <v>390</v>
      </c>
      <c r="E33" s="15"/>
      <c r="F33" s="15">
        <v>118</v>
      </c>
      <c r="G33" s="15"/>
      <c r="H33" s="15">
        <f t="shared" si="11"/>
        <v>24.068915750000002</v>
      </c>
      <c r="I33" s="15"/>
      <c r="J33" s="15"/>
      <c r="K33" s="15"/>
      <c r="L33" s="15">
        <f t="shared" si="13"/>
        <v>10.151212999999997</v>
      </c>
      <c r="M33" s="15">
        <v>0.3</v>
      </c>
      <c r="N33" s="11">
        <f t="shared" si="1"/>
        <v>5.4855379750834734</v>
      </c>
      <c r="O33" s="15"/>
      <c r="P33" s="15"/>
    </row>
    <row r="34" spans="1:16" x14ac:dyDescent="0.2">
      <c r="A34" s="15"/>
      <c r="B34" s="15">
        <v>800</v>
      </c>
      <c r="C34" s="16">
        <f t="shared" si="10"/>
        <v>1073</v>
      </c>
      <c r="D34" s="15">
        <v>335</v>
      </c>
      <c r="E34" s="15"/>
      <c r="F34" s="15">
        <v>115</v>
      </c>
      <c r="G34" s="15"/>
      <c r="H34" s="15">
        <f t="shared" si="11"/>
        <v>23.638704499999999</v>
      </c>
      <c r="I34" s="15"/>
      <c r="J34" s="15"/>
      <c r="K34" s="15"/>
      <c r="L34" s="15">
        <f t="shared" si="13"/>
        <v>10.17047168</v>
      </c>
      <c r="M34" s="15">
        <v>0.3</v>
      </c>
      <c r="N34" s="11">
        <f t="shared" si="1"/>
        <v>4.7394460455134571</v>
      </c>
      <c r="O34" s="15"/>
      <c r="P34" s="15"/>
    </row>
    <row r="35" spans="1:16" x14ac:dyDescent="0.2">
      <c r="A35" s="17" t="s">
        <v>47</v>
      </c>
      <c r="B35" s="18">
        <v>26</v>
      </c>
      <c r="C35" s="19">
        <f t="shared" si="10"/>
        <v>299</v>
      </c>
      <c r="D35" s="18">
        <v>535</v>
      </c>
      <c r="E35" s="18">
        <v>263</v>
      </c>
      <c r="F35" s="18"/>
      <c r="G35" s="18"/>
      <c r="H35" s="18"/>
      <c r="I35" s="18"/>
      <c r="J35" s="18"/>
      <c r="K35" s="18"/>
      <c r="L35" s="18"/>
      <c r="M35" s="18"/>
      <c r="N35" s="18"/>
      <c r="O35" s="18" t="s">
        <v>48</v>
      </c>
      <c r="P35" s="18"/>
    </row>
    <row r="36" spans="1:16" x14ac:dyDescent="0.2">
      <c r="A36" s="18"/>
      <c r="B36" s="18">
        <v>200</v>
      </c>
      <c r="C36" s="19">
        <f t="shared" si="10"/>
        <v>473</v>
      </c>
      <c r="D36" s="18">
        <v>464</v>
      </c>
      <c r="E36" s="18">
        <v>207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16" x14ac:dyDescent="0.2">
      <c r="A37" s="18"/>
      <c r="B37" s="18">
        <v>400</v>
      </c>
      <c r="C37" s="19">
        <f t="shared" si="10"/>
        <v>673</v>
      </c>
      <c r="D37" s="18">
        <v>463</v>
      </c>
      <c r="E37" s="18">
        <v>174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1:16" x14ac:dyDescent="0.2">
      <c r="A38" s="18"/>
      <c r="B38" s="18">
        <v>500</v>
      </c>
      <c r="C38" s="19">
        <f t="shared" si="10"/>
        <v>773</v>
      </c>
      <c r="D38" s="18">
        <v>444</v>
      </c>
      <c r="E38" s="18">
        <v>227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1:16" x14ac:dyDescent="0.2">
      <c r="A39" s="18"/>
      <c r="B39" s="18">
        <v>600</v>
      </c>
      <c r="C39" s="19">
        <f t="shared" si="10"/>
        <v>873</v>
      </c>
      <c r="D39" s="18">
        <v>424</v>
      </c>
      <c r="E39" s="18">
        <v>234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</row>
    <row r="40" spans="1:16" x14ac:dyDescent="0.2">
      <c r="A40" s="18"/>
      <c r="B40" s="18">
        <v>750</v>
      </c>
      <c r="C40" s="19">
        <f t="shared" si="10"/>
        <v>1023</v>
      </c>
      <c r="D40" s="18">
        <v>298</v>
      </c>
      <c r="E40" s="18">
        <v>134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</row>
    <row r="41" spans="1:16" x14ac:dyDescent="0.2">
      <c r="A41" s="18"/>
      <c r="B41" s="18">
        <v>800</v>
      </c>
      <c r="C41" s="19">
        <f t="shared" si="10"/>
        <v>1073</v>
      </c>
      <c r="D41" s="18">
        <v>224</v>
      </c>
      <c r="E41" s="18">
        <v>120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1:16" x14ac:dyDescent="0.2">
      <c r="A42" s="18"/>
      <c r="B42" s="18">
        <v>850</v>
      </c>
      <c r="C42" s="19">
        <f t="shared" si="10"/>
        <v>1123</v>
      </c>
      <c r="D42" s="18">
        <v>165</v>
      </c>
      <c r="E42" s="18">
        <v>150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spans="1:16" x14ac:dyDescent="0.2">
      <c r="A43" s="18"/>
      <c r="B43" s="18">
        <v>900</v>
      </c>
      <c r="C43" s="19">
        <f t="shared" si="10"/>
        <v>1173</v>
      </c>
      <c r="D43" s="18">
        <v>125</v>
      </c>
      <c r="E43" s="18">
        <v>116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1:16" x14ac:dyDescent="0.2">
      <c r="A44" s="18"/>
      <c r="B44" s="18"/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1:16" x14ac:dyDescent="0.2">
      <c r="A45" s="20" t="s">
        <v>49</v>
      </c>
      <c r="B45" s="21">
        <v>20</v>
      </c>
      <c r="C45" s="21">
        <f t="shared" ref="C45:C108" si="14">B45+273</f>
        <v>293</v>
      </c>
      <c r="D45" s="21">
        <v>190</v>
      </c>
      <c r="E45" s="21"/>
      <c r="F45" s="21">
        <v>114</v>
      </c>
      <c r="G45" s="21"/>
      <c r="H45" s="21"/>
      <c r="I45" s="21"/>
      <c r="J45" s="21"/>
      <c r="K45" s="21"/>
      <c r="L45" s="21"/>
      <c r="M45" s="21"/>
      <c r="N45" s="21"/>
      <c r="O45" s="21" t="s">
        <v>50</v>
      </c>
      <c r="P45" s="21"/>
    </row>
    <row r="46" spans="1:16" x14ac:dyDescent="0.2">
      <c r="A46" s="21"/>
      <c r="B46" s="21">
        <v>1200</v>
      </c>
      <c r="C46" s="21">
        <f t="shared" si="14"/>
        <v>1473</v>
      </c>
      <c r="D46" s="21">
        <v>220</v>
      </c>
      <c r="E46" s="21"/>
      <c r="F46" s="21">
        <v>87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 x14ac:dyDescent="0.2">
      <c r="A47" s="21"/>
      <c r="B47" s="21">
        <v>1300</v>
      </c>
      <c r="C47" s="21">
        <f t="shared" si="14"/>
        <v>1573</v>
      </c>
      <c r="D47" s="21">
        <v>215</v>
      </c>
      <c r="E47" s="21"/>
      <c r="F47" s="21">
        <v>84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16" x14ac:dyDescent="0.2">
      <c r="A48" s="21"/>
      <c r="B48" s="21">
        <v>1400</v>
      </c>
      <c r="C48" s="21">
        <f t="shared" si="14"/>
        <v>1673</v>
      </c>
      <c r="D48" s="21">
        <v>165</v>
      </c>
      <c r="E48" s="21"/>
      <c r="F48" s="21">
        <v>80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49" spans="1:16" x14ac:dyDescent="0.2">
      <c r="A49" s="22" t="s">
        <v>51</v>
      </c>
      <c r="B49" s="23">
        <v>0</v>
      </c>
      <c r="C49" s="24">
        <f t="shared" si="14"/>
        <v>273</v>
      </c>
      <c r="D49" s="23">
        <f>-0.000000006*B49^4+0.000003*B49^3+0.0007*B49^2-0.6782*B49+693.09</f>
        <v>693.09</v>
      </c>
      <c r="E49" s="23">
        <f t="shared" ref="E49:E60" si="15">0.0000000008*B49^4-0.000003*B49^3+0.0016*B49^2-0.4878*B49+536.1</f>
        <v>536.1</v>
      </c>
      <c r="F49" s="23"/>
      <c r="G49" s="23"/>
      <c r="H49" s="23"/>
      <c r="I49" s="23"/>
      <c r="J49" s="23"/>
      <c r="K49" s="23"/>
      <c r="L49" s="23"/>
      <c r="M49" s="23"/>
      <c r="N49" s="23"/>
      <c r="O49" s="23" t="s">
        <v>52</v>
      </c>
      <c r="P49" s="23"/>
    </row>
    <row r="50" spans="1:16" x14ac:dyDescent="0.2">
      <c r="A50" s="23"/>
      <c r="B50" s="23">
        <f>B49+50</f>
        <v>50</v>
      </c>
      <c r="C50" s="24">
        <f t="shared" si="14"/>
        <v>323</v>
      </c>
      <c r="D50" s="23">
        <f t="shared" ref="D50:D60" si="16">-0.000000006*B50^4+0.000003*B50^3+0.0007*B50^2-0.6782*B50+693.09</f>
        <v>661.26750000000004</v>
      </c>
      <c r="E50" s="23">
        <f t="shared" si="15"/>
        <v>515.34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</row>
    <row r="51" spans="1:16" x14ac:dyDescent="0.2">
      <c r="A51" s="23"/>
      <c r="B51" s="23">
        <f t="shared" ref="B51:B58" si="17">B50+50</f>
        <v>100</v>
      </c>
      <c r="C51" s="24">
        <f t="shared" si="14"/>
        <v>373</v>
      </c>
      <c r="D51" s="23">
        <f t="shared" si="16"/>
        <v>634.67000000000007</v>
      </c>
      <c r="E51" s="23">
        <f t="shared" si="15"/>
        <v>500.40000000000003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</row>
    <row r="52" spans="1:16" x14ac:dyDescent="0.2">
      <c r="A52" s="23"/>
      <c r="B52" s="23">
        <f t="shared" si="17"/>
        <v>150</v>
      </c>
      <c r="C52" s="24">
        <f t="shared" si="14"/>
        <v>423</v>
      </c>
      <c r="D52" s="23">
        <f t="shared" si="16"/>
        <v>614.19749999999999</v>
      </c>
      <c r="E52" s="23">
        <f t="shared" si="15"/>
        <v>489.21000000000004</v>
      </c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</row>
    <row r="53" spans="1:16" x14ac:dyDescent="0.2">
      <c r="A53" s="23"/>
      <c r="B53" s="23">
        <f t="shared" si="17"/>
        <v>200</v>
      </c>
      <c r="C53" s="24">
        <f t="shared" si="14"/>
        <v>473</v>
      </c>
      <c r="D53" s="23">
        <f t="shared" si="16"/>
        <v>599.85</v>
      </c>
      <c r="E53" s="23">
        <f t="shared" si="15"/>
        <v>479.82000000000005</v>
      </c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</row>
    <row r="54" spans="1:16" x14ac:dyDescent="0.2">
      <c r="A54" s="23"/>
      <c r="B54" s="23">
        <f t="shared" si="17"/>
        <v>250</v>
      </c>
      <c r="C54" s="24">
        <f t="shared" si="14"/>
        <v>523</v>
      </c>
      <c r="D54" s="23">
        <f t="shared" si="16"/>
        <v>590.72749999999996</v>
      </c>
      <c r="E54" s="23">
        <f t="shared" si="15"/>
        <v>470.40000000000003</v>
      </c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</row>
    <row r="55" spans="1:16" x14ac:dyDescent="0.2">
      <c r="A55" s="23"/>
      <c r="B55" s="23">
        <f t="shared" si="17"/>
        <v>300</v>
      </c>
      <c r="C55" s="24">
        <f t="shared" si="14"/>
        <v>573</v>
      </c>
      <c r="D55" s="23">
        <f t="shared" si="16"/>
        <v>585.03</v>
      </c>
      <c r="E55" s="23">
        <f t="shared" si="15"/>
        <v>459.24</v>
      </c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</row>
    <row r="56" spans="1:16" x14ac:dyDescent="0.2">
      <c r="A56" s="23"/>
      <c r="B56" s="23">
        <f t="shared" si="17"/>
        <v>350</v>
      </c>
      <c r="C56" s="24">
        <f t="shared" si="14"/>
        <v>623</v>
      </c>
      <c r="D56" s="23">
        <f t="shared" si="16"/>
        <v>580.0575</v>
      </c>
      <c r="E56" s="23">
        <f t="shared" si="15"/>
        <v>444.75</v>
      </c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</row>
    <row r="57" spans="1:16" x14ac:dyDescent="0.2">
      <c r="A57" s="23"/>
      <c r="B57" s="23">
        <f t="shared" si="17"/>
        <v>400</v>
      </c>
      <c r="C57" s="24">
        <f t="shared" si="14"/>
        <v>673</v>
      </c>
      <c r="D57" s="23">
        <f t="shared" si="16"/>
        <v>572.21</v>
      </c>
      <c r="E57" s="23">
        <f t="shared" si="15"/>
        <v>425.46000000000004</v>
      </c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1:16" x14ac:dyDescent="0.2">
      <c r="A58" s="23"/>
      <c r="B58" s="23">
        <f t="shared" si="17"/>
        <v>450</v>
      </c>
      <c r="C58" s="24">
        <f t="shared" si="14"/>
        <v>723</v>
      </c>
      <c r="D58" s="23">
        <f t="shared" si="16"/>
        <v>556.98750000000007</v>
      </c>
      <c r="E58" s="23">
        <f t="shared" si="15"/>
        <v>400.02000000000004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</row>
    <row r="59" spans="1:16" x14ac:dyDescent="0.2">
      <c r="A59" s="23"/>
      <c r="B59" s="23">
        <f>B58+50</f>
        <v>500</v>
      </c>
      <c r="C59" s="24">
        <f t="shared" si="14"/>
        <v>773</v>
      </c>
      <c r="D59" s="23">
        <f t="shared" si="16"/>
        <v>528.99</v>
      </c>
      <c r="E59" s="23">
        <f t="shared" si="15"/>
        <v>367.20000000000005</v>
      </c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1:16" x14ac:dyDescent="0.2">
      <c r="A60" s="23"/>
      <c r="B60" s="23">
        <f>B59+50</f>
        <v>550</v>
      </c>
      <c r="C60" s="24">
        <f t="shared" si="14"/>
        <v>823</v>
      </c>
      <c r="D60" s="23">
        <f t="shared" si="16"/>
        <v>481.91750000000002</v>
      </c>
      <c r="E60" s="23">
        <f t="shared" si="15"/>
        <v>325.89</v>
      </c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</row>
    <row r="61" spans="1:16" x14ac:dyDescent="0.2">
      <c r="A61" s="25" t="s">
        <v>53</v>
      </c>
      <c r="B61" s="26">
        <v>26</v>
      </c>
      <c r="C61" s="27">
        <f t="shared" si="14"/>
        <v>299</v>
      </c>
      <c r="D61" s="26">
        <v>751</v>
      </c>
      <c r="E61" s="26">
        <v>330</v>
      </c>
      <c r="F61" s="26"/>
      <c r="G61" s="26"/>
      <c r="H61" s="26"/>
      <c r="I61" s="26"/>
      <c r="J61" s="26"/>
      <c r="K61" s="26"/>
      <c r="L61" s="26"/>
      <c r="M61" s="26"/>
      <c r="N61" s="26"/>
      <c r="O61" s="26" t="s">
        <v>48</v>
      </c>
      <c r="P61" s="26"/>
    </row>
    <row r="62" spans="1:16" x14ac:dyDescent="0.2">
      <c r="A62" s="26"/>
      <c r="B62" s="26">
        <v>200</v>
      </c>
      <c r="C62" s="27">
        <f t="shared" si="14"/>
        <v>473</v>
      </c>
      <c r="D62" s="26">
        <v>664</v>
      </c>
      <c r="E62" s="26">
        <v>273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</row>
    <row r="63" spans="1:16" x14ac:dyDescent="0.2">
      <c r="A63" s="26"/>
      <c r="B63" s="26">
        <v>400</v>
      </c>
      <c r="C63" s="27">
        <f t="shared" si="14"/>
        <v>673</v>
      </c>
      <c r="D63" s="26">
        <v>617</v>
      </c>
      <c r="E63" s="26">
        <v>248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1:16" x14ac:dyDescent="0.2">
      <c r="A64" s="26"/>
      <c r="B64" s="26">
        <v>500</v>
      </c>
      <c r="C64" s="27">
        <f t="shared" si="14"/>
        <v>773</v>
      </c>
      <c r="D64" s="26">
        <v>608</v>
      </c>
      <c r="E64" s="26">
        <v>235</v>
      </c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 x14ac:dyDescent="0.2">
      <c r="A65" s="26"/>
      <c r="B65" s="26">
        <v>600</v>
      </c>
      <c r="C65" s="27">
        <f t="shared" si="14"/>
        <v>873</v>
      </c>
      <c r="D65" s="26">
        <v>555</v>
      </c>
      <c r="E65" s="26">
        <v>197</v>
      </c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x14ac:dyDescent="0.2">
      <c r="A66" s="26"/>
      <c r="B66" s="26">
        <v>750</v>
      </c>
      <c r="C66" s="27">
        <f t="shared" si="14"/>
        <v>1023</v>
      </c>
      <c r="D66" s="26">
        <v>488</v>
      </c>
      <c r="E66" s="26">
        <v>196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</row>
    <row r="67" spans="1:16" x14ac:dyDescent="0.2">
      <c r="A67" s="26"/>
      <c r="B67" s="26">
        <v>800</v>
      </c>
      <c r="C67" s="27">
        <f t="shared" si="14"/>
        <v>1073</v>
      </c>
      <c r="D67" s="26">
        <v>413</v>
      </c>
      <c r="E67" s="26">
        <v>218</v>
      </c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</row>
    <row r="68" spans="1:16" x14ac:dyDescent="0.2">
      <c r="A68" s="26"/>
      <c r="B68" s="26">
        <v>900</v>
      </c>
      <c r="C68" s="27">
        <f t="shared" si="14"/>
        <v>1173</v>
      </c>
      <c r="D68" s="26">
        <v>250</v>
      </c>
      <c r="E68" s="26">
        <v>207</v>
      </c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16" x14ac:dyDescent="0.2">
      <c r="A69" s="5" t="s">
        <v>54</v>
      </c>
      <c r="B69" s="6">
        <v>20</v>
      </c>
      <c r="C69" s="7">
        <f t="shared" si="14"/>
        <v>293</v>
      </c>
      <c r="D69" s="6">
        <v>360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 t="s">
        <v>55</v>
      </c>
      <c r="P69" s="6"/>
    </row>
    <row r="70" spans="1:16" x14ac:dyDescent="0.2">
      <c r="A70" s="6"/>
      <c r="B70" s="6">
        <v>1000</v>
      </c>
      <c r="C70" s="7">
        <f t="shared" si="14"/>
        <v>1273</v>
      </c>
      <c r="D70" s="6">
        <f>D69*1.15</f>
        <v>413.99999999999994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x14ac:dyDescent="0.2">
      <c r="A71" s="6"/>
      <c r="B71" s="6">
        <v>2000</v>
      </c>
      <c r="C71" s="7">
        <f t="shared" si="14"/>
        <v>2273</v>
      </c>
      <c r="D71" s="6">
        <f>D69*1.3</f>
        <v>468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2">
      <c r="A72" s="28" t="s">
        <v>56</v>
      </c>
      <c r="B72" s="16">
        <v>20</v>
      </c>
      <c r="C72" s="16">
        <f t="shared" si="14"/>
        <v>293</v>
      </c>
      <c r="D72" s="16">
        <v>220</v>
      </c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 t="s">
        <v>57</v>
      </c>
      <c r="P72" s="16"/>
    </row>
    <row r="73" spans="1:16" x14ac:dyDescent="0.2">
      <c r="A73" s="16"/>
      <c r="B73" s="16">
        <v>1300</v>
      </c>
      <c r="C73" s="16">
        <f t="shared" si="14"/>
        <v>1573</v>
      </c>
      <c r="D73" s="16">
        <v>190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</row>
    <row r="74" spans="1:16" x14ac:dyDescent="0.2">
      <c r="A74" s="29" t="s">
        <v>58</v>
      </c>
      <c r="B74" s="30">
        <v>25</v>
      </c>
      <c r="C74" s="21">
        <f t="shared" si="14"/>
        <v>298</v>
      </c>
      <c r="D74" s="30">
        <f>G74/2</f>
        <v>370</v>
      </c>
      <c r="E74" s="30"/>
      <c r="F74" s="30"/>
      <c r="G74" s="30">
        <v>740</v>
      </c>
      <c r="H74" s="30"/>
      <c r="I74" s="30"/>
      <c r="J74" s="30"/>
      <c r="K74" s="30"/>
      <c r="L74" s="30"/>
      <c r="M74" s="30"/>
      <c r="N74" s="30"/>
      <c r="O74" s="30" t="s">
        <v>59</v>
      </c>
      <c r="P74" s="30"/>
    </row>
    <row r="75" spans="1:16" x14ac:dyDescent="0.2">
      <c r="A75" s="30"/>
      <c r="B75" s="30">
        <v>1000</v>
      </c>
      <c r="C75" s="21">
        <f t="shared" si="14"/>
        <v>1273</v>
      </c>
      <c r="D75" s="30">
        <f>G75/2</f>
        <v>351.5</v>
      </c>
      <c r="E75" s="30"/>
      <c r="F75" s="30"/>
      <c r="G75" s="30">
        <v>703</v>
      </c>
      <c r="H75" s="30"/>
      <c r="I75" s="30"/>
      <c r="J75" s="30"/>
      <c r="K75" s="30"/>
      <c r="L75" s="30"/>
      <c r="M75" s="30"/>
      <c r="N75" s="30"/>
      <c r="O75" s="30"/>
      <c r="P75" s="30"/>
    </row>
    <row r="76" spans="1:16" x14ac:dyDescent="0.2">
      <c r="A76" s="30"/>
      <c r="B76" s="30">
        <v>1300</v>
      </c>
      <c r="C76" s="21">
        <f t="shared" si="14"/>
        <v>1573</v>
      </c>
      <c r="D76" s="30">
        <f>G76/2</f>
        <v>306.5</v>
      </c>
      <c r="E76" s="30"/>
      <c r="F76" s="30"/>
      <c r="G76" s="30">
        <v>613</v>
      </c>
      <c r="H76" s="30"/>
      <c r="I76" s="30"/>
      <c r="J76" s="30"/>
      <c r="K76" s="30"/>
      <c r="L76" s="30"/>
      <c r="M76" s="30"/>
      <c r="N76" s="30"/>
      <c r="O76" s="30"/>
      <c r="P76" s="30"/>
    </row>
    <row r="77" spans="1:16" x14ac:dyDescent="0.2">
      <c r="A77" s="30"/>
      <c r="B77" s="30">
        <v>1400</v>
      </c>
      <c r="C77" s="21">
        <f t="shared" si="14"/>
        <v>1673</v>
      </c>
      <c r="D77" s="30">
        <f>G77/2</f>
        <v>259.5</v>
      </c>
      <c r="E77" s="30"/>
      <c r="F77" s="30"/>
      <c r="G77" s="30">
        <v>519</v>
      </c>
      <c r="H77" s="30"/>
      <c r="I77" s="30"/>
      <c r="J77" s="30"/>
      <c r="K77" s="30"/>
      <c r="L77" s="30"/>
      <c r="M77" s="30"/>
      <c r="N77" s="30"/>
      <c r="O77" s="30"/>
      <c r="P77" s="30"/>
    </row>
    <row r="78" spans="1:16" x14ac:dyDescent="0.2">
      <c r="A78" s="30"/>
      <c r="B78" s="30">
        <v>1600</v>
      </c>
      <c r="C78" s="21">
        <f t="shared" si="14"/>
        <v>1873</v>
      </c>
      <c r="D78" s="30">
        <f>G78/2</f>
        <v>147.5</v>
      </c>
      <c r="E78" s="30"/>
      <c r="F78" s="30"/>
      <c r="G78" s="30">
        <v>295</v>
      </c>
      <c r="H78" s="30"/>
      <c r="I78" s="30"/>
      <c r="J78" s="30"/>
      <c r="K78" s="30"/>
      <c r="L78" s="30"/>
      <c r="M78" s="30"/>
      <c r="N78" s="30"/>
      <c r="O78" s="30"/>
      <c r="P78" s="30"/>
    </row>
    <row r="79" spans="1:16" x14ac:dyDescent="0.2">
      <c r="A79" s="11" t="s">
        <v>60</v>
      </c>
      <c r="B79" s="11">
        <v>26</v>
      </c>
      <c r="C79" s="12">
        <f t="shared" si="14"/>
        <v>299</v>
      </c>
      <c r="D79" s="11">
        <v>1563.5145663500002</v>
      </c>
      <c r="E79" s="11">
        <v>1435.1559364499999</v>
      </c>
      <c r="F79" s="11">
        <v>339.21234529999998</v>
      </c>
      <c r="G79" s="11"/>
      <c r="H79" s="11"/>
      <c r="I79" s="11"/>
      <c r="J79" s="11"/>
      <c r="K79" s="11"/>
      <c r="L79" s="11"/>
      <c r="M79" s="11"/>
      <c r="N79" s="11"/>
      <c r="O79" s="11" t="s">
        <v>61</v>
      </c>
      <c r="P79" s="11"/>
    </row>
    <row r="80" spans="1:16" x14ac:dyDescent="0.2">
      <c r="A80" s="11"/>
      <c r="B80" s="11">
        <v>300</v>
      </c>
      <c r="C80" s="12">
        <f t="shared" si="14"/>
        <v>573</v>
      </c>
      <c r="D80" s="11">
        <v>1384.1661826000002</v>
      </c>
      <c r="E80" s="11">
        <v>1325.5612326</v>
      </c>
      <c r="F80" s="11">
        <v>258.28235669999998</v>
      </c>
      <c r="G80" s="11"/>
      <c r="H80" s="11"/>
      <c r="I80" s="11"/>
      <c r="J80" s="11"/>
      <c r="K80" s="11"/>
      <c r="L80" s="11"/>
      <c r="M80" s="11"/>
      <c r="N80" s="11"/>
      <c r="O80" s="11" t="s">
        <v>62</v>
      </c>
      <c r="P80" s="11"/>
    </row>
    <row r="81" spans="1:16" x14ac:dyDescent="0.2">
      <c r="A81" s="11"/>
      <c r="B81" s="11">
        <v>500</v>
      </c>
      <c r="C81" s="12">
        <f t="shared" si="14"/>
        <v>773</v>
      </c>
      <c r="D81" s="11">
        <v>1134.9000000000001</v>
      </c>
      <c r="E81" s="11">
        <v>1033.71</v>
      </c>
      <c r="F81" s="11">
        <v>280.56900000000002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x14ac:dyDescent="0.2">
      <c r="A82" s="11"/>
      <c r="B82" s="11">
        <v>600</v>
      </c>
      <c r="C82" s="12">
        <f t="shared" si="14"/>
        <v>873</v>
      </c>
      <c r="D82" s="11">
        <v>782.89300000000003</v>
      </c>
      <c r="E82" s="11">
        <v>693.63800000000003</v>
      </c>
      <c r="F82" s="11">
        <v>213.34800000000001</v>
      </c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x14ac:dyDescent="0.2">
      <c r="A83" s="11"/>
      <c r="B83" s="11">
        <v>700</v>
      </c>
      <c r="C83" s="12">
        <f t="shared" si="14"/>
        <v>973</v>
      </c>
      <c r="D83" s="11">
        <v>507.99900000000002</v>
      </c>
      <c r="E83" s="11">
        <v>435.798</v>
      </c>
      <c r="F83" s="11">
        <v>152.749</v>
      </c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s="18" t="s">
        <v>63</v>
      </c>
      <c r="B84" s="18">
        <v>25</v>
      </c>
      <c r="C84" s="19">
        <f t="shared" si="14"/>
        <v>298</v>
      </c>
      <c r="D84" s="18">
        <v>552</v>
      </c>
      <c r="E84" s="18">
        <v>241</v>
      </c>
      <c r="F84" s="18"/>
      <c r="G84" s="18"/>
      <c r="H84" s="18"/>
      <c r="I84" s="18"/>
      <c r="J84" s="18"/>
      <c r="K84" s="18"/>
      <c r="L84" s="18"/>
      <c r="M84" s="18"/>
      <c r="N84" s="18"/>
      <c r="O84" s="18" t="s">
        <v>64</v>
      </c>
      <c r="P84" s="18"/>
    </row>
    <row r="85" spans="1:16" x14ac:dyDescent="0.2">
      <c r="A85" s="18"/>
      <c r="B85" s="18">
        <v>130</v>
      </c>
      <c r="C85" s="19">
        <f t="shared" si="14"/>
        <v>403</v>
      </c>
      <c r="D85" s="18">
        <v>458</v>
      </c>
      <c r="E85" s="18">
        <v>190</v>
      </c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 spans="1:16" x14ac:dyDescent="0.2">
      <c r="A86" s="18"/>
      <c r="B86" s="18">
        <v>240</v>
      </c>
      <c r="C86" s="19">
        <f t="shared" si="14"/>
        <v>513</v>
      </c>
      <c r="D86" s="18">
        <v>310</v>
      </c>
      <c r="E86" s="18">
        <v>166</v>
      </c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 spans="1:16" x14ac:dyDescent="0.2">
      <c r="A87" s="18"/>
      <c r="B87" s="18">
        <v>330</v>
      </c>
      <c r="C87" s="19">
        <f t="shared" si="14"/>
        <v>603</v>
      </c>
      <c r="D87" s="18">
        <v>260</v>
      </c>
      <c r="E87" s="18">
        <v>133</v>
      </c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 spans="1:16" x14ac:dyDescent="0.2">
      <c r="A88" s="18"/>
      <c r="B88" s="18">
        <v>430</v>
      </c>
      <c r="C88" s="19">
        <f>B88+273</f>
        <v>703</v>
      </c>
      <c r="D88" s="18">
        <v>210</v>
      </c>
      <c r="E88" s="18">
        <v>115</v>
      </c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</row>
    <row r="89" spans="1:16" x14ac:dyDescent="0.2">
      <c r="A89" s="18"/>
      <c r="B89" s="18">
        <v>520</v>
      </c>
      <c r="C89" s="19">
        <f>B89+273</f>
        <v>793</v>
      </c>
      <c r="D89" s="18">
        <v>164</v>
      </c>
      <c r="E89" s="18">
        <v>103</v>
      </c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0" spans="1:16" x14ac:dyDescent="0.2">
      <c r="A90" s="18"/>
      <c r="B90" s="18">
        <v>630</v>
      </c>
      <c r="C90" s="19">
        <f t="shared" si="14"/>
        <v>903</v>
      </c>
      <c r="D90" s="18">
        <v>96</v>
      </c>
      <c r="E90" s="18">
        <v>115</v>
      </c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 spans="1:16" x14ac:dyDescent="0.2">
      <c r="A91" s="18"/>
      <c r="B91" s="18">
        <v>725</v>
      </c>
      <c r="C91" s="19">
        <f t="shared" si="14"/>
        <v>998</v>
      </c>
      <c r="D91" s="18">
        <v>48</v>
      </c>
      <c r="E91" s="18">
        <v>103</v>
      </c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 spans="1:16" x14ac:dyDescent="0.2">
      <c r="A92" s="26" t="s">
        <v>65</v>
      </c>
      <c r="B92" s="26">
        <v>25</v>
      </c>
      <c r="C92" s="27">
        <f t="shared" si="14"/>
        <v>298</v>
      </c>
      <c r="D92" s="26">
        <v>808</v>
      </c>
      <c r="E92" s="26">
        <v>730</v>
      </c>
      <c r="F92" s="26">
        <v>291</v>
      </c>
      <c r="G92" s="26"/>
      <c r="H92" s="26"/>
      <c r="I92" s="26"/>
      <c r="J92" s="26"/>
      <c r="K92" s="26"/>
      <c r="L92" s="26"/>
      <c r="M92" s="26"/>
      <c r="N92" s="26"/>
      <c r="O92" s="26" t="s">
        <v>66</v>
      </c>
      <c r="P92" s="26"/>
    </row>
    <row r="93" spans="1:16" x14ac:dyDescent="0.2">
      <c r="A93" s="26"/>
      <c r="B93" s="26">
        <v>100</v>
      </c>
      <c r="C93" s="27">
        <f t="shared" si="14"/>
        <v>373</v>
      </c>
      <c r="D93" s="26">
        <v>756</v>
      </c>
      <c r="E93" s="26">
        <v>650</v>
      </c>
      <c r="F93" s="26">
        <v>273</v>
      </c>
      <c r="G93" s="26"/>
      <c r="H93" s="26"/>
      <c r="I93" s="26"/>
      <c r="J93" s="26"/>
      <c r="K93" s="26"/>
      <c r="L93" s="26"/>
      <c r="M93" s="26"/>
      <c r="N93" s="26"/>
      <c r="O93" s="26"/>
      <c r="P93" s="26"/>
    </row>
    <row r="94" spans="1:16" x14ac:dyDescent="0.2">
      <c r="A94" s="26"/>
      <c r="B94" s="26">
        <v>200</v>
      </c>
      <c r="C94" s="27">
        <f t="shared" si="14"/>
        <v>473</v>
      </c>
      <c r="D94" s="26">
        <v>674</v>
      </c>
      <c r="E94" s="26">
        <v>577</v>
      </c>
      <c r="F94" s="26">
        <v>250</v>
      </c>
      <c r="G94" s="26"/>
      <c r="H94" s="26"/>
      <c r="I94" s="26"/>
      <c r="J94" s="26"/>
      <c r="K94" s="26"/>
      <c r="L94" s="26"/>
      <c r="M94" s="26"/>
      <c r="N94" s="26"/>
      <c r="O94" s="26"/>
      <c r="P94" s="26"/>
    </row>
    <row r="95" spans="1:16" x14ac:dyDescent="0.2">
      <c r="A95" s="26"/>
      <c r="B95" s="26">
        <v>300</v>
      </c>
      <c r="C95" s="27">
        <f t="shared" si="14"/>
        <v>573</v>
      </c>
      <c r="D95" s="26">
        <v>669</v>
      </c>
      <c r="E95" s="26">
        <v>600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</row>
    <row r="96" spans="1:16" x14ac:dyDescent="0.2">
      <c r="A96" s="26"/>
      <c r="B96" s="26">
        <v>400</v>
      </c>
      <c r="C96" s="27">
        <f t="shared" si="14"/>
        <v>673</v>
      </c>
      <c r="D96" s="26">
        <v>673</v>
      </c>
      <c r="E96" s="26">
        <v>615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</row>
    <row r="97" spans="1:16" x14ac:dyDescent="0.2">
      <c r="A97" s="26"/>
      <c r="B97" s="26">
        <v>600</v>
      </c>
      <c r="C97" s="27">
        <f t="shared" si="14"/>
        <v>873</v>
      </c>
      <c r="D97" s="26">
        <v>628</v>
      </c>
      <c r="E97" s="26">
        <v>572</v>
      </c>
      <c r="F97" s="26">
        <v>242</v>
      </c>
      <c r="G97" s="26"/>
      <c r="H97" s="26"/>
      <c r="I97" s="26"/>
      <c r="J97" s="26"/>
      <c r="K97" s="26"/>
      <c r="L97" s="26"/>
      <c r="M97" s="26"/>
      <c r="N97" s="26"/>
      <c r="O97" s="26"/>
      <c r="P97" s="26"/>
    </row>
    <row r="98" spans="1:16" x14ac:dyDescent="0.2">
      <c r="A98" s="26"/>
      <c r="B98" s="26">
        <v>702</v>
      </c>
      <c r="C98" s="27">
        <f t="shared" si="14"/>
        <v>975</v>
      </c>
      <c r="D98" s="26">
        <v>556</v>
      </c>
      <c r="E98" s="26">
        <v>510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</row>
    <row r="99" spans="1:16" x14ac:dyDescent="0.2">
      <c r="A99" s="26"/>
      <c r="B99" s="26">
        <v>800</v>
      </c>
      <c r="C99" s="27">
        <f t="shared" si="14"/>
        <v>1073</v>
      </c>
      <c r="D99" s="26">
        <v>539</v>
      </c>
      <c r="E99" s="26">
        <v>497</v>
      </c>
      <c r="F99" s="26">
        <v>243</v>
      </c>
      <c r="G99" s="26"/>
      <c r="H99" s="26"/>
      <c r="I99" s="26"/>
      <c r="J99" s="26"/>
      <c r="K99" s="26"/>
      <c r="L99" s="26"/>
      <c r="M99" s="26"/>
      <c r="N99" s="26"/>
      <c r="O99" s="26"/>
      <c r="P99" s="26"/>
    </row>
    <row r="100" spans="1:16" x14ac:dyDescent="0.2">
      <c r="A100" s="26"/>
      <c r="B100" s="26">
        <v>1000</v>
      </c>
      <c r="C100" s="27">
        <f t="shared" si="14"/>
        <v>1273</v>
      </c>
      <c r="D100" s="26">
        <v>524</v>
      </c>
      <c r="E100" s="26">
        <v>489</v>
      </c>
      <c r="F100" s="26">
        <v>223</v>
      </c>
      <c r="G100" s="26"/>
      <c r="H100" s="26"/>
      <c r="I100" s="26"/>
      <c r="J100" s="26"/>
      <c r="K100" s="26"/>
      <c r="L100" s="26"/>
      <c r="M100" s="26"/>
      <c r="N100" s="26"/>
      <c r="O100" s="26"/>
      <c r="P100" s="26"/>
    </row>
    <row r="101" spans="1:16" x14ac:dyDescent="0.2">
      <c r="A101" s="26"/>
      <c r="B101" s="26">
        <v>1201</v>
      </c>
      <c r="C101" s="27">
        <f t="shared" si="14"/>
        <v>1474</v>
      </c>
      <c r="D101" s="26">
        <v>414</v>
      </c>
      <c r="E101" s="26">
        <v>402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</row>
    <row r="102" spans="1:16" x14ac:dyDescent="0.2">
      <c r="A102" s="26"/>
      <c r="B102" s="26">
        <v>1406</v>
      </c>
      <c r="C102" s="27">
        <f t="shared" si="14"/>
        <v>1679</v>
      </c>
      <c r="D102" s="26">
        <v>172</v>
      </c>
      <c r="E102" s="26">
        <v>107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16" x14ac:dyDescent="0.2">
      <c r="A103" s="6" t="s">
        <v>67</v>
      </c>
      <c r="B103" s="6">
        <v>25</v>
      </c>
      <c r="C103" s="7">
        <f t="shared" si="14"/>
        <v>298</v>
      </c>
      <c r="D103" s="6">
        <v>169</v>
      </c>
      <c r="E103" s="6"/>
      <c r="F103" s="6">
        <v>60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x14ac:dyDescent="0.2">
      <c r="A104" s="6"/>
      <c r="B104" s="6">
        <v>1200</v>
      </c>
      <c r="C104" s="7">
        <f t="shared" si="14"/>
        <v>1473</v>
      </c>
      <c r="D104" s="6">
        <v>192</v>
      </c>
      <c r="E104" s="6"/>
      <c r="F104" s="6">
        <v>75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x14ac:dyDescent="0.2">
      <c r="A105" s="6"/>
      <c r="B105" s="6">
        <v>1330</v>
      </c>
      <c r="C105" s="7">
        <f t="shared" si="14"/>
        <v>1603</v>
      </c>
      <c r="D105" s="6">
        <v>120</v>
      </c>
      <c r="E105" s="6"/>
      <c r="F105" s="6">
        <v>42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x14ac:dyDescent="0.2">
      <c r="A106" s="15" t="s">
        <v>68</v>
      </c>
      <c r="B106" s="15">
        <v>25</v>
      </c>
      <c r="C106" s="16">
        <f t="shared" si="14"/>
        <v>298</v>
      </c>
      <c r="D106" s="15">
        <v>26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1:16" x14ac:dyDescent="0.2">
      <c r="A107" s="15"/>
      <c r="B107" s="15">
        <v>500</v>
      </c>
      <c r="C107" s="16">
        <f t="shared" si="14"/>
        <v>773</v>
      </c>
      <c r="D107" s="15">
        <v>27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1:16" x14ac:dyDescent="0.2">
      <c r="A108" s="15"/>
      <c r="B108" s="15">
        <v>1000</v>
      </c>
      <c r="C108" s="16">
        <f t="shared" si="14"/>
        <v>1273</v>
      </c>
      <c r="D108" s="15">
        <v>29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1:16" x14ac:dyDescent="0.2">
      <c r="A109" s="15"/>
      <c r="B109" s="15">
        <v>1500</v>
      </c>
      <c r="C109" s="16">
        <f t="shared" ref="C109:C111" si="18">B109+273</f>
        <v>1773</v>
      </c>
      <c r="D109" s="15">
        <v>33</v>
      </c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1:16" x14ac:dyDescent="0.2">
      <c r="A110" s="15"/>
      <c r="B110" s="15">
        <v>2000</v>
      </c>
      <c r="C110" s="16">
        <f t="shared" si="18"/>
        <v>2273</v>
      </c>
      <c r="D110" s="15">
        <v>39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1:16" x14ac:dyDescent="0.2">
      <c r="A111" s="15"/>
      <c r="B111" s="15">
        <v>2500</v>
      </c>
      <c r="C111" s="16">
        <f t="shared" si="18"/>
        <v>2773</v>
      </c>
      <c r="D111" s="15">
        <v>46</v>
      </c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1:16" x14ac:dyDescent="0.2">
      <c r="A112" s="31" t="s">
        <v>69</v>
      </c>
      <c r="B112" s="32">
        <v>20</v>
      </c>
      <c r="C112" s="33">
        <f>B112+273</f>
        <v>293</v>
      </c>
      <c r="D112" s="32">
        <f>377.9+0.03207*B112-0.0001955*B112^2+0.00000005129*B112^3</f>
        <v>378.46361031999999</v>
      </c>
      <c r="E112" s="32">
        <f>94.2-0.0214*B112-0.000212*B112^2-0.000000000748*B112^3</f>
        <v>93.687194016000007</v>
      </c>
      <c r="F112" s="32">
        <f>398-0.00231*B112-0.0000272*B112^2</f>
        <v>397.94292000000002</v>
      </c>
      <c r="G112" s="32"/>
      <c r="H112" s="32">
        <f>174.9-0.107*B112+0.0000501*B112^2-0.000000007835*B112^3</f>
        <v>172.77997732</v>
      </c>
      <c r="I112" s="32"/>
      <c r="J112" s="32"/>
      <c r="K112" s="32"/>
      <c r="L112" s="32">
        <f>3.922+0.00005835*B112+0.00000000005705*B112^2-0.00000000000002046*B112^3</f>
        <v>3.9231670226563202</v>
      </c>
      <c r="M112" s="32">
        <f>0.279+0.0000109*B112</f>
        <v>0.27921800000000002</v>
      </c>
      <c r="N112" s="32">
        <f>D112*H112*(1-M112)/L112/F112</f>
        <v>30.190054210848977</v>
      </c>
      <c r="O112" s="31" t="s">
        <v>70</v>
      </c>
      <c r="P112" s="32"/>
    </row>
    <row r="113" spans="1:16" x14ac:dyDescent="0.2">
      <c r="A113" s="32"/>
      <c r="B113" s="32">
        <v>100</v>
      </c>
      <c r="C113" s="33">
        <f t="shared" ref="C113:C123" si="19">B113+273</f>
        <v>373</v>
      </c>
      <c r="D113" s="32">
        <f t="shared" ref="D113:D123" si="20">377.9+0.03207*B113-0.0001955*B113^2+0.00000005129*B113^3</f>
        <v>379.20328999999998</v>
      </c>
      <c r="E113" s="32">
        <f t="shared" ref="E113:E123" si="21">94.2-0.0214*B113-0.000212*B113^2-0.000000000748*B113^3</f>
        <v>89.939251999999996</v>
      </c>
      <c r="F113" s="32">
        <f t="shared" ref="F113:F123" si="22">398-0.00231*B113-0.0000272*B113^2</f>
        <v>397.49700000000001</v>
      </c>
      <c r="G113" s="32"/>
      <c r="H113" s="32">
        <f t="shared" ref="H113:H123" si="23">174.9-0.107*B113+0.0000501*B113^2-0.000000007835*B113^3</f>
        <v>164.69316500000002</v>
      </c>
      <c r="I113" s="32"/>
      <c r="J113" s="32"/>
      <c r="K113" s="32"/>
      <c r="L113" s="32">
        <f t="shared" ref="L113:L123" si="24">3.922+0.00005835*B113+0.00000000005705*B113^2-0.00000000000002046*B113^3</f>
        <v>3.9278355500400002</v>
      </c>
      <c r="M113" s="32">
        <f t="shared" ref="M113:M123" si="25">0.279+0.0000109*B113</f>
        <v>0.28009000000000001</v>
      </c>
      <c r="N113" s="32">
        <f t="shared" ref="N113:N123" si="26">D113*H113*(1-M113)/L113/F113</f>
        <v>28.796435090830492</v>
      </c>
      <c r="O113" s="32"/>
      <c r="P113" s="32"/>
    </row>
    <row r="114" spans="1:16" x14ac:dyDescent="0.2">
      <c r="A114" s="32"/>
      <c r="B114" s="32">
        <v>200</v>
      </c>
      <c r="C114" s="33">
        <f t="shared" si="19"/>
        <v>473</v>
      </c>
      <c r="D114" s="32">
        <f t="shared" si="20"/>
        <v>376.90431999999998</v>
      </c>
      <c r="E114" s="32">
        <f t="shared" si="21"/>
        <v>81.434016</v>
      </c>
      <c r="F114" s="32">
        <f t="shared" si="22"/>
        <v>396.45</v>
      </c>
      <c r="G114" s="32"/>
      <c r="H114" s="32">
        <f t="shared" si="23"/>
        <v>155.44131999999999</v>
      </c>
      <c r="I114" s="32"/>
      <c r="J114" s="32"/>
      <c r="K114" s="32"/>
      <c r="L114" s="32">
        <f t="shared" si="24"/>
        <v>3.9336721183200001</v>
      </c>
      <c r="M114" s="32">
        <f t="shared" si="25"/>
        <v>0.28118000000000004</v>
      </c>
      <c r="N114" s="32">
        <f t="shared" si="26"/>
        <v>27.004190516923995</v>
      </c>
      <c r="O114" s="32"/>
      <c r="P114" s="32"/>
    </row>
    <row r="115" spans="1:16" x14ac:dyDescent="0.2">
      <c r="A115" s="32"/>
      <c r="B115" s="32">
        <f t="shared" ref="B115:B123" si="27">B114+200</f>
        <v>400</v>
      </c>
      <c r="C115" s="33">
        <f t="shared" si="19"/>
        <v>673</v>
      </c>
      <c r="D115" s="32">
        <f t="shared" si="20"/>
        <v>362.73055999999997</v>
      </c>
      <c r="E115" s="32">
        <f t="shared" si="21"/>
        <v>51.672128000000001</v>
      </c>
      <c r="F115" s="32">
        <f t="shared" si="22"/>
        <v>392.72400000000005</v>
      </c>
      <c r="G115" s="32"/>
      <c r="H115" s="32">
        <f t="shared" si="23"/>
        <v>139.61456000000001</v>
      </c>
      <c r="I115" s="32"/>
      <c r="J115" s="32"/>
      <c r="K115" s="32"/>
      <c r="L115" s="32">
        <f t="shared" si="24"/>
        <v>3.9453478185600002</v>
      </c>
      <c r="M115" s="32">
        <f t="shared" si="25"/>
        <v>0.28336</v>
      </c>
      <c r="N115" s="32">
        <f t="shared" si="26"/>
        <v>23.423034854214123</v>
      </c>
      <c r="O115" s="32"/>
      <c r="P115" s="32"/>
    </row>
    <row r="116" spans="1:16" x14ac:dyDescent="0.2">
      <c r="A116" s="32"/>
      <c r="B116" s="32">
        <f t="shared" si="27"/>
        <v>600</v>
      </c>
      <c r="C116" s="33">
        <f t="shared" si="19"/>
        <v>873</v>
      </c>
      <c r="D116" s="32">
        <f t="shared" si="20"/>
        <v>337.84064000000001</v>
      </c>
      <c r="E116" s="32">
        <f t="shared" si="21"/>
        <v>4.8784319999999921</v>
      </c>
      <c r="F116" s="32">
        <f t="shared" si="22"/>
        <v>386.822</v>
      </c>
      <c r="G116" s="32"/>
      <c r="H116" s="32">
        <f t="shared" si="23"/>
        <v>127.04364</v>
      </c>
      <c r="I116" s="32"/>
      <c r="J116" s="32"/>
      <c r="K116" s="32"/>
      <c r="L116" s="32">
        <f t="shared" si="24"/>
        <v>3.95702611864</v>
      </c>
      <c r="M116" s="32">
        <f t="shared" si="25"/>
        <v>0.28554000000000002</v>
      </c>
      <c r="N116" s="32">
        <f t="shared" si="26"/>
        <v>20.033768729245594</v>
      </c>
      <c r="O116" s="32"/>
      <c r="P116" s="32"/>
    </row>
    <row r="117" spans="1:16" x14ac:dyDescent="0.2">
      <c r="A117" s="32"/>
      <c r="B117" s="32">
        <f t="shared" si="27"/>
        <v>800</v>
      </c>
      <c r="C117" s="33">
        <f t="shared" si="19"/>
        <v>1073</v>
      </c>
      <c r="D117" s="32">
        <f t="shared" si="20"/>
        <v>304.69647999999995</v>
      </c>
      <c r="E117" s="32">
        <f t="shared" si="21"/>
        <v>-58.982975999999994</v>
      </c>
      <c r="F117" s="32">
        <f t="shared" si="22"/>
        <v>378.74399999999997</v>
      </c>
      <c r="G117" s="32"/>
      <c r="H117" s="32">
        <f t="shared" si="23"/>
        <v>117.35248</v>
      </c>
      <c r="I117" s="32"/>
      <c r="J117" s="32"/>
      <c r="K117" s="32"/>
      <c r="L117" s="32">
        <f t="shared" si="24"/>
        <v>3.96870603648</v>
      </c>
      <c r="M117" s="32">
        <f t="shared" si="25"/>
        <v>0.28772000000000003</v>
      </c>
      <c r="N117" s="32">
        <f t="shared" si="26"/>
        <v>16.943993093909398</v>
      </c>
      <c r="O117" s="32"/>
      <c r="P117" s="32"/>
    </row>
    <row r="118" spans="1:16" x14ac:dyDescent="0.2">
      <c r="A118" s="32"/>
      <c r="B118" s="32">
        <f t="shared" si="27"/>
        <v>1000</v>
      </c>
      <c r="C118" s="33">
        <f t="shared" si="19"/>
        <v>1273</v>
      </c>
      <c r="D118" s="32">
        <f t="shared" si="20"/>
        <v>265.76</v>
      </c>
      <c r="E118" s="32">
        <f t="shared" si="21"/>
        <v>-139.94799999999998</v>
      </c>
      <c r="F118" s="32">
        <f t="shared" si="22"/>
        <v>368.49</v>
      </c>
      <c r="G118" s="32"/>
      <c r="H118" s="32">
        <f t="shared" si="23"/>
        <v>110.16500000000001</v>
      </c>
      <c r="I118" s="32"/>
      <c r="J118" s="32"/>
      <c r="K118" s="32"/>
      <c r="L118" s="32">
        <f t="shared" si="24"/>
        <v>3.9803865900000002</v>
      </c>
      <c r="M118" s="32">
        <f t="shared" si="25"/>
        <v>0.28990000000000005</v>
      </c>
      <c r="N118" s="32">
        <f t="shared" si="26"/>
        <v>14.174306043135852</v>
      </c>
      <c r="O118" s="32"/>
      <c r="P118" s="32"/>
    </row>
    <row r="119" spans="1:16" x14ac:dyDescent="0.2">
      <c r="A119" s="32"/>
      <c r="B119" s="32">
        <v>1100</v>
      </c>
      <c r="C119" s="33">
        <f t="shared" ref="C119" si="28">B119+273</f>
        <v>1373</v>
      </c>
      <c r="D119" s="32">
        <f t="shared" ref="D119" si="29">377.9+0.03207*B119-0.0001955*B119^2+0.00000005129*B119^3</f>
        <v>244.88898999999995</v>
      </c>
      <c r="E119" s="32">
        <f t="shared" ref="E119" si="30">94.2-0.0214*B119-0.000212*B119^2-0.000000000748*B119^3</f>
        <v>-186.85558799999998</v>
      </c>
      <c r="F119" s="32">
        <f t="shared" ref="F119" si="31">398-0.00231*B119-0.0000272*B119^2</f>
        <v>362.54700000000003</v>
      </c>
      <c r="G119" s="32"/>
      <c r="H119" s="32">
        <f t="shared" ref="H119" si="32">174.9-0.107*B119+0.0000501*B119^2-0.000000007835*B119^3</f>
        <v>107.39261499999999</v>
      </c>
      <c r="I119" s="32"/>
      <c r="J119" s="32"/>
      <c r="K119" s="32"/>
      <c r="L119" s="32">
        <f t="shared" ref="L119" si="33">3.922+0.00005835*B119+0.00000000005705*B119^2-0.00000000000002046*B119^3</f>
        <v>3.9862267982400006</v>
      </c>
      <c r="M119" s="32">
        <f t="shared" ref="M119" si="34">0.279+0.0000109*B119</f>
        <v>0.29099000000000003</v>
      </c>
      <c r="N119" s="32">
        <f t="shared" ref="N119" si="35">D119*H119*(1-M119)/L119/F119</f>
        <v>12.902376713796523</v>
      </c>
      <c r="O119" s="32"/>
      <c r="P119" s="32"/>
    </row>
    <row r="120" spans="1:16" x14ac:dyDescent="0.2">
      <c r="A120" s="32"/>
      <c r="B120" s="32">
        <f>B118+200</f>
        <v>1200</v>
      </c>
      <c r="C120" s="33">
        <f t="shared" si="19"/>
        <v>1473</v>
      </c>
      <c r="D120" s="32">
        <f t="shared" si="20"/>
        <v>223.49311999999992</v>
      </c>
      <c r="E120" s="32">
        <f t="shared" si="21"/>
        <v>-238.05254400000001</v>
      </c>
      <c r="F120" s="32">
        <f t="shared" si="22"/>
        <v>356.06</v>
      </c>
      <c r="G120" s="32"/>
      <c r="H120" s="32">
        <f t="shared" si="23"/>
        <v>105.10511999999999</v>
      </c>
      <c r="I120" s="32"/>
      <c r="J120" s="32"/>
      <c r="K120" s="32"/>
      <c r="L120" s="32">
        <f t="shared" si="24"/>
        <v>3.9920667971200001</v>
      </c>
      <c r="M120" s="32">
        <f t="shared" si="25"/>
        <v>0.29208000000000001</v>
      </c>
      <c r="N120" s="32">
        <f t="shared" si="26"/>
        <v>11.699066937979527</v>
      </c>
      <c r="O120" s="32"/>
      <c r="P120" s="32"/>
    </row>
    <row r="121" spans="1:16" x14ac:dyDescent="0.2">
      <c r="A121" s="32"/>
      <c r="B121" s="32">
        <f t="shared" si="27"/>
        <v>1400</v>
      </c>
      <c r="C121" s="33">
        <f t="shared" si="19"/>
        <v>1673</v>
      </c>
      <c r="D121" s="32">
        <f t="shared" si="20"/>
        <v>180.35775999999998</v>
      </c>
      <c r="E121" s="32">
        <f t="shared" si="21"/>
        <v>-353.33251199999995</v>
      </c>
      <c r="F121" s="32">
        <f t="shared" si="22"/>
        <v>341.45400000000001</v>
      </c>
      <c r="G121" s="32"/>
      <c r="H121" s="32">
        <f t="shared" si="23"/>
        <v>101.79676000000002</v>
      </c>
      <c r="I121" s="32"/>
      <c r="J121" s="32"/>
      <c r="K121" s="32"/>
      <c r="L121" s="32">
        <f t="shared" si="24"/>
        <v>4.0037456757599994</v>
      </c>
      <c r="M121" s="32">
        <f t="shared" si="25"/>
        <v>0.29426000000000002</v>
      </c>
      <c r="N121" s="32">
        <f t="shared" si="26"/>
        <v>9.4779591837739687</v>
      </c>
      <c r="O121" s="32"/>
      <c r="P121" s="32"/>
    </row>
    <row r="122" spans="1:16" x14ac:dyDescent="0.2">
      <c r="A122" s="32"/>
      <c r="B122" s="32">
        <f t="shared" si="27"/>
        <v>1600</v>
      </c>
      <c r="C122" s="33">
        <f t="shared" si="19"/>
        <v>1873</v>
      </c>
      <c r="D122" s="32">
        <f t="shared" si="20"/>
        <v>138.81583999999995</v>
      </c>
      <c r="E122" s="32">
        <f t="shared" si="21"/>
        <v>-485.82380799999999</v>
      </c>
      <c r="F122" s="32">
        <f t="shared" si="22"/>
        <v>324.67199999999997</v>
      </c>
      <c r="G122" s="32"/>
      <c r="H122" s="32">
        <f t="shared" si="23"/>
        <v>99.86384000000001</v>
      </c>
      <c r="I122" s="32"/>
      <c r="J122" s="32"/>
      <c r="K122" s="32"/>
      <c r="L122" s="32">
        <f t="shared" si="24"/>
        <v>4.0154222438400007</v>
      </c>
      <c r="M122" s="32">
        <f t="shared" si="25"/>
        <v>0.29644000000000004</v>
      </c>
      <c r="N122" s="32">
        <f t="shared" si="26"/>
        <v>7.4812190413540378</v>
      </c>
      <c r="O122" s="32"/>
      <c r="P122" s="32"/>
    </row>
    <row r="123" spans="1:16" x14ac:dyDescent="0.2">
      <c r="A123" s="32"/>
      <c r="B123" s="32">
        <f t="shared" si="27"/>
        <v>1800</v>
      </c>
      <c r="C123" s="33">
        <f t="shared" si="19"/>
        <v>2073</v>
      </c>
      <c r="D123" s="32">
        <f t="shared" si="20"/>
        <v>101.32927999999987</v>
      </c>
      <c r="E123" s="32">
        <f t="shared" si="21"/>
        <v>-635.56233600000007</v>
      </c>
      <c r="F123" s="32">
        <f t="shared" si="22"/>
        <v>305.714</v>
      </c>
      <c r="G123" s="32"/>
      <c r="H123" s="32">
        <f t="shared" si="23"/>
        <v>98.930279999999996</v>
      </c>
      <c r="I123" s="32"/>
      <c r="J123" s="32"/>
      <c r="K123" s="32"/>
      <c r="L123" s="32">
        <f t="shared" si="24"/>
        <v>4.0270955192800004</v>
      </c>
      <c r="M123" s="32">
        <f t="shared" si="25"/>
        <v>0.29862000000000005</v>
      </c>
      <c r="N123" s="32">
        <f t="shared" si="26"/>
        <v>5.7109757289154652</v>
      </c>
      <c r="O123" s="32"/>
      <c r="P123" s="32"/>
    </row>
    <row r="124" spans="1:16" x14ac:dyDescent="0.2">
      <c r="A124" s="34" t="s">
        <v>71</v>
      </c>
      <c r="B124" s="8">
        <v>20</v>
      </c>
      <c r="D124" s="8">
        <v>1250</v>
      </c>
    </row>
    <row r="125" spans="1:16" x14ac:dyDescent="0.2">
      <c r="B125" s="8">
        <v>200</v>
      </c>
      <c r="D125" s="8">
        <v>1120</v>
      </c>
    </row>
    <row r="126" spans="1:16" x14ac:dyDescent="0.2">
      <c r="B126" s="8">
        <v>420</v>
      </c>
      <c r="D126" s="8">
        <v>950</v>
      </c>
    </row>
    <row r="127" spans="1:16" x14ac:dyDescent="0.2">
      <c r="B127" s="8">
        <v>520</v>
      </c>
      <c r="D127" s="8">
        <v>870</v>
      </c>
    </row>
    <row r="128" spans="1:16" x14ac:dyDescent="0.2">
      <c r="B128" s="8">
        <v>650</v>
      </c>
      <c r="D128" s="8">
        <v>780</v>
      </c>
    </row>
    <row r="129" spans="1:13" x14ac:dyDescent="0.2">
      <c r="B129" s="8">
        <v>750</v>
      </c>
      <c r="D129" s="8">
        <v>720</v>
      </c>
    </row>
    <row r="130" spans="1:13" x14ac:dyDescent="0.2">
      <c r="B130" s="8">
        <v>850</v>
      </c>
      <c r="D130" s="8">
        <v>630</v>
      </c>
    </row>
    <row r="131" spans="1:13" x14ac:dyDescent="0.2">
      <c r="B131" s="8">
        <v>980</v>
      </c>
      <c r="D131" s="8">
        <v>550</v>
      </c>
    </row>
    <row r="132" spans="1:13" x14ac:dyDescent="0.2">
      <c r="B132" s="8">
        <v>1100</v>
      </c>
      <c r="D132" s="8">
        <v>490</v>
      </c>
    </row>
    <row r="133" spans="1:13" x14ac:dyDescent="0.2">
      <c r="B133" s="8">
        <v>1200</v>
      </c>
      <c r="D133" s="8">
        <v>420</v>
      </c>
    </row>
    <row r="134" spans="1:13" x14ac:dyDescent="0.2">
      <c r="B134" s="8">
        <v>1300</v>
      </c>
      <c r="D134" s="8">
        <v>350</v>
      </c>
    </row>
    <row r="135" spans="1:13" x14ac:dyDescent="0.2">
      <c r="B135" s="8">
        <v>1380</v>
      </c>
      <c r="D135" s="8">
        <v>330</v>
      </c>
    </row>
    <row r="136" spans="1:13" x14ac:dyDescent="0.2">
      <c r="B136" s="8">
        <v>1480</v>
      </c>
      <c r="D136" s="8">
        <v>270</v>
      </c>
    </row>
    <row r="137" spans="1:13" x14ac:dyDescent="0.2">
      <c r="B137" s="8">
        <v>1640</v>
      </c>
      <c r="D137" s="8">
        <v>205</v>
      </c>
    </row>
    <row r="138" spans="1:13" x14ac:dyDescent="0.2">
      <c r="A138" s="34" t="s">
        <v>72</v>
      </c>
      <c r="B138" s="32">
        <v>20</v>
      </c>
      <c r="C138" s="33">
        <f>B138+273</f>
        <v>293</v>
      </c>
      <c r="D138" s="34">
        <f>377.9 + 0.03207*B138 - 0.0001955*B138^2 + 0.00000005129*B138^3</f>
        <v>378.46361031999999</v>
      </c>
      <c r="E138" s="32">
        <f>94.2-0.0214*B138-0.000212*B138^2-0.000000000748*B138^3</f>
        <v>93.687194016000007</v>
      </c>
      <c r="F138" s="32">
        <f>398-0.00231*B138-0.0000272*B138^2</f>
        <v>397.94292000000002</v>
      </c>
      <c r="L138" s="32">
        <f>3.922+0.00005835*B138+0.00000000005705*B138^2-0.00000000000002046*B138^3</f>
        <v>3.9231670226563202</v>
      </c>
      <c r="M138" s="32">
        <f>0.279+0.0000109*B138</f>
        <v>0.27921800000000002</v>
      </c>
    </row>
    <row r="139" spans="1:13" x14ac:dyDescent="0.2">
      <c r="B139" s="32">
        <v>100</v>
      </c>
    </row>
    <row r="140" spans="1:13" x14ac:dyDescent="0.2">
      <c r="B140" s="32">
        <v>200</v>
      </c>
    </row>
    <row r="141" spans="1:13" x14ac:dyDescent="0.2">
      <c r="B141" s="32">
        <f t="shared" ref="B141:B148" si="36">B140+200</f>
        <v>400</v>
      </c>
    </row>
    <row r="142" spans="1:13" x14ac:dyDescent="0.2">
      <c r="B142" s="32">
        <f t="shared" si="36"/>
        <v>600</v>
      </c>
    </row>
    <row r="143" spans="1:13" x14ac:dyDescent="0.2">
      <c r="B143" s="32">
        <f t="shared" si="36"/>
        <v>800</v>
      </c>
    </row>
    <row r="144" spans="1:13" x14ac:dyDescent="0.2">
      <c r="B144" s="32">
        <f t="shared" si="36"/>
        <v>1000</v>
      </c>
    </row>
    <row r="145" spans="2:2" x14ac:dyDescent="0.2">
      <c r="B145" s="32">
        <f t="shared" si="36"/>
        <v>1200</v>
      </c>
    </row>
    <row r="146" spans="2:2" x14ac:dyDescent="0.2">
      <c r="B146" s="32">
        <f t="shared" si="36"/>
        <v>1400</v>
      </c>
    </row>
    <row r="147" spans="2:2" x14ac:dyDescent="0.2">
      <c r="B147" s="32">
        <f t="shared" si="36"/>
        <v>1600</v>
      </c>
    </row>
    <row r="148" spans="2:2" x14ac:dyDescent="0.2">
      <c r="B148" s="32">
        <f t="shared" si="36"/>
        <v>1800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</vt:lpstr>
      <vt:lpstr>Compilation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2023-01-16T01:22:20Z</dcterms:modified>
</cp:coreProperties>
</file>