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840" yWindow="660" windowWidth="28260" windowHeight="17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1" l="1"/>
  <c r="AD6" i="1"/>
  <c r="AE6" i="1"/>
  <c r="AF6" i="1"/>
  <c r="AB6" i="1"/>
  <c r="AA6" i="1"/>
  <c r="V19" i="1"/>
  <c r="T20" i="1"/>
  <c r="S20" i="1"/>
  <c r="V17" i="1"/>
  <c r="T17" i="1"/>
  <c r="S17" i="1"/>
  <c r="AH8" i="1"/>
  <c r="AC8" i="1"/>
  <c r="AD8" i="1"/>
  <c r="AE8" i="1"/>
  <c r="AF8" i="1"/>
  <c r="AB8" i="1"/>
  <c r="AA7" i="1"/>
  <c r="AH5" i="1"/>
  <c r="AC5" i="1"/>
  <c r="AD5" i="1"/>
  <c r="AE5" i="1"/>
  <c r="AF5" i="1"/>
  <c r="AB5" i="1"/>
  <c r="AC4" i="1"/>
  <c r="AD4" i="1"/>
  <c r="AE4" i="1"/>
  <c r="AF4" i="1"/>
  <c r="AB4" i="1"/>
  <c r="AB7" i="1"/>
  <c r="AC7" i="1"/>
  <c r="AD7" i="1"/>
  <c r="AE7" i="1"/>
  <c r="AF7" i="1"/>
  <c r="AB3" i="1"/>
  <c r="AC3" i="1"/>
  <c r="AD3" i="1"/>
  <c r="AE3" i="1"/>
  <c r="AF3" i="1"/>
  <c r="AA3" i="1"/>
  <c r="R16" i="1"/>
  <c r="T19" i="1"/>
  <c r="S19" i="1"/>
  <c r="R19" i="1"/>
  <c r="T16" i="1"/>
  <c r="S16" i="1"/>
  <c r="X8" i="1"/>
  <c r="X7" i="1"/>
  <c r="X6" i="1"/>
  <c r="X5" i="1"/>
  <c r="X4" i="1"/>
  <c r="X3" i="1"/>
  <c r="W8" i="1"/>
  <c r="W7" i="1"/>
  <c r="W6" i="1"/>
  <c r="W5" i="1"/>
  <c r="W4" i="1"/>
  <c r="W3" i="1"/>
  <c r="V8" i="1"/>
  <c r="V7" i="1"/>
  <c r="V6" i="1"/>
  <c r="V5" i="1"/>
  <c r="V4" i="1"/>
  <c r="V3" i="1"/>
  <c r="U8" i="1"/>
  <c r="U7" i="1"/>
  <c r="U6" i="1"/>
  <c r="U5" i="1"/>
  <c r="U4" i="1"/>
  <c r="U3" i="1"/>
  <c r="T8" i="1"/>
  <c r="T7" i="1"/>
  <c r="T6" i="1"/>
  <c r="T5" i="1"/>
  <c r="T4" i="1"/>
  <c r="T3" i="1"/>
  <c r="S8" i="1"/>
  <c r="S7" i="1"/>
  <c r="S6" i="1"/>
  <c r="S5" i="1"/>
  <c r="S4" i="1"/>
  <c r="S3" i="1"/>
  <c r="O21" i="1"/>
  <c r="O20" i="1"/>
  <c r="O19" i="1"/>
  <c r="O18" i="1"/>
  <c r="O17" i="1"/>
  <c r="O16" i="1"/>
  <c r="N21" i="1"/>
  <c r="N20" i="1"/>
  <c r="N19" i="1"/>
  <c r="N18" i="1"/>
  <c r="N17" i="1"/>
  <c r="N16" i="1"/>
  <c r="M21" i="1"/>
  <c r="M20" i="1"/>
  <c r="M19" i="1"/>
  <c r="M18" i="1"/>
  <c r="M17" i="1"/>
  <c r="M16" i="1"/>
  <c r="E17" i="1"/>
  <c r="H3" i="1"/>
  <c r="G3" i="1"/>
  <c r="F3" i="1"/>
  <c r="E3" i="1"/>
  <c r="D3" i="1"/>
  <c r="P8" i="1"/>
  <c r="P7" i="1"/>
  <c r="P6" i="1"/>
  <c r="O8" i="1"/>
  <c r="O7" i="1"/>
  <c r="O6" i="1"/>
  <c r="N8" i="1"/>
  <c r="N7" i="1"/>
  <c r="N6" i="1"/>
  <c r="M8" i="1"/>
  <c r="M7" i="1"/>
  <c r="M6" i="1"/>
  <c r="L8" i="1"/>
  <c r="L7" i="1"/>
  <c r="L6" i="1"/>
  <c r="K8" i="1"/>
  <c r="K7" i="1"/>
  <c r="K6" i="1"/>
  <c r="J21" i="1"/>
  <c r="J20" i="1"/>
  <c r="J19" i="1"/>
  <c r="I21" i="1"/>
  <c r="I20" i="1"/>
  <c r="I19" i="1"/>
  <c r="H21" i="1"/>
  <c r="H20" i="1"/>
  <c r="H19" i="1"/>
  <c r="H4" i="1"/>
  <c r="G4" i="1"/>
  <c r="F4" i="1"/>
  <c r="D4" i="1"/>
  <c r="E4" i="1"/>
</calcChain>
</file>

<file path=xl/sharedStrings.xml><?xml version="1.0" encoding="utf-8"?>
<sst xmlns="http://schemas.openxmlformats.org/spreadsheetml/2006/main" count="96" uniqueCount="28">
  <si>
    <t>Ground truth</t>
  </si>
  <si>
    <t>x</t>
  </si>
  <si>
    <t>y</t>
  </si>
  <si>
    <t>z</t>
  </si>
  <si>
    <t>roll</t>
  </si>
  <si>
    <t>pitch</t>
  </si>
  <si>
    <t>yaw</t>
  </si>
  <si>
    <t>offset</t>
  </si>
  <si>
    <t>Pose 2</t>
  </si>
  <si>
    <t>Pose 3</t>
  </si>
  <si>
    <t>Pose 4</t>
  </si>
  <si>
    <t>Pose 5</t>
  </si>
  <si>
    <t>Pose 6</t>
  </si>
  <si>
    <t xml:space="preserve">Table </t>
  </si>
  <si>
    <t>Odometry</t>
  </si>
  <si>
    <t>Corridor</t>
  </si>
  <si>
    <t>Pose 1</t>
  </si>
  <si>
    <t xml:space="preserve">pitch </t>
  </si>
  <si>
    <t>Error</t>
  </si>
  <si>
    <t>MSE T</t>
  </si>
  <si>
    <t>MSE R</t>
  </si>
  <si>
    <t>MS T</t>
  </si>
  <si>
    <t>Delta MSE T</t>
  </si>
  <si>
    <t>change in error in translation per distance traveled</t>
  </si>
  <si>
    <t>change in error in rotation per distance traveled</t>
  </si>
  <si>
    <t>Delta MSE R</t>
  </si>
  <si>
    <t>changein error in translation per distance traveled</t>
  </si>
  <si>
    <t>C MS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</si>
</sst>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Corridor</a:t>
            </a:r>
            <a:r>
              <a:rPr lang="en-US" baseline="0"/>
              <a:t> Translational Error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 Error</c:v>
          </c:tx>
          <c:cat>
            <c:strLit>
              <c:ptCount val="3"/>
              <c:pt idx="0">
                <c:v>_x0006_Pose 1</c:v>
              </c:pt>
              <c:pt idx="1">
                <c:v>_x0006_Pose 2</c:v>
              </c:pt>
              <c:pt idx="2">
                <c:v>_x0006_Pose 3</c:v>
              </c:pt>
            </c:strLit>
          </c:cat>
          <c:val>
            <c:numRef>
              <c:f>Sheet1!$M$16:$O$16</c:f>
              <c:numCache>
                <c:formatCode>General</c:formatCode>
                <c:ptCount val="3"/>
                <c:pt idx="0">
                  <c:v>0.0764</c:v>
                </c:pt>
                <c:pt idx="1">
                  <c:v>17.3778</c:v>
                </c:pt>
                <c:pt idx="2">
                  <c:v>35.6022</c:v>
                </c:pt>
              </c:numCache>
            </c:numRef>
          </c:val>
          <c:smooth val="0"/>
        </c:ser>
        <c:ser>
          <c:idx val="0"/>
          <c:order val="1"/>
          <c:tx>
            <c:v>Y Error</c:v>
          </c:tx>
          <c:cat>
            <c:strLit>
              <c:ptCount val="3"/>
              <c:pt idx="0">
                <c:v>_x0006_Pose 1</c:v>
              </c:pt>
              <c:pt idx="1">
                <c:v>_x0006_Pose 2</c:v>
              </c:pt>
              <c:pt idx="2">
                <c:v>_x0006_Pose 3</c:v>
              </c:pt>
            </c:strLit>
          </c:cat>
          <c:val>
            <c:numRef>
              <c:f>Sheet1!$M$17:$O$17</c:f>
              <c:numCache>
                <c:formatCode>General</c:formatCode>
                <c:ptCount val="3"/>
                <c:pt idx="0">
                  <c:v>0.5009</c:v>
                </c:pt>
                <c:pt idx="1">
                  <c:v>1.601999999999975</c:v>
                </c:pt>
                <c:pt idx="2">
                  <c:v>8.748699999999985</c:v>
                </c:pt>
              </c:numCache>
            </c:numRef>
          </c:val>
          <c:smooth val="0"/>
        </c:ser>
        <c:ser>
          <c:idx val="2"/>
          <c:order val="2"/>
          <c:tx>
            <c:v>Z Error</c:v>
          </c:tx>
          <c:cat>
            <c:strLit>
              <c:ptCount val="3"/>
              <c:pt idx="0">
                <c:v>_x0006_Pose 1</c:v>
              </c:pt>
              <c:pt idx="1">
                <c:v>_x0006_Pose 2</c:v>
              </c:pt>
              <c:pt idx="2">
                <c:v>_x0006_Pose 3</c:v>
              </c:pt>
            </c:strLit>
          </c:cat>
          <c:val>
            <c:numRef>
              <c:f>Sheet1!$M$18:$O$18</c:f>
              <c:numCache>
                <c:formatCode>General</c:formatCode>
                <c:ptCount val="3"/>
                <c:pt idx="0">
                  <c:v>0.1813</c:v>
                </c:pt>
                <c:pt idx="1">
                  <c:v>29.4081</c:v>
                </c:pt>
                <c:pt idx="2">
                  <c:v>21.7483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925208"/>
        <c:axId val="626947320"/>
      </c:lineChart>
      <c:catAx>
        <c:axId val="6409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6947320"/>
        <c:crosses val="autoZero"/>
        <c:auto val="1"/>
        <c:lblAlgn val="ctr"/>
        <c:lblOffset val="100"/>
        <c:noMultiLvlLbl val="0"/>
      </c:catAx>
      <c:valAx>
        <c:axId val="6269473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4092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Corridor</a:t>
            </a:r>
            <a:r>
              <a:rPr lang="en-US" baseline="0"/>
              <a:t> Translational Error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3"/>
              <c:pt idx="0">
                <c:v>_x0006_Pose 1</c:v>
              </c:pt>
              <c:pt idx="1">
                <c:v>_x0006_Pose 2</c:v>
              </c:pt>
              <c:pt idx="2">
                <c:v>_x0006_Pose 3</c:v>
              </c:pt>
            </c:strLit>
          </c:cat>
          <c:val>
            <c:numRef>
              <c:f>Sheet1!$R$16:$T$16</c:f>
              <c:numCache>
                <c:formatCode>General</c:formatCode>
                <c:ptCount val="3"/>
                <c:pt idx="0">
                  <c:v>0.538151893056226</c:v>
                </c:pt>
                <c:pt idx="1">
                  <c:v>34.1963548123188</c:v>
                </c:pt>
                <c:pt idx="2">
                  <c:v>42.62681021868749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419976"/>
        <c:axId val="660627992"/>
      </c:lineChart>
      <c:catAx>
        <c:axId val="661419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660627992"/>
        <c:crosses val="autoZero"/>
        <c:auto val="1"/>
        <c:lblAlgn val="ctr"/>
        <c:lblOffset val="100"/>
        <c:noMultiLvlLbl val="0"/>
      </c:catAx>
      <c:valAx>
        <c:axId val="660627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MSE</a:t>
                </a:r>
                <a:r>
                  <a:rPr lang="en-US" baseline="0"/>
                  <a:t> Error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6141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Corridor Angular 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Angular Error</c:v>
          </c:tx>
          <c:cat>
            <c:strLit>
              <c:ptCount val="3"/>
              <c:pt idx="0">
                <c:v>_x0006_Pose 1</c:v>
              </c:pt>
              <c:pt idx="1">
                <c:v>_x0006_Pose 2</c:v>
              </c:pt>
              <c:pt idx="2">
                <c:v>_x0006_Pose 3</c:v>
              </c:pt>
            </c:strLit>
          </c:cat>
          <c:val>
            <c:numRef>
              <c:f>Sheet1!$R$19:$T$19</c:f>
              <c:numCache>
                <c:formatCode>General</c:formatCode>
                <c:ptCount val="3"/>
                <c:pt idx="0">
                  <c:v>0.0071675698113099</c:v>
                </c:pt>
                <c:pt idx="1">
                  <c:v>0.0495192509434461</c:v>
                </c:pt>
                <c:pt idx="2">
                  <c:v>0.146731222597646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98456"/>
        <c:axId val="607899864"/>
      </c:lineChart>
      <c:catAx>
        <c:axId val="607898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07899864"/>
        <c:crosses val="autoZero"/>
        <c:auto val="1"/>
        <c:lblAlgn val="ctr"/>
        <c:lblOffset val="100"/>
        <c:noMultiLvlLbl val="0"/>
      </c:catAx>
      <c:valAx>
        <c:axId val="60789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Angular</a:t>
                </a:r>
                <a:r>
                  <a:rPr lang="en-US" baseline="0"/>
                  <a:t> Error (radians)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789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MSE translational Error</c:v>
          </c:tx>
          <c:cat>
            <c:strLit>
              <c:ptCount val="6"/>
              <c:pt idx="0">
                <c:v>_x0006_Pose 1</c:v>
              </c:pt>
              <c:pt idx="1">
                <c:v>_x0006_Pose 2</c:v>
              </c:pt>
              <c:pt idx="2">
                <c:v>_x0006_Pose 3</c:v>
              </c:pt>
              <c:pt idx="3">
                <c:v>_x0006_Pose 4</c:v>
              </c:pt>
              <c:pt idx="4">
                <c:v>_x0006_Pose 5</c:v>
              </c:pt>
              <c:pt idx="5">
                <c:v>_x0006_Pose 6</c:v>
              </c:pt>
            </c:strLit>
          </c:cat>
          <c:val>
            <c:numRef>
              <c:f>Sheet1!$AA$3:$AF$3</c:f>
              <c:numCache>
                <c:formatCode>General</c:formatCode>
                <c:ptCount val="6"/>
                <c:pt idx="0">
                  <c:v>1.054903635409415</c:v>
                </c:pt>
                <c:pt idx="1">
                  <c:v>6.638549300110685</c:v>
                </c:pt>
                <c:pt idx="2">
                  <c:v>11.86896587955328</c:v>
                </c:pt>
                <c:pt idx="3">
                  <c:v>16.22484006854921</c:v>
                </c:pt>
                <c:pt idx="4">
                  <c:v>13.6689038488827</c:v>
                </c:pt>
                <c:pt idx="5">
                  <c:v>20.6551148808231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146888"/>
        <c:axId val="607828664"/>
      </c:lineChart>
      <c:catAx>
        <c:axId val="60514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07828664"/>
        <c:crosses val="autoZero"/>
        <c:auto val="1"/>
        <c:lblAlgn val="ctr"/>
        <c:lblOffset val="100"/>
        <c:noMultiLvlLbl val="0"/>
      </c:catAx>
      <c:valAx>
        <c:axId val="60782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14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Translational MSE vs Translation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Corridor</c:v>
          </c:tx>
          <c:xVal>
            <c:numRef>
              <c:f>Sheet1!$C$17:$E$17</c:f>
              <c:numCache>
                <c:formatCode>General</c:formatCode>
                <c:ptCount val="3"/>
                <c:pt idx="0">
                  <c:v>0.0</c:v>
                </c:pt>
                <c:pt idx="1">
                  <c:v>490.0</c:v>
                </c:pt>
                <c:pt idx="2">
                  <c:v>918.0</c:v>
                </c:pt>
              </c:numCache>
            </c:numRef>
          </c:xVal>
          <c:yVal>
            <c:numRef>
              <c:f>Sheet1!$R$16:$T$16</c:f>
              <c:numCache>
                <c:formatCode>General</c:formatCode>
                <c:ptCount val="3"/>
                <c:pt idx="0">
                  <c:v>0.538151893056226</c:v>
                </c:pt>
                <c:pt idx="1">
                  <c:v>34.1963548123188</c:v>
                </c:pt>
                <c:pt idx="2">
                  <c:v>42.62681021868749</c:v>
                </c:pt>
              </c:numCache>
            </c:numRef>
          </c:yVal>
          <c:smooth val="1"/>
        </c:ser>
        <c:ser>
          <c:idx val="1"/>
          <c:order val="1"/>
          <c:tx>
            <c:v>Table</c:v>
          </c:tx>
          <c:xVal>
            <c:numRef>
              <c:f>Sheet1!$AA$6:$AF$6</c:f>
              <c:numCache>
                <c:formatCode>General</c:formatCode>
                <c:ptCount val="6"/>
                <c:pt idx="0">
                  <c:v>0.0</c:v>
                </c:pt>
                <c:pt idx="1">
                  <c:v>89.22023313128027</c:v>
                </c:pt>
                <c:pt idx="2">
                  <c:v>122.2202331312803</c:v>
                </c:pt>
                <c:pt idx="3">
                  <c:v>171.7177078143386</c:v>
                </c:pt>
                <c:pt idx="4">
                  <c:v>209.5759962067105</c:v>
                </c:pt>
                <c:pt idx="5">
                  <c:v>248.5792012032233</c:v>
                </c:pt>
              </c:numCache>
            </c:numRef>
          </c:xVal>
          <c:yVal>
            <c:numRef>
              <c:f>Sheet1!$AA$3:$AF$3</c:f>
              <c:numCache>
                <c:formatCode>General</c:formatCode>
                <c:ptCount val="6"/>
                <c:pt idx="0">
                  <c:v>1.054903635409415</c:v>
                </c:pt>
                <c:pt idx="1">
                  <c:v>6.638549300110685</c:v>
                </c:pt>
                <c:pt idx="2">
                  <c:v>11.86896587955328</c:v>
                </c:pt>
                <c:pt idx="3">
                  <c:v>16.22484006854921</c:v>
                </c:pt>
                <c:pt idx="4">
                  <c:v>13.6689038488827</c:v>
                </c:pt>
                <c:pt idx="5">
                  <c:v>20.6551148808231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8376"/>
        <c:axId val="605206504"/>
      </c:scatterChart>
      <c:valAx>
        <c:axId val="13526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Translation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5206504"/>
        <c:crosses val="autoZero"/>
        <c:crossBetween val="midCat"/>
      </c:valAx>
      <c:valAx>
        <c:axId val="605206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MSE</a:t>
                </a:r>
                <a:r>
                  <a:rPr lang="en-US" baseline="0"/>
                  <a:t> T Error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26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</a:t>
            </a:r>
            <a:r>
              <a:rPr lang="en-US" baseline="0"/>
              <a:t> MSE vs Translation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Corridor</c:v>
          </c:tx>
          <c:xVal>
            <c:numRef>
              <c:f>Sheet1!$C$17:$E$17</c:f>
              <c:numCache>
                <c:formatCode>General</c:formatCode>
                <c:ptCount val="3"/>
                <c:pt idx="0">
                  <c:v>0.0</c:v>
                </c:pt>
                <c:pt idx="1">
                  <c:v>490.0</c:v>
                </c:pt>
                <c:pt idx="2">
                  <c:v>918.0</c:v>
                </c:pt>
              </c:numCache>
            </c:numRef>
          </c:xVal>
          <c:yVal>
            <c:numRef>
              <c:f>Sheet1!$R$19:$T$19</c:f>
              <c:numCache>
                <c:formatCode>General</c:formatCode>
                <c:ptCount val="3"/>
                <c:pt idx="0">
                  <c:v>0.0071675698113099</c:v>
                </c:pt>
                <c:pt idx="1">
                  <c:v>0.0495192509434461</c:v>
                </c:pt>
                <c:pt idx="2">
                  <c:v>0.146731222597646</c:v>
                </c:pt>
              </c:numCache>
            </c:numRef>
          </c:yVal>
          <c:smooth val="1"/>
        </c:ser>
        <c:ser>
          <c:idx val="1"/>
          <c:order val="1"/>
          <c:tx>
            <c:v>Table</c:v>
          </c:tx>
          <c:xVal>
            <c:numRef>
              <c:f>Sheet1!$AA$6:$AF$6</c:f>
              <c:numCache>
                <c:formatCode>General</c:formatCode>
                <c:ptCount val="6"/>
                <c:pt idx="0">
                  <c:v>0.0</c:v>
                </c:pt>
                <c:pt idx="1">
                  <c:v>89.22023313128027</c:v>
                </c:pt>
                <c:pt idx="2">
                  <c:v>122.2202331312803</c:v>
                </c:pt>
                <c:pt idx="3">
                  <c:v>171.7177078143386</c:v>
                </c:pt>
                <c:pt idx="4">
                  <c:v>209.5759962067105</c:v>
                </c:pt>
                <c:pt idx="5">
                  <c:v>248.5792012032233</c:v>
                </c:pt>
              </c:numCache>
            </c:numRef>
          </c:xVal>
          <c:yVal>
            <c:numRef>
              <c:f>Sheet1!$AA$7:$AF$7</c:f>
              <c:numCache>
                <c:formatCode>General</c:formatCode>
                <c:ptCount val="6"/>
                <c:pt idx="0">
                  <c:v>0.0324201174118786</c:v>
                </c:pt>
                <c:pt idx="1">
                  <c:v>0.106630334056496</c:v>
                </c:pt>
                <c:pt idx="2">
                  <c:v>0.0924232217032063</c:v>
                </c:pt>
                <c:pt idx="3">
                  <c:v>0.107730249609847</c:v>
                </c:pt>
                <c:pt idx="4">
                  <c:v>0.18368079128205</c:v>
                </c:pt>
                <c:pt idx="5">
                  <c:v>0.184248017101949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59656"/>
        <c:axId val="652418056"/>
      </c:scatterChart>
      <c:valAx>
        <c:axId val="65295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Translation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52418056"/>
        <c:crosses val="autoZero"/>
        <c:crossBetween val="midCat"/>
      </c:valAx>
      <c:valAx>
        <c:axId val="65241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Angular</a:t>
                </a:r>
                <a:r>
                  <a:rPr lang="en-US" baseline="0"/>
                  <a:t> Error (radians)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52959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152400</xdr:rowOff>
    </xdr:from>
    <xdr:to>
      <xdr:col>5</xdr:col>
      <xdr:colOff>304800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23</xdr:row>
      <xdr:rowOff>0</xdr:rowOff>
    </xdr:from>
    <xdr:to>
      <xdr:col>11</xdr:col>
      <xdr:colOff>171450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641350</xdr:colOff>
      <xdr:row>39</xdr:row>
      <xdr:rowOff>127000</xdr:rowOff>
    </xdr:from>
    <xdr:to>
      <xdr:col>6</xdr:col>
      <xdr:colOff>95250</xdr:colOff>
      <xdr:row>54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22</xdr:row>
      <xdr:rowOff>127000</xdr:rowOff>
    </xdr:from>
    <xdr:to>
      <xdr:col>17</xdr:col>
      <xdr:colOff>450850</xdr:colOff>
      <xdr:row>37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806450</xdr:colOff>
      <xdr:row>22</xdr:row>
      <xdr:rowOff>76200</xdr:rowOff>
    </xdr:from>
    <xdr:to>
      <xdr:col>23</xdr:col>
      <xdr:colOff>425450</xdr:colOff>
      <xdr:row>36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755650</xdr:colOff>
      <xdr:row>38</xdr:row>
      <xdr:rowOff>177800</xdr:rowOff>
    </xdr:from>
    <xdr:to>
      <xdr:col>23</xdr:col>
      <xdr:colOff>374650</xdr:colOff>
      <xdr:row>53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1"/>
  <sheetViews>
    <sheetView tabSelected="1" showRuler="0" topLeftCell="M111" workbookViewId="0">
      <selection activeCell="Z26" sqref="Z26"/>
    </sheetView>
  </sheetViews>
  <sheetFormatPr baseColWidth="10" defaultRowHeight="15" x14ac:dyDescent="0"/>
  <cols>
    <col min="2" max="2" width="13" customWidth="1"/>
  </cols>
  <sheetData>
    <row r="2" spans="1:34">
      <c r="A2" t="s">
        <v>13</v>
      </c>
      <c r="B2" t="s">
        <v>0</v>
      </c>
      <c r="C2" t="s">
        <v>16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14</v>
      </c>
      <c r="K2" t="s">
        <v>16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R2" t="s">
        <v>18</v>
      </c>
      <c r="S2" t="s">
        <v>16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AA2" t="s">
        <v>16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</row>
    <row r="3" spans="1:34">
      <c r="B3" t="s">
        <v>1</v>
      </c>
      <c r="C3">
        <v>0</v>
      </c>
      <c r="D3">
        <f>-75+C11</f>
        <v>-72.5</v>
      </c>
      <c r="E3">
        <f>-75+C11</f>
        <v>-72.5</v>
      </c>
      <c r="F3">
        <f>-40+C11</f>
        <v>-37.5</v>
      </c>
      <c r="G3">
        <f xml:space="preserve"> -8.5+C11</f>
        <v>-6</v>
      </c>
      <c r="H3">
        <f>-40+C11</f>
        <v>-37.5</v>
      </c>
      <c r="J3" t="s">
        <v>1</v>
      </c>
      <c r="K3">
        <v>0.24440000000000001</v>
      </c>
      <c r="L3">
        <v>-66.646199999999993</v>
      </c>
      <c r="M3">
        <v>-68.831699999999998</v>
      </c>
      <c r="N3">
        <v>-39.125500000000002</v>
      </c>
      <c r="O3">
        <v>-10.9373</v>
      </c>
      <c r="P3">
        <v>-45.415300000000002</v>
      </c>
      <c r="R3" t="s">
        <v>1</v>
      </c>
      <c r="S3">
        <f>ABS(K3-C3)</f>
        <v>0.24440000000000001</v>
      </c>
      <c r="T3">
        <f>ABS(L3-D3)</f>
        <v>5.8538000000000068</v>
      </c>
      <c r="U3">
        <f>ABS(M3-E3)</f>
        <v>3.6683000000000021</v>
      </c>
      <c r="V3">
        <f>ABS(N3-F3)</f>
        <v>1.6255000000000024</v>
      </c>
      <c r="W3">
        <f>ABS(O3-G3)</f>
        <v>4.9373000000000005</v>
      </c>
      <c r="X3">
        <f>ABS(P3-H3)</f>
        <v>7.915300000000002</v>
      </c>
      <c r="Z3" t="s">
        <v>19</v>
      </c>
      <c r="AA3">
        <f>SQRT(S3*S3+S4*S4+S5*S5)</f>
        <v>1.054903635409415</v>
      </c>
      <c r="AB3">
        <f t="shared" ref="AB3:AF3" si="0">SQRT(T3*T3+T4*T4+T5*T5)</f>
        <v>6.6385493001106859</v>
      </c>
      <c r="AC3">
        <f t="shared" si="0"/>
        <v>11.868965879553283</v>
      </c>
      <c r="AD3">
        <f t="shared" si="0"/>
        <v>16.224840068549206</v>
      </c>
      <c r="AE3">
        <f t="shared" si="0"/>
        <v>13.668903848882696</v>
      </c>
      <c r="AF3">
        <f t="shared" si="0"/>
        <v>20.655114880823103</v>
      </c>
    </row>
    <row r="4" spans="1:34">
      <c r="B4" t="s">
        <v>2</v>
      </c>
      <c r="C4">
        <v>0</v>
      </c>
      <c r="D4">
        <f xml:space="preserve"> 58 + C12</f>
        <v>52</v>
      </c>
      <c r="E4">
        <f>91+C12</f>
        <v>85</v>
      </c>
      <c r="F4">
        <f>114-C12</f>
        <v>120</v>
      </c>
      <c r="G4">
        <f xml:space="preserve"> 147+C12</f>
        <v>141</v>
      </c>
      <c r="H4">
        <f>170+C12</f>
        <v>164</v>
      </c>
      <c r="J4" t="s">
        <v>2</v>
      </c>
      <c r="K4">
        <v>0.46539999999999998</v>
      </c>
      <c r="L4">
        <v>51.404600000000002</v>
      </c>
      <c r="M4">
        <v>80.154600000000002</v>
      </c>
      <c r="N4">
        <v>105.29600000000001</v>
      </c>
      <c r="O4">
        <v>135.26249999999999</v>
      </c>
      <c r="P4">
        <v>152.6276</v>
      </c>
      <c r="R4" t="s">
        <v>2</v>
      </c>
      <c r="S4">
        <f>ABS(K4-C4)</f>
        <v>0.46539999999999998</v>
      </c>
      <c r="T4">
        <f>ABS(L4-D4)</f>
        <v>0.59539999999999793</v>
      </c>
      <c r="U4">
        <f>ABS(M4-E4)</f>
        <v>4.8453999999999979</v>
      </c>
      <c r="V4">
        <f>ABS(N4-F4)</f>
        <v>14.703999999999994</v>
      </c>
      <c r="W4">
        <f>ABS(O4-G4)</f>
        <v>5.7375000000000114</v>
      </c>
      <c r="X4">
        <f>ABS(P4-H4)</f>
        <v>11.372399999999999</v>
      </c>
      <c r="Z4" t="s">
        <v>21</v>
      </c>
      <c r="AA4">
        <v>0</v>
      </c>
      <c r="AB4">
        <f xml:space="preserve"> SQRT((D3-C3)*(D3-C3)+(D4-C4)*(D4-C4)+(D5-C5)*(D5-C5))</f>
        <v>89.220233131280267</v>
      </c>
      <c r="AC4">
        <f t="shared" ref="AC4:AF4" si="1" xml:space="preserve"> SQRT((E3-D3)*(E3-D3)+(E4-D4)*(E4-D4)+(E5-D5)*(E5-D5))</f>
        <v>33</v>
      </c>
      <c r="AD4">
        <f t="shared" si="1"/>
        <v>49.497474683058329</v>
      </c>
      <c r="AE4">
        <f t="shared" si="1"/>
        <v>37.85828839237189</v>
      </c>
      <c r="AF4">
        <f t="shared" si="1"/>
        <v>39.003204996512785</v>
      </c>
      <c r="AH4" t="s">
        <v>23</v>
      </c>
    </row>
    <row r="5" spans="1:34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s">
        <v>3</v>
      </c>
      <c r="K5">
        <v>0.91459999999999997</v>
      </c>
      <c r="L5">
        <v>3.0739000000000001</v>
      </c>
      <c r="M5">
        <v>10.195</v>
      </c>
      <c r="N5">
        <v>6.6630000000000003</v>
      </c>
      <c r="O5">
        <v>11.3817</v>
      </c>
      <c r="P5">
        <v>15.318300000000001</v>
      </c>
      <c r="R5" t="s">
        <v>3</v>
      </c>
      <c r="S5">
        <f>ABS(K5-C5)</f>
        <v>0.91459999999999997</v>
      </c>
      <c r="T5">
        <f>ABS(L5-D5)</f>
        <v>3.0739000000000001</v>
      </c>
      <c r="U5">
        <f>ABS(M5-E5)</f>
        <v>10.195</v>
      </c>
      <c r="V5">
        <f>ABS(N5-F5)</f>
        <v>6.6630000000000003</v>
      </c>
      <c r="W5">
        <f>ABS(O5-G5)</f>
        <v>11.3817</v>
      </c>
      <c r="X5">
        <f>ABS(P5-H5)</f>
        <v>15.318300000000001</v>
      </c>
      <c r="Z5" t="s">
        <v>22</v>
      </c>
      <c r="AB5">
        <f>SQRT((AB3-AA3)*(AB3-AA3))</f>
        <v>5.5836456647012707</v>
      </c>
      <c r="AC5">
        <f t="shared" ref="AC5:AF5" si="2">SQRT((AC3-AB3)*(AC3-AB3))</f>
        <v>5.230416579442597</v>
      </c>
      <c r="AD5">
        <f t="shared" si="2"/>
        <v>4.3558741889959229</v>
      </c>
      <c r="AE5">
        <f t="shared" si="2"/>
        <v>2.5559362196665099</v>
      </c>
      <c r="AF5">
        <f t="shared" si="2"/>
        <v>6.9862110319404067</v>
      </c>
      <c r="AH5">
        <f>AVERAGE(AB5/AB4,AC5/AC4,AD5/AD4,AE5/AE4,AF5/AF4)</f>
        <v>0.11114285974439606</v>
      </c>
    </row>
    <row r="6" spans="1:34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s">
        <v>4</v>
      </c>
      <c r="K6">
        <f xml:space="preserve"> -1.587648 +E11</f>
        <v>-1.6851999999999867E-2</v>
      </c>
      <c r="L6">
        <f>-1.637312+E11</f>
        <v>-6.651600000000002E-2</v>
      </c>
      <c r="M6">
        <f>-1.610751+E11</f>
        <v>-3.9954999999999963E-2</v>
      </c>
      <c r="N6">
        <f>-1.591858+E11</f>
        <v>-2.1061999999999914E-2</v>
      </c>
      <c r="O6">
        <f>-1.604339+E11</f>
        <v>-3.3542999999999878E-2</v>
      </c>
      <c r="P6">
        <f>-1.675407+E11</f>
        <v>-0.10461100000000001</v>
      </c>
      <c r="R6" t="s">
        <v>4</v>
      </c>
      <c r="S6">
        <f>ABS(K6-C6)</f>
        <v>1.6851999999999867E-2</v>
      </c>
      <c r="T6">
        <f>ABS(L6-D6)</f>
        <v>6.651600000000002E-2</v>
      </c>
      <c r="U6">
        <f>ABS(M6-E6)</f>
        <v>3.9954999999999963E-2</v>
      </c>
      <c r="V6">
        <f>ABS(N6-F6)</f>
        <v>2.1061999999999914E-2</v>
      </c>
      <c r="W6">
        <f>ABS(O6-G6)</f>
        <v>3.3542999999999878E-2</v>
      </c>
      <c r="X6">
        <f>ABS(P6-H6)</f>
        <v>0.10461100000000001</v>
      </c>
      <c r="Z6" t="s">
        <v>27</v>
      </c>
      <c r="AA6">
        <f>0</f>
        <v>0</v>
      </c>
      <c r="AB6">
        <f>AB4+AA6</f>
        <v>89.220233131280267</v>
      </c>
      <c r="AC6">
        <f t="shared" ref="AC6:AF6" si="3">AC4+AB6</f>
        <v>122.22023313128027</v>
      </c>
      <c r="AD6">
        <f t="shared" si="3"/>
        <v>171.71770781433861</v>
      </c>
      <c r="AE6">
        <f t="shared" si="3"/>
        <v>209.5759962067105</v>
      </c>
      <c r="AF6">
        <f t="shared" si="3"/>
        <v>248.57920120322328</v>
      </c>
    </row>
    <row r="7" spans="1:34"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s">
        <v>5</v>
      </c>
      <c r="K7">
        <f>0.027578+E12</f>
        <v>2.7577999999999998E-2</v>
      </c>
      <c r="L7">
        <f>0.054091+E12</f>
        <v>5.4091E-2</v>
      </c>
      <c r="M7">
        <f>0.054091+E12</f>
        <v>5.4091E-2</v>
      </c>
      <c r="N7">
        <f>0.040631+E12</f>
        <v>4.0631E-2</v>
      </c>
      <c r="O7">
        <f>0.077549+E12</f>
        <v>7.7549000000000007E-2</v>
      </c>
      <c r="P7">
        <f>-0.005623+E12</f>
        <v>-5.6230000000000004E-3</v>
      </c>
      <c r="R7" t="s">
        <v>5</v>
      </c>
      <c r="S7">
        <f>ABS(K7-C7)</f>
        <v>2.7577999999999998E-2</v>
      </c>
      <c r="T7">
        <f>ABS(L7-D7)</f>
        <v>5.4091E-2</v>
      </c>
      <c r="U7">
        <f>ABS(M7-E7)</f>
        <v>5.4091E-2</v>
      </c>
      <c r="V7">
        <f>ABS(N7-F7)</f>
        <v>4.0631E-2</v>
      </c>
      <c r="W7">
        <f>ABS(O7-G7)</f>
        <v>7.7549000000000007E-2</v>
      </c>
      <c r="X7">
        <f>ABS(P7-H7)</f>
        <v>5.6230000000000004E-3</v>
      </c>
      <c r="Z7" t="s">
        <v>20</v>
      </c>
      <c r="AA7">
        <f>SQRT(S6*S6+S7*S7+S8*S8)</f>
        <v>3.2420117411878613E-2</v>
      </c>
      <c r="AB7">
        <f t="shared" ref="AB7:AF7" si="4">SQRT(T6*T6+T7*T7+T8*T8)</f>
        <v>0.10663033405649644</v>
      </c>
      <c r="AC7">
        <f t="shared" si="4"/>
        <v>9.2423221703206285E-2</v>
      </c>
      <c r="AD7">
        <f t="shared" si="4"/>
        <v>0.10773024960984727</v>
      </c>
      <c r="AE7">
        <f t="shared" si="4"/>
        <v>0.18368079128205</v>
      </c>
      <c r="AF7">
        <f t="shared" si="4"/>
        <v>0.18424801710194882</v>
      </c>
      <c r="AH7" t="s">
        <v>24</v>
      </c>
    </row>
    <row r="8" spans="1:34"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s">
        <v>6</v>
      </c>
      <c r="K8">
        <f>-1.573351+E13</f>
        <v>-2.5549999999998629E-3</v>
      </c>
      <c r="L8">
        <f>-1.507394+E13</f>
        <v>6.340200000000018E-2</v>
      </c>
      <c r="M8">
        <f>-1.507394+E13</f>
        <v>6.340200000000018E-2</v>
      </c>
      <c r="N8">
        <f>-1.47327+E13</f>
        <v>9.7526000000000002E-2</v>
      </c>
      <c r="O8">
        <f>-1.407702+E13</f>
        <v>0.16309400000000007</v>
      </c>
      <c r="P8">
        <f>-1.41923+E13</f>
        <v>0.15156600000000009</v>
      </c>
      <c r="R8" t="s">
        <v>6</v>
      </c>
      <c r="S8">
        <f>ABS(K8-C8)</f>
        <v>2.5549999999998629E-3</v>
      </c>
      <c r="T8">
        <f>ABS(L8-D8)</f>
        <v>6.340200000000018E-2</v>
      </c>
      <c r="U8">
        <f>ABS(M8-E8)</f>
        <v>6.340200000000018E-2</v>
      </c>
      <c r="V8">
        <f>ABS(N8-F8)</f>
        <v>9.7526000000000002E-2</v>
      </c>
      <c r="W8">
        <f>ABS(O8-G8)</f>
        <v>0.16309400000000007</v>
      </c>
      <c r="X8">
        <f>ABS(P8-H8)</f>
        <v>0.15156600000000009</v>
      </c>
      <c r="Z8" t="s">
        <v>25</v>
      </c>
      <c r="AB8">
        <f>SQRT((AB7-AA7)*(AB7-AA7))</f>
        <v>7.4210216644617827E-2</v>
      </c>
      <c r="AC8">
        <f t="shared" ref="AC8:AF8" si="5">SQRT((AC7-AB7)*(AC7-AB7))</f>
        <v>1.4207112353290155E-2</v>
      </c>
      <c r="AD8">
        <f t="shared" si="5"/>
        <v>1.5307027906640985E-2</v>
      </c>
      <c r="AE8">
        <f t="shared" si="5"/>
        <v>7.5950541672202734E-2</v>
      </c>
      <c r="AF8">
        <f t="shared" si="5"/>
        <v>5.6722581989882004E-4</v>
      </c>
      <c r="AH8">
        <f>AVERAGE(AB8/AB4,AC8/AC4,AD8/AD4,AE8/AE4,AF8/AF4)</f>
        <v>7.1845094548384631E-4</v>
      </c>
    </row>
    <row r="10" spans="1:34">
      <c r="B10" t="s">
        <v>7</v>
      </c>
    </row>
    <row r="11" spans="1:34">
      <c r="B11" t="s">
        <v>1</v>
      </c>
      <c r="C11">
        <v>2.5</v>
      </c>
      <c r="D11" t="s">
        <v>4</v>
      </c>
      <c r="E11">
        <v>1.5707960000000001</v>
      </c>
    </row>
    <row r="12" spans="1:34">
      <c r="B12" t="s">
        <v>2</v>
      </c>
      <c r="C12">
        <v>-6</v>
      </c>
      <c r="D12" t="s">
        <v>17</v>
      </c>
      <c r="E12">
        <v>0</v>
      </c>
    </row>
    <row r="13" spans="1:34">
      <c r="B13" t="s">
        <v>3</v>
      </c>
      <c r="C13">
        <v>0</v>
      </c>
      <c r="D13" t="s">
        <v>6</v>
      </c>
      <c r="E13">
        <v>1.5707960000000001</v>
      </c>
    </row>
    <row r="15" spans="1:34">
      <c r="A15" t="s">
        <v>15</v>
      </c>
      <c r="B15" t="s">
        <v>0</v>
      </c>
      <c r="C15" t="s">
        <v>16</v>
      </c>
      <c r="D15" t="s">
        <v>8</v>
      </c>
      <c r="E15" t="s">
        <v>9</v>
      </c>
      <c r="G15" t="s">
        <v>14</v>
      </c>
      <c r="H15" t="s">
        <v>16</v>
      </c>
      <c r="I15" t="s">
        <v>8</v>
      </c>
      <c r="J15" t="s">
        <v>9</v>
      </c>
      <c r="L15" t="s">
        <v>18</v>
      </c>
      <c r="M15">
        <v>1</v>
      </c>
      <c r="N15">
        <v>2</v>
      </c>
      <c r="O15">
        <v>3</v>
      </c>
      <c r="R15">
        <v>1</v>
      </c>
      <c r="S15">
        <v>2</v>
      </c>
      <c r="T15">
        <v>3</v>
      </c>
    </row>
    <row r="16" spans="1:34">
      <c r="B16" t="s">
        <v>1</v>
      </c>
      <c r="C16">
        <v>0</v>
      </c>
      <c r="D16">
        <v>0</v>
      </c>
      <c r="E16">
        <v>0</v>
      </c>
      <c r="G16" t="s">
        <v>1</v>
      </c>
      <c r="H16">
        <v>-7.6399999999999996E-2</v>
      </c>
      <c r="I16">
        <v>-17.377800000000001</v>
      </c>
      <c r="J16">
        <v>-35.602200000000003</v>
      </c>
      <c r="L16" t="s">
        <v>1</v>
      </c>
      <c r="M16">
        <f>ABS(H16-C16)</f>
        <v>7.6399999999999996E-2</v>
      </c>
      <c r="N16">
        <f>ABS(I16-D16)</f>
        <v>17.377800000000001</v>
      </c>
      <c r="O16">
        <f>ABS(J16-E16)</f>
        <v>35.602200000000003</v>
      </c>
      <c r="Q16" t="s">
        <v>19</v>
      </c>
      <c r="R16">
        <f>SQRT(M16*M16+M17*M17+M18*M18)</f>
        <v>0.53815189305622635</v>
      </c>
      <c r="S16">
        <f>SQRT(N16*N16+N17*N17+N18*N18)</f>
        <v>34.196354812318809</v>
      </c>
      <c r="T16">
        <f>SQRT(O16*O16+O17*O17+O18*O18)</f>
        <v>42.626810218687488</v>
      </c>
      <c r="V16" t="s">
        <v>23</v>
      </c>
    </row>
    <row r="17" spans="2:22">
      <c r="B17" t="s">
        <v>2</v>
      </c>
      <c r="C17">
        <v>0</v>
      </c>
      <c r="D17">
        <v>490</v>
      </c>
      <c r="E17">
        <f>490+428</f>
        <v>918</v>
      </c>
      <c r="G17" t="s">
        <v>2</v>
      </c>
      <c r="H17">
        <v>-0.50090000000000001</v>
      </c>
      <c r="I17">
        <v>488.39800000000002</v>
      </c>
      <c r="J17">
        <v>926.74869999999999</v>
      </c>
      <c r="L17" t="s">
        <v>2</v>
      </c>
      <c r="M17">
        <f>ABS(H17-C17)</f>
        <v>0.50090000000000001</v>
      </c>
      <c r="N17">
        <f>ABS(I17-D17)</f>
        <v>1.6019999999999754</v>
      </c>
      <c r="O17">
        <f>ABS(J17-E17)</f>
        <v>8.7486999999999853</v>
      </c>
      <c r="Q17" t="s">
        <v>22</v>
      </c>
      <c r="S17">
        <f>S16-R16</f>
        <v>33.658202919262585</v>
      </c>
      <c r="T17">
        <f>T16-S16</f>
        <v>8.4304554063686794</v>
      </c>
      <c r="V17">
        <f>AVERAGE(S17/S18,T17/T18)</f>
        <v>4.4170810621484001E-2</v>
      </c>
    </row>
    <row r="18" spans="2:22">
      <c r="B18" t="s">
        <v>3</v>
      </c>
      <c r="C18">
        <v>0</v>
      </c>
      <c r="D18">
        <v>0</v>
      </c>
      <c r="E18">
        <v>0</v>
      </c>
      <c r="G18" t="s">
        <v>3</v>
      </c>
      <c r="H18">
        <v>0.18129999999999999</v>
      </c>
      <c r="I18">
        <v>-29.408100000000001</v>
      </c>
      <c r="J18">
        <v>-21.7483</v>
      </c>
      <c r="L18" t="s">
        <v>3</v>
      </c>
      <c r="M18">
        <f>ABS(H18-C18)</f>
        <v>0.18129999999999999</v>
      </c>
      <c r="N18">
        <f>ABS(I18-D18)</f>
        <v>29.408100000000001</v>
      </c>
      <c r="O18">
        <f>ABS(J18-E18)</f>
        <v>21.7483</v>
      </c>
      <c r="Q18" t="s">
        <v>21</v>
      </c>
      <c r="S18">
        <v>490</v>
      </c>
      <c r="T18">
        <v>429</v>
      </c>
      <c r="V18" t="s">
        <v>26</v>
      </c>
    </row>
    <row r="19" spans="2:22">
      <c r="B19" t="s">
        <v>4</v>
      </c>
      <c r="C19">
        <v>0</v>
      </c>
      <c r="D19">
        <v>0</v>
      </c>
      <c r="E19">
        <v>0</v>
      </c>
      <c r="G19" t="s">
        <v>4</v>
      </c>
      <c r="H19">
        <f xml:space="preserve"> -1.574727 + E11</f>
        <v>-3.9309999999999068E-3</v>
      </c>
      <c r="I19">
        <f xml:space="preserve"> -1.618663 +E11</f>
        <v>-4.7866999999999882E-2</v>
      </c>
      <c r="J19">
        <f xml:space="preserve"> -1.71655 +E11</f>
        <v>-0.14575399999999994</v>
      </c>
      <c r="L19" t="s">
        <v>4</v>
      </c>
      <c r="M19">
        <f>ABS(H19-C19)</f>
        <v>3.9309999999999068E-3</v>
      </c>
      <c r="N19">
        <f>ABS(I19-D19)</f>
        <v>4.7866999999999882E-2</v>
      </c>
      <c r="O19">
        <f>ABS(J19-E19)</f>
        <v>0.14575399999999994</v>
      </c>
      <c r="Q19" t="s">
        <v>20</v>
      </c>
      <c r="R19">
        <f>SQRT(H19*H19+H20*H20+H21*H21)</f>
        <v>7.1675698113099042E-3</v>
      </c>
      <c r="S19">
        <f>SQRT(I19*I19+I20*I20+I21*I21)</f>
        <v>4.9519250943446114E-2</v>
      </c>
      <c r="T19">
        <f>SQRT(J19*J19+J20*J20+J21*J21)</f>
        <v>0.14673122259764615</v>
      </c>
      <c r="V19">
        <f>AVERAGE(S20/S18,T20/T18)</f>
        <v>1.5651666741887742E-4</v>
      </c>
    </row>
    <row r="20" spans="2:22">
      <c r="B20" t="s">
        <v>5</v>
      </c>
      <c r="C20">
        <v>0</v>
      </c>
      <c r="D20">
        <v>0</v>
      </c>
      <c r="E20">
        <v>0</v>
      </c>
      <c r="G20" t="s">
        <v>5</v>
      </c>
      <c r="H20">
        <f xml:space="preserve"> -0.002836 +E12</f>
        <v>-2.836E-3</v>
      </c>
      <c r="I20">
        <f xml:space="preserve"> 0.001301 + E12</f>
        <v>1.3010000000000001E-3</v>
      </c>
      <c r="J20">
        <f xml:space="preserve"> -0.0163+E12</f>
        <v>-1.6299999999999999E-2</v>
      </c>
      <c r="L20" t="s">
        <v>5</v>
      </c>
      <c r="M20">
        <f>ABS(H20-C20)</f>
        <v>2.836E-3</v>
      </c>
      <c r="N20">
        <f>ABS(I20-D20)</f>
        <v>1.3010000000000001E-3</v>
      </c>
      <c r="O20">
        <f>ABS(J20-E20)</f>
        <v>1.6299999999999999E-2</v>
      </c>
      <c r="Q20" t="s">
        <v>25</v>
      </c>
      <c r="S20">
        <f>S19-R19</f>
        <v>4.2351681132136207E-2</v>
      </c>
      <c r="T20">
        <f>T19-S19</f>
        <v>9.7211971654200036E-2</v>
      </c>
    </row>
    <row r="21" spans="2:22">
      <c r="B21" t="s">
        <v>6</v>
      </c>
      <c r="C21">
        <v>0</v>
      </c>
      <c r="D21">
        <v>0</v>
      </c>
      <c r="E21">
        <v>0</v>
      </c>
      <c r="G21" t="s">
        <v>6</v>
      </c>
      <c r="H21">
        <f xml:space="preserve"> -1.565516 + E13</f>
        <v>5.2800000000001734E-3</v>
      </c>
      <c r="I21">
        <f xml:space="preserve"> -1.583414+E13</f>
        <v>-1.2618000000000018E-2</v>
      </c>
      <c r="J21">
        <f>-1.575283+E13</f>
        <v>-4.4869999999999077E-3</v>
      </c>
      <c r="L21" t="s">
        <v>6</v>
      </c>
      <c r="M21">
        <f>ABS(H21-C21)</f>
        <v>5.2800000000001734E-3</v>
      </c>
      <c r="N21">
        <f>ABS(I21-D21)</f>
        <v>1.2618000000000018E-2</v>
      </c>
      <c r="O21">
        <f>ABS(J21-E21)</f>
        <v>4.4869999999999077E-3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Peterson</dc:creator>
  <cp:lastModifiedBy>John R Peterson</cp:lastModifiedBy>
  <dcterms:created xsi:type="dcterms:W3CDTF">2011-12-12T19:22:20Z</dcterms:created>
  <dcterms:modified xsi:type="dcterms:W3CDTF">2011-12-12T21:55:50Z</dcterms:modified>
</cp:coreProperties>
</file>