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5150" windowHeight="7590"/>
  </bookViews>
  <sheets>
    <sheet name="Rotation" sheetId="1" r:id="rId1"/>
    <sheet name="N of Gas" sheetId="2" r:id="rId2"/>
    <sheet name="Regression of N" sheetId="4" r:id="rId3"/>
    <sheet name="MinMax for Data1" sheetId="3" r:id="rId4"/>
  </sheets>
  <definedNames>
    <definedName name="_xlnm._FilterDatabase" localSheetId="1" hidden="1">'N of Gas'!$A$2:$H$2</definedName>
  </definedNames>
  <calcPr calcId="125725" iterateDelta="1E-4"/>
  <fileRecoveryPr repairLoad="1"/>
</workbook>
</file>

<file path=xl/calcChain.xml><?xml version="1.0" encoding="utf-8"?>
<calcChain xmlns="http://schemas.openxmlformats.org/spreadsheetml/2006/main">
  <c r="M4" i="1"/>
  <c r="N4" s="1"/>
  <c r="P4" s="1"/>
  <c r="M5"/>
  <c r="H1"/>
  <c r="M3"/>
  <c r="F50" i="3"/>
  <c r="K20" i="1" s="1"/>
  <c r="L37" s="1"/>
  <c r="F47" i="3"/>
  <c r="K19" i="1" s="1"/>
  <c r="L36" s="1"/>
  <c r="F36" i="3"/>
  <c r="K17" i="1" s="1"/>
  <c r="L34" s="1"/>
  <c r="F41" i="3"/>
  <c r="K18" i="1" s="1"/>
  <c r="K36" s="1"/>
  <c r="F33" i="3"/>
  <c r="K16" i="1" s="1"/>
  <c r="K34" s="1"/>
  <c r="M34" s="1"/>
  <c r="F28" i="3"/>
  <c r="F25"/>
  <c r="F23"/>
  <c r="F21"/>
  <c r="K13" i="1"/>
  <c r="L30" s="1"/>
  <c r="K12"/>
  <c r="K30" s="1"/>
  <c r="K21"/>
  <c r="L22" s="1"/>
  <c r="K15"/>
  <c r="K33" s="1"/>
  <c r="K8"/>
  <c r="K26" s="1"/>
  <c r="K9"/>
  <c r="L26" s="1"/>
  <c r="K10"/>
  <c r="K28" s="1"/>
  <c r="K11"/>
  <c r="L28" s="1"/>
  <c r="K14"/>
  <c r="K32" s="1"/>
  <c r="K7"/>
  <c r="K22" s="1"/>
  <c r="F17" i="3"/>
  <c r="L8" i="1"/>
  <c r="L39" s="1"/>
  <c r="L9"/>
  <c r="K41" s="1"/>
  <c r="L10"/>
  <c r="K42" s="1"/>
  <c r="L11"/>
  <c r="K43" s="1"/>
  <c r="L12"/>
  <c r="L43" s="1"/>
  <c r="L13"/>
  <c r="K45" s="1"/>
  <c r="L14"/>
  <c r="L15"/>
  <c r="K47" s="1"/>
  <c r="L16"/>
  <c r="L47" s="1"/>
  <c r="L17"/>
  <c r="K49" s="1"/>
  <c r="L18"/>
  <c r="L49" s="1"/>
  <c r="L19"/>
  <c r="K51" s="1"/>
  <c r="L20"/>
  <c r="L51" s="1"/>
  <c r="L21"/>
  <c r="L24" s="1"/>
  <c r="B28" i="3"/>
  <c r="B36"/>
  <c r="D4" i="2"/>
  <c r="D5"/>
  <c r="E5" s="1"/>
  <c r="D6"/>
  <c r="E6" s="1"/>
  <c r="D7"/>
  <c r="E7" s="1"/>
  <c r="D8"/>
  <c r="D9"/>
  <c r="E9" s="1"/>
  <c r="D10"/>
  <c r="D11"/>
  <c r="D12"/>
  <c r="D3"/>
  <c r="E10"/>
  <c r="G3"/>
  <c r="E4"/>
  <c r="E8"/>
  <c r="E11"/>
  <c r="E12"/>
  <c r="E3"/>
  <c r="G9"/>
  <c r="G4"/>
  <c r="G5"/>
  <c r="G8"/>
  <c r="G10"/>
  <c r="G6"/>
  <c r="G12"/>
  <c r="G7"/>
  <c r="G11"/>
  <c r="F23"/>
  <c r="F20"/>
  <c r="B6" i="3"/>
  <c r="L7" i="1" s="1"/>
  <c r="H54" i="3"/>
  <c r="F54"/>
  <c r="H50"/>
  <c r="H47"/>
  <c r="D47"/>
  <c r="B47"/>
  <c r="H43"/>
  <c r="D43"/>
  <c r="B43"/>
  <c r="H41"/>
  <c r="D41"/>
  <c r="B41"/>
  <c r="H36"/>
  <c r="D36"/>
  <c r="H33"/>
  <c r="D33"/>
  <c r="B33"/>
  <c r="H31"/>
  <c r="D31"/>
  <c r="H28"/>
  <c r="D28"/>
  <c r="H25"/>
  <c r="D25"/>
  <c r="B25"/>
  <c r="H23"/>
  <c r="D23"/>
  <c r="B23"/>
  <c r="H21"/>
  <c r="D21"/>
  <c r="B21"/>
  <c r="H20"/>
  <c r="D20"/>
  <c r="B20"/>
  <c r="H17"/>
  <c r="D17"/>
  <c r="B17"/>
  <c r="H13"/>
  <c r="F13"/>
  <c r="D13"/>
  <c r="B13"/>
  <c r="H10"/>
  <c r="F10"/>
  <c r="D10"/>
  <c r="B10"/>
  <c r="H8"/>
  <c r="F8"/>
  <c r="D8"/>
  <c r="B8"/>
  <c r="H6"/>
  <c r="F6"/>
  <c r="D6"/>
  <c r="F16" i="2"/>
  <c r="E16"/>
  <c r="F11"/>
  <c r="M7" i="1" l="1"/>
  <c r="M51"/>
  <c r="M47"/>
  <c r="M43"/>
  <c r="M49"/>
  <c r="M30"/>
  <c r="M36"/>
  <c r="M17"/>
  <c r="M28"/>
  <c r="R4"/>
  <c r="Q4"/>
  <c r="K52"/>
  <c r="K38"/>
  <c r="M26"/>
  <c r="L32"/>
  <c r="M32" s="1"/>
  <c r="M12"/>
  <c r="M22"/>
  <c r="K44"/>
  <c r="M13"/>
  <c r="M19"/>
  <c r="M18"/>
  <c r="M15"/>
  <c r="M8"/>
  <c r="L33"/>
  <c r="M33" s="1"/>
  <c r="K29"/>
  <c r="K39"/>
  <c r="M39" s="1"/>
  <c r="K48"/>
  <c r="K40"/>
  <c r="M20"/>
  <c r="M14"/>
  <c r="M11"/>
  <c r="M9"/>
  <c r="L25"/>
  <c r="K31"/>
  <c r="M21"/>
  <c r="M16"/>
  <c r="M10"/>
  <c r="L23"/>
  <c r="K24"/>
  <c r="M24" s="1"/>
  <c r="K35"/>
  <c r="L45"/>
  <c r="M45" s="1"/>
  <c r="L41"/>
  <c r="M41" s="1"/>
  <c r="K25"/>
  <c r="L35"/>
  <c r="M35" s="1"/>
  <c r="L31"/>
  <c r="L29"/>
  <c r="L27"/>
  <c r="L38"/>
  <c r="M38" s="1"/>
  <c r="K50"/>
  <c r="K46"/>
  <c r="K23"/>
  <c r="K37"/>
  <c r="M37" s="1"/>
  <c r="L52"/>
  <c r="L50"/>
  <c r="L48"/>
  <c r="M48" s="1"/>
  <c r="L46"/>
  <c r="L44"/>
  <c r="M44" s="1"/>
  <c r="L42"/>
  <c r="M42" s="1"/>
  <c r="L40"/>
  <c r="K27"/>
  <c r="E7"/>
  <c r="D7"/>
  <c r="E6"/>
  <c r="E5"/>
  <c r="D5"/>
  <c r="E4"/>
  <c r="D4"/>
  <c r="M31" l="1"/>
  <c r="M27"/>
  <c r="M52"/>
  <c r="M29"/>
  <c r="M23"/>
  <c r="M50"/>
  <c r="M25"/>
  <c r="M40"/>
  <c r="M46"/>
  <c r="F4"/>
  <c r="F6"/>
  <c r="F5"/>
  <c r="E3"/>
  <c r="D3"/>
  <c r="E2"/>
  <c r="D2"/>
  <c r="N25" l="1"/>
  <c r="P25" s="1"/>
  <c r="F3"/>
  <c r="F2"/>
  <c r="N40" s="1"/>
  <c r="P40" s="1"/>
  <c r="Q40" l="1"/>
  <c r="R40"/>
  <c r="R25"/>
  <c r="Q25"/>
  <c r="N51"/>
  <c r="P51" s="1"/>
  <c r="N26"/>
  <c r="P26" s="1"/>
  <c r="N39"/>
  <c r="P39" s="1"/>
  <c r="N11"/>
  <c r="P11" s="1"/>
  <c r="N14"/>
  <c r="P14" s="1"/>
  <c r="N27"/>
  <c r="P27" s="1"/>
  <c r="N30"/>
  <c r="P30" s="1"/>
  <c r="N43"/>
  <c r="P43" s="1"/>
  <c r="N46"/>
  <c r="P46" s="1"/>
  <c r="N15"/>
  <c r="P15" s="1"/>
  <c r="N18"/>
  <c r="P18" s="1"/>
  <c r="N31"/>
  <c r="P31" s="1"/>
  <c r="N34"/>
  <c r="P34" s="1"/>
  <c r="N47"/>
  <c r="P47" s="1"/>
  <c r="N50"/>
  <c r="P50" s="1"/>
  <c r="N19"/>
  <c r="P19" s="1"/>
  <c r="N22"/>
  <c r="P22" s="1"/>
  <c r="N35"/>
  <c r="P35" s="1"/>
  <c r="N38"/>
  <c r="P38" s="1"/>
  <c r="N7"/>
  <c r="P7" s="1"/>
  <c r="N10"/>
  <c r="P10" s="1"/>
  <c r="N23"/>
  <c r="P23" s="1"/>
  <c r="N42"/>
  <c r="P42" s="1"/>
  <c r="N12"/>
  <c r="P12" s="1"/>
  <c r="N49"/>
  <c r="P49" s="1"/>
  <c r="N13"/>
  <c r="P13" s="1"/>
  <c r="N5"/>
  <c r="P5" s="1"/>
  <c r="R5" s="1"/>
  <c r="N32"/>
  <c r="P32" s="1"/>
  <c r="N28"/>
  <c r="P28" s="1"/>
  <c r="N36"/>
  <c r="P36" s="1"/>
  <c r="N17"/>
  <c r="P17" s="1"/>
  <c r="N52"/>
  <c r="P52" s="1"/>
  <c r="N29"/>
  <c r="P29" s="1"/>
  <c r="N37"/>
  <c r="P37" s="1"/>
  <c r="N45"/>
  <c r="P45" s="1"/>
  <c r="N33"/>
  <c r="P33" s="1"/>
  <c r="N41"/>
  <c r="P41" s="1"/>
  <c r="N21"/>
  <c r="P21" s="1"/>
  <c r="N9"/>
  <c r="P9" s="1"/>
  <c r="N20"/>
  <c r="P20" s="1"/>
  <c r="N24"/>
  <c r="P24" s="1"/>
  <c r="N48"/>
  <c r="P48" s="1"/>
  <c r="N8"/>
  <c r="P8" s="1"/>
  <c r="N44"/>
  <c r="P44" s="1"/>
  <c r="N16"/>
  <c r="P16" s="1"/>
  <c r="N3"/>
  <c r="P3" s="1"/>
  <c r="R3" s="1"/>
  <c r="F9"/>
  <c r="F8"/>
  <c r="F7" s="1"/>
  <c r="Q44" l="1"/>
  <c r="R44"/>
  <c r="R20"/>
  <c r="Q20"/>
  <c r="R33"/>
  <c r="Q33"/>
  <c r="R52"/>
  <c r="Q52"/>
  <c r="R32"/>
  <c r="Q32"/>
  <c r="Q12"/>
  <c r="R12"/>
  <c r="Q7"/>
  <c r="R7"/>
  <c r="R19"/>
  <c r="Q19"/>
  <c r="R34"/>
  <c r="Q34"/>
  <c r="R46"/>
  <c r="Q46"/>
  <c r="R14"/>
  <c r="Q14"/>
  <c r="R51"/>
  <c r="Q51"/>
  <c r="Q16"/>
  <c r="R16"/>
  <c r="R24"/>
  <c r="Q24"/>
  <c r="Q41"/>
  <c r="R41"/>
  <c r="Q29"/>
  <c r="R29"/>
  <c r="R28"/>
  <c r="Q28"/>
  <c r="Q49"/>
  <c r="R49"/>
  <c r="R10"/>
  <c r="Q10"/>
  <c r="R22"/>
  <c r="Q22"/>
  <c r="Q47"/>
  <c r="R47"/>
  <c r="R15"/>
  <c r="Q15"/>
  <c r="R27"/>
  <c r="Q27"/>
  <c r="R26"/>
  <c r="Q26"/>
  <c r="R48"/>
  <c r="Q48"/>
  <c r="Q21"/>
  <c r="R21"/>
  <c r="Q37"/>
  <c r="R37"/>
  <c r="Q36"/>
  <c r="R36"/>
  <c r="R13"/>
  <c r="Q13"/>
  <c r="R23"/>
  <c r="Q23"/>
  <c r="Q35"/>
  <c r="R35"/>
  <c r="R50"/>
  <c r="Q50"/>
  <c r="R18"/>
  <c r="Q18"/>
  <c r="R30"/>
  <c r="Q30"/>
  <c r="Q39"/>
  <c r="R39"/>
  <c r="Q8"/>
  <c r="R8"/>
  <c r="R9"/>
  <c r="Q9"/>
  <c r="R45"/>
  <c r="Q45"/>
  <c r="R17"/>
  <c r="Q17"/>
  <c r="Q5"/>
  <c r="R42"/>
  <c r="Q42"/>
  <c r="R38"/>
  <c r="Q38"/>
  <c r="Q31"/>
  <c r="R31"/>
  <c r="R43"/>
  <c r="Q43"/>
  <c r="Q11"/>
  <c r="R11"/>
  <c r="Q3"/>
</calcChain>
</file>

<file path=xl/sharedStrings.xml><?xml version="1.0" encoding="utf-8"?>
<sst xmlns="http://schemas.openxmlformats.org/spreadsheetml/2006/main" count="180" uniqueCount="90">
  <si>
    <t>7:20:18</t>
  </si>
  <si>
    <t>5:28:53</t>
  </si>
  <si>
    <t>5:00:80</t>
  </si>
  <si>
    <t>5:54:50</t>
  </si>
  <si>
    <t>Time</t>
  </si>
  <si>
    <t>Δmicrons</t>
  </si>
  <si>
    <t>Average</t>
  </si>
  <si>
    <t>speed (μm/s)</t>
  </si>
  <si>
    <t>Standard Error</t>
  </si>
  <si>
    <t>Intail</t>
  </si>
  <si>
    <t>time (min)</t>
  </si>
  <si>
    <t>Final</t>
  </si>
  <si>
    <t>4:19:37</t>
  </si>
  <si>
    <t>2:29:34</t>
  </si>
  <si>
    <t>Voltage</t>
  </si>
  <si>
    <t>Delta V</t>
  </si>
  <si>
    <t>P</t>
  </si>
  <si>
    <t>Peaks</t>
  </si>
  <si>
    <t>File name</t>
  </si>
  <si>
    <t>gas 1</t>
  </si>
  <si>
    <t>gas 2</t>
  </si>
  <si>
    <t>gas 3</t>
  </si>
  <si>
    <t>gas 5</t>
  </si>
  <si>
    <t>gas 4</t>
  </si>
  <si>
    <t>gas 6</t>
  </si>
  <si>
    <t>gas 7</t>
  </si>
  <si>
    <t>gas 8</t>
  </si>
  <si>
    <t>gas 9</t>
  </si>
  <si>
    <t>gas 10</t>
  </si>
  <si>
    <t>Trial</t>
  </si>
  <si>
    <t>intial (V)</t>
  </si>
  <si>
    <t>final (V)</t>
  </si>
  <si>
    <t>what is D</t>
  </si>
  <si>
    <t>Is Q correct</t>
  </si>
  <si>
    <t>---------</t>
  </si>
  <si>
    <t>Tave</t>
  </si>
  <si>
    <t>V</t>
  </si>
  <si>
    <t>Vave</t>
  </si>
  <si>
    <t>Maximums</t>
  </si>
  <si>
    <t>Minimums</t>
  </si>
  <si>
    <t>--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</si>
  <si>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</si>
  <si>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</si>
  <si>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</si>
  <si>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</si>
  <si>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</si>
  <si>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</si>
  <si>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</si>
  <si>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</si>
  <si>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</si>
  <si>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</si>
  <si>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</si>
  <si>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</si>
  <si>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</si>
  <si>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</si>
  <si>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</si>
  <si>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</si>
  <si>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</si>
  <si>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</si>
  <si>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</si>
  <si>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</si>
  <si>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</si>
  <si>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</si>
  <si>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</si>
  <si>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</si>
  <si>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DV</t>
  </si>
  <si>
    <t>DP</t>
  </si>
  <si>
    <t>V/atm</t>
  </si>
  <si>
    <t>Delta P</t>
  </si>
  <si>
    <t>V = 10 P</t>
  </si>
  <si>
    <t>P  = V /10</t>
  </si>
  <si>
    <t>Nf-ni</t>
  </si>
  <si>
    <t>is it constant or measured by rotation speed?</t>
  </si>
  <si>
    <r>
      <t xml:space="preserve">HeNE </t>
    </r>
    <r>
      <rPr>
        <sz val="11"/>
        <color theme="1"/>
        <rFont val="Calibri"/>
        <family val="2"/>
      </rPr>
      <t>λ0</t>
    </r>
  </si>
  <si>
    <t>Lave</t>
  </si>
  <si>
    <t>What is Q?</t>
  </si>
  <si>
    <t>mm</t>
  </si>
  <si>
    <t>nm</t>
  </si>
  <si>
    <t>Time 1</t>
  </si>
  <si>
    <t>Time 2</t>
  </si>
  <si>
    <t>Data 1</t>
  </si>
  <si>
    <t xml:space="preserve">.01 mm graph = .0221 um </t>
  </si>
  <si>
    <t>Fringes</t>
  </si>
  <si>
    <t>Δtsmooth</t>
  </si>
  <si>
    <t>dsmooth</t>
  </si>
  <si>
    <t>λsmooth</t>
  </si>
  <si>
    <t>seconds</t>
  </si>
  <si>
    <t>m</t>
  </si>
  <si>
    <t>Error</t>
  </si>
  <si>
    <t>Dev (E-8)</t>
  </si>
</sst>
</file>

<file path=xl/styles.xml><?xml version="1.0" encoding="utf-8"?>
<styleSheet xmlns="http://schemas.openxmlformats.org/spreadsheetml/2006/main">
  <numFmts count="4">
    <numFmt numFmtId="164" formatCode="[$-F400]h:mm:ss\ AM/PM"/>
    <numFmt numFmtId="165" formatCode="0.000"/>
    <numFmt numFmtId="166" formatCode="0.0"/>
    <numFmt numFmtId="167" formatCode="0.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/>
    <xf numFmtId="166" fontId="0" fillId="0" borderId="0" xfId="0" applyNumberFormat="1"/>
    <xf numFmtId="164" fontId="0" fillId="0" borderId="0" xfId="0" quotePrefix="1" applyNumberFormat="1"/>
    <xf numFmtId="0" fontId="0" fillId="2" borderId="0" xfId="0" applyFill="1"/>
    <xf numFmtId="0" fontId="0" fillId="0" borderId="0" xfId="0" applyAlignment="1"/>
    <xf numFmtId="165" fontId="0" fillId="0" borderId="0" xfId="0" quotePrefix="1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1" fontId="0" fillId="0" borderId="0" xfId="0" applyNumberFormat="1"/>
    <xf numFmtId="2" fontId="0" fillId="2" borderId="0" xfId="0" applyNumberFormat="1" applyFill="1"/>
    <xf numFmtId="0" fontId="0" fillId="0" borderId="0" xfId="0" applyAlignment="1">
      <alignment vertical="center"/>
    </xf>
    <xf numFmtId="167" fontId="0" fillId="0" borderId="0" xfId="0" applyNumberFormat="1"/>
    <xf numFmtId="0" fontId="0" fillId="0" borderId="0" xfId="0" applyNumberFormat="1" applyAlignment="1">
      <alignment horizontal="center"/>
    </xf>
    <xf numFmtId="9" fontId="0" fillId="0" borderId="0" xfId="1" applyFont="1"/>
    <xf numFmtId="165" fontId="0" fillId="0" borderId="1" xfId="0" applyNumberFormat="1" applyBorder="1"/>
    <xf numFmtId="2" fontId="0" fillId="0" borderId="1" xfId="0" applyNumberFormat="1" applyBorder="1"/>
    <xf numFmtId="0" fontId="0" fillId="0" borderId="0" xfId="0" applyBorder="1"/>
    <xf numFmtId="165" fontId="0" fillId="0" borderId="0" xfId="0" applyNumberFormat="1" applyBorder="1"/>
    <xf numFmtId="0" fontId="0" fillId="0" borderId="0" xfId="0" applyNumberFormat="1" applyBorder="1"/>
    <xf numFmtId="2" fontId="0" fillId="0" borderId="0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 applyFont="1"/>
    <xf numFmtId="2" fontId="4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8932589676290493"/>
                  <c:y val="-1.2232527448958499E-2"/>
                </c:manualLayout>
              </c:layout>
              <c:numFmt formatCode="General" sourceLinked="0"/>
            </c:trendlineLbl>
          </c:trendline>
          <c:xVal>
            <c:numRef>
              <c:f>'N of Gas'!$D$3:$D$12</c:f>
              <c:numCache>
                <c:formatCode>0.0</c:formatCode>
                <c:ptCount val="10"/>
                <c:pt idx="0">
                  <c:v>0.58000000000000007</c:v>
                </c:pt>
                <c:pt idx="1">
                  <c:v>0.6599999999999997</c:v>
                </c:pt>
                <c:pt idx="2">
                  <c:v>0.78900000000000015</c:v>
                </c:pt>
                <c:pt idx="3">
                  <c:v>-3.7090000000000001</c:v>
                </c:pt>
                <c:pt idx="4">
                  <c:v>-3.79</c:v>
                </c:pt>
                <c:pt idx="5">
                  <c:v>-2.2999999999999998</c:v>
                </c:pt>
                <c:pt idx="6">
                  <c:v>0.23000000000000043</c:v>
                </c:pt>
                <c:pt idx="7">
                  <c:v>1.5199999999999996</c:v>
                </c:pt>
                <c:pt idx="8">
                  <c:v>-4.6399999999999997</c:v>
                </c:pt>
                <c:pt idx="9">
                  <c:v>-3.8</c:v>
                </c:pt>
              </c:numCache>
            </c:numRef>
          </c:xVal>
          <c:yVal>
            <c:numRef>
              <c:f>'N of Gas'!$G$3:$G$12</c:f>
              <c:numCache>
                <c:formatCode>0.00E+00</c:formatCode>
                <c:ptCount val="10"/>
                <c:pt idx="0">
                  <c:v>1.8989700000000002E-5</c:v>
                </c:pt>
                <c:pt idx="1">
                  <c:v>1.8989700000000002E-5</c:v>
                </c:pt>
                <c:pt idx="2">
                  <c:v>2.2154650000000003E-5</c:v>
                </c:pt>
                <c:pt idx="3">
                  <c:v>8.8618600000000012E-5</c:v>
                </c:pt>
                <c:pt idx="4">
                  <c:v>1.012784E-4</c:v>
                </c:pt>
                <c:pt idx="5">
                  <c:v>9.8113449999999991E-5</c:v>
                </c:pt>
                <c:pt idx="6">
                  <c:v>6.3299000000000002E-6</c:v>
                </c:pt>
                <c:pt idx="7">
                  <c:v>9.1783549999999996E-5</c:v>
                </c:pt>
                <c:pt idx="8">
                  <c:v>1.2976295000000001E-4</c:v>
                </c:pt>
                <c:pt idx="9">
                  <c:v>1.0444335000000001E-4</c:v>
                </c:pt>
              </c:numCache>
            </c:numRef>
          </c:yVal>
        </c:ser>
        <c:axId val="127116800"/>
        <c:axId val="127118336"/>
      </c:scatterChart>
      <c:valAx>
        <c:axId val="127116800"/>
        <c:scaling>
          <c:orientation val="minMax"/>
        </c:scaling>
        <c:axPos val="b"/>
        <c:numFmt formatCode="0.0" sourceLinked="1"/>
        <c:tickLblPos val="nextTo"/>
        <c:crossAx val="127118336"/>
        <c:crosses val="autoZero"/>
        <c:crossBetween val="midCat"/>
      </c:valAx>
      <c:valAx>
        <c:axId val="127118336"/>
        <c:scaling>
          <c:orientation val="minMax"/>
        </c:scaling>
        <c:axPos val="l"/>
        <c:majorGridlines/>
        <c:numFmt formatCode="0.00E+00" sourceLinked="1"/>
        <c:tickLblPos val="nextTo"/>
        <c:crossAx val="1271168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231914</xdr:colOff>
      <xdr:row>1</xdr:row>
      <xdr:rowOff>41414</xdr:rowOff>
    </xdr:from>
    <xdr:to>
      <xdr:col>15</xdr:col>
      <xdr:colOff>513522</xdr:colOff>
      <xdr:row>15</xdr:row>
      <xdr:rowOff>115957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3"/>
  <sheetViews>
    <sheetView tabSelected="1" topLeftCell="F1" workbookViewId="0">
      <selection activeCell="P19" sqref="P19"/>
    </sheetView>
  </sheetViews>
  <sheetFormatPr defaultRowHeight="15"/>
  <cols>
    <col min="1" max="2" width="9.140625" style="1"/>
    <col min="3" max="3" width="10.5703125" style="3" bestFit="1" customWidth="1"/>
    <col min="4" max="4" width="11.28515625" style="1" customWidth="1"/>
    <col min="5" max="5" width="9.140625" style="1"/>
    <col min="6" max="6" width="14.42578125" style="1" customWidth="1"/>
    <col min="7" max="15" width="9.140625" style="1"/>
    <col min="16" max="16" width="9.140625" style="2"/>
    <col min="17" max="17" width="9.140625" style="20"/>
    <col min="18" max="18" width="9.140625" style="2"/>
    <col min="19" max="16384" width="9.140625" style="1"/>
  </cols>
  <sheetData>
    <row r="1" spans="1:18">
      <c r="A1" s="1" t="s">
        <v>9</v>
      </c>
      <c r="B1" s="1" t="s">
        <v>11</v>
      </c>
      <c r="C1" s="3" t="s">
        <v>4</v>
      </c>
      <c r="D1" s="1" t="s">
        <v>10</v>
      </c>
      <c r="E1" s="5" t="s">
        <v>5</v>
      </c>
      <c r="F1" s="5" t="s">
        <v>7</v>
      </c>
      <c r="H1" s="15">
        <f>0.000000632*10^9</f>
        <v>632</v>
      </c>
      <c r="K1" s="30" t="s">
        <v>86</v>
      </c>
      <c r="L1" s="30"/>
      <c r="M1" s="30"/>
      <c r="N1" s="19" t="s">
        <v>87</v>
      </c>
      <c r="O1" s="1" t="s">
        <v>82</v>
      </c>
      <c r="P1" s="27" t="s">
        <v>87</v>
      </c>
    </row>
    <row r="2" spans="1:18">
      <c r="A2" s="1">
        <v>498.5</v>
      </c>
      <c r="B2" s="1">
        <v>865.2</v>
      </c>
      <c r="C2" s="3" t="s">
        <v>0</v>
      </c>
      <c r="D2" s="2">
        <f>7*60+20+18/(100)</f>
        <v>440.18</v>
      </c>
      <c r="E2" s="1">
        <f t="shared" ref="E2:E7" si="0">B2-A2</f>
        <v>366.70000000000005</v>
      </c>
      <c r="F2" s="4">
        <f t="shared" ref="F2:F7" si="1">E2/D2</f>
        <v>0.83306829024489992</v>
      </c>
      <c r="J2" s="3" t="s">
        <v>29</v>
      </c>
      <c r="K2" s="1" t="s">
        <v>78</v>
      </c>
      <c r="L2" s="1" t="s">
        <v>79</v>
      </c>
      <c r="M2" s="1" t="s">
        <v>83</v>
      </c>
      <c r="N2" s="1" t="s">
        <v>84</v>
      </c>
      <c r="P2" s="28" t="s">
        <v>85</v>
      </c>
      <c r="Q2" s="20" t="s">
        <v>88</v>
      </c>
      <c r="R2" s="2" t="s">
        <v>89</v>
      </c>
    </row>
    <row r="3" spans="1:18">
      <c r="A3" s="1">
        <v>590.79999999999995</v>
      </c>
      <c r="B3" s="1">
        <v>865.5</v>
      </c>
      <c r="C3" s="3" t="s">
        <v>1</v>
      </c>
      <c r="D3" s="2">
        <f>5*60+28+53/(100)</f>
        <v>328.53</v>
      </c>
      <c r="E3" s="1">
        <f t="shared" si="0"/>
        <v>274.70000000000005</v>
      </c>
      <c r="F3" s="4">
        <f t="shared" si="1"/>
        <v>0.83614890573159251</v>
      </c>
      <c r="J3" s="3" t="s">
        <v>80</v>
      </c>
      <c r="K3" s="18">
        <v>2.2055000000000002E-2</v>
      </c>
      <c r="L3" s="1">
        <v>4.9530500000000002</v>
      </c>
      <c r="M3" s="18">
        <f>L3-K3</f>
        <v>4.9309950000000002</v>
      </c>
      <c r="N3" s="15">
        <f>$F$2*M3*10^-6</f>
        <v>4.107855573856151E-6</v>
      </c>
      <c r="O3" s="1">
        <v>15</v>
      </c>
      <c r="P3" s="2">
        <f>N3*2/(O3)*10^9</f>
        <v>547.71407651415348</v>
      </c>
      <c r="Q3" s="20">
        <f t="shared" ref="Q3:Q52" si="2">ABS(P3-$H$1)/$H$1</f>
        <v>0.13336380298393438</v>
      </c>
      <c r="R3" s="2">
        <f>STDEV($H$1,P3)</f>
        <v>59.599148055412414</v>
      </c>
    </row>
    <row r="4" spans="1:18">
      <c r="A4" s="1">
        <v>490.1</v>
      </c>
      <c r="B4" s="1">
        <v>714.8</v>
      </c>
      <c r="C4" s="3" t="s">
        <v>2</v>
      </c>
      <c r="D4" s="2">
        <f>5*60+0+18/100</f>
        <v>300.18</v>
      </c>
      <c r="E4" s="1">
        <f t="shared" si="0"/>
        <v>224.69999999999993</v>
      </c>
      <c r="F4" s="4">
        <f t="shared" si="1"/>
        <v>0.74855086947831273</v>
      </c>
      <c r="K4" s="18">
        <v>2.2055000000000002E-2</v>
      </c>
      <c r="L4" s="1">
        <v>0.2</v>
      </c>
      <c r="M4" s="18">
        <f t="shared" ref="M4:M52" si="3">L4-K4</f>
        <v>0.17794500000000002</v>
      </c>
      <c r="N4" s="15">
        <f t="shared" ref="N4:N52" si="4">$F$2*M4*10^-6</f>
        <v>1.4824033690762872E-7</v>
      </c>
      <c r="O4" s="1">
        <v>0.5</v>
      </c>
      <c r="P4" s="2">
        <f>N4*2/(O4)*10^9</f>
        <v>592.96134763051487</v>
      </c>
      <c r="Q4" s="20">
        <f t="shared" si="2"/>
        <v>6.1770019571970147E-2</v>
      </c>
      <c r="R4" s="2">
        <f t="shared" ref="R4:R52" si="5">STDEV($H$1,P4)</f>
        <v>27.604495818847429</v>
      </c>
    </row>
    <row r="5" spans="1:18">
      <c r="A5" s="1">
        <v>515.4</v>
      </c>
      <c r="B5" s="1">
        <v>795.8</v>
      </c>
      <c r="C5" s="3" t="s">
        <v>3</v>
      </c>
      <c r="D5" s="2">
        <f>5*60+54+50/100</f>
        <v>354.5</v>
      </c>
      <c r="E5" s="1">
        <f t="shared" si="0"/>
        <v>280.39999999999998</v>
      </c>
      <c r="F5" s="4">
        <f t="shared" si="1"/>
        <v>0.79097320169252461</v>
      </c>
      <c r="K5" s="1">
        <v>0</v>
      </c>
      <c r="L5" s="1">
        <v>4.9969999999999999</v>
      </c>
      <c r="M5" s="18">
        <f t="shared" si="3"/>
        <v>4.9969999999999999</v>
      </c>
      <c r="N5" s="15">
        <f t="shared" si="4"/>
        <v>4.1628422463537645E-6</v>
      </c>
      <c r="O5" s="1">
        <v>15</v>
      </c>
      <c r="P5" s="2">
        <f t="shared" ref="P5:P52" si="6">N5*2/(O5)*10^9</f>
        <v>555.04563284716858</v>
      </c>
      <c r="Q5" s="20">
        <f t="shared" si="2"/>
        <v>0.12176323916587251</v>
      </c>
      <c r="R5" s="2">
        <f t="shared" si="5"/>
        <v>54.414954855684925</v>
      </c>
    </row>
    <row r="6" spans="1:18">
      <c r="A6" s="6">
        <v>491</v>
      </c>
      <c r="B6" s="1">
        <v>708</v>
      </c>
      <c r="C6" s="7" t="s">
        <v>12</v>
      </c>
      <c r="D6" s="1">
        <v>259.37</v>
      </c>
      <c r="E6" s="1">
        <f t="shared" si="0"/>
        <v>217</v>
      </c>
      <c r="F6" s="4">
        <f t="shared" si="1"/>
        <v>0.83664263407487371</v>
      </c>
      <c r="M6" s="18"/>
      <c r="N6" s="15"/>
    </row>
    <row r="7" spans="1:18">
      <c r="A7" s="1">
        <v>980.5</v>
      </c>
      <c r="B7" s="1">
        <v>1105</v>
      </c>
      <c r="C7" s="7" t="s">
        <v>13</v>
      </c>
      <c r="D7" s="2">
        <f>2*60+29+34/100</f>
        <v>149.34</v>
      </c>
      <c r="E7" s="1">
        <f t="shared" si="0"/>
        <v>124.5</v>
      </c>
      <c r="F7" s="4">
        <f t="shared" si="1"/>
        <v>0.83366813981518684</v>
      </c>
      <c r="J7" s="1">
        <v>1</v>
      </c>
      <c r="K7" s="4">
        <f>'MinMax for Data1'!F6</f>
        <v>1.4499999999999999E-2</v>
      </c>
      <c r="L7" s="4">
        <f>'MinMax for Data1'!B6</f>
        <v>0.17749999999999999</v>
      </c>
      <c r="M7" s="18">
        <f t="shared" si="3"/>
        <v>0.16299999999999998</v>
      </c>
      <c r="N7" s="15">
        <f t="shared" si="4"/>
        <v>1.3579013130991869E-7</v>
      </c>
      <c r="O7" s="1">
        <v>0.5</v>
      </c>
      <c r="P7" s="2">
        <f t="shared" si="6"/>
        <v>543.16052523967471</v>
      </c>
      <c r="Q7" s="20">
        <f t="shared" si="2"/>
        <v>0.14056878917772989</v>
      </c>
      <c r="R7" s="2">
        <f t="shared" si="5"/>
        <v>62.818995040074959</v>
      </c>
    </row>
    <row r="8" spans="1:18">
      <c r="E8" s="1" t="s">
        <v>6</v>
      </c>
      <c r="F8" s="4">
        <f>AVERAGE(F2:F5)</f>
        <v>0.80218531678683247</v>
      </c>
      <c r="J8" s="1">
        <v>2</v>
      </c>
      <c r="K8" s="4">
        <f>'MinMax for Data1'!F8</f>
        <v>0.31900000000000001</v>
      </c>
      <c r="L8" s="4">
        <f>'MinMax for Data1'!B8</f>
        <v>0.48799999999999999</v>
      </c>
      <c r="M8" s="18">
        <f t="shared" si="3"/>
        <v>0.16899999999999998</v>
      </c>
      <c r="N8" s="15">
        <f t="shared" si="4"/>
        <v>1.4078854105138807E-7</v>
      </c>
      <c r="O8" s="1">
        <v>0.5</v>
      </c>
      <c r="P8" s="2">
        <f t="shared" si="6"/>
        <v>563.15416420555232</v>
      </c>
      <c r="Q8" s="20">
        <f t="shared" si="2"/>
        <v>0.10893328448488557</v>
      </c>
      <c r="R8" s="2">
        <f t="shared" si="5"/>
        <v>48.681357346710598</v>
      </c>
    </row>
    <row r="9" spans="1:18">
      <c r="D9" s="1" t="s">
        <v>8</v>
      </c>
      <c r="F9" s="4">
        <f>STDEV(F2:F5)/SQRT(6)</f>
        <v>1.6848423741965213E-2</v>
      </c>
      <c r="J9" s="1">
        <v>3</v>
      </c>
      <c r="K9" s="4">
        <f>'MinMax for Data1'!F10</f>
        <v>0.67266666666666675</v>
      </c>
      <c r="L9" s="4">
        <f>'MinMax for Data1'!B10</f>
        <v>0.85199999999999998</v>
      </c>
      <c r="M9" s="18">
        <f t="shared" si="3"/>
        <v>0.17933333333333323</v>
      </c>
      <c r="N9" s="15">
        <f t="shared" si="4"/>
        <v>1.4939691338391864E-7</v>
      </c>
      <c r="O9" s="1">
        <v>0.5</v>
      </c>
      <c r="P9" s="2">
        <f t="shared" si="6"/>
        <v>597.58765353567458</v>
      </c>
      <c r="Q9" s="20">
        <f t="shared" si="2"/>
        <v>5.4449915291654154E-2</v>
      </c>
      <c r="R9" s="2">
        <f t="shared" si="5"/>
        <v>24.333203541463018</v>
      </c>
    </row>
    <row r="10" spans="1:18">
      <c r="J10" s="1">
        <v>4</v>
      </c>
      <c r="K10" s="4">
        <f>'MinMax for Data1'!F13</f>
        <v>1.0165</v>
      </c>
      <c r="L10" s="4">
        <f>'MinMax for Data1'!B13</f>
        <v>1.17275</v>
      </c>
      <c r="M10" s="18">
        <f t="shared" si="3"/>
        <v>0.15625</v>
      </c>
      <c r="N10" s="15">
        <f t="shared" si="4"/>
        <v>1.3016692035076559E-7</v>
      </c>
      <c r="O10" s="1">
        <v>0.5</v>
      </c>
      <c r="P10" s="2">
        <f t="shared" si="6"/>
        <v>520.66768140306237</v>
      </c>
      <c r="Q10" s="20">
        <f t="shared" si="2"/>
        <v>0.17615873195717979</v>
      </c>
      <c r="R10" s="2">
        <f t="shared" si="5"/>
        <v>78.723837445115151</v>
      </c>
    </row>
    <row r="11" spans="1:18">
      <c r="J11" s="1">
        <v>5</v>
      </c>
      <c r="K11" s="4">
        <f>'MinMax for Data1'!F17</f>
        <v>1.3565</v>
      </c>
      <c r="L11" s="4">
        <f>'MinMax for Data1'!B17</f>
        <v>1.5279999999999998</v>
      </c>
      <c r="M11" s="18">
        <f t="shared" si="3"/>
        <v>0.17149999999999976</v>
      </c>
      <c r="N11" s="15">
        <f t="shared" si="4"/>
        <v>1.4287121177700011E-7</v>
      </c>
      <c r="O11" s="1">
        <v>0.5</v>
      </c>
      <c r="P11" s="2">
        <f t="shared" si="6"/>
        <v>571.48484710800039</v>
      </c>
      <c r="Q11" s="20">
        <f t="shared" si="2"/>
        <v>9.5751824196201901E-2</v>
      </c>
      <c r="R11" s="2">
        <f t="shared" si="5"/>
        <v>42.790674974473667</v>
      </c>
    </row>
    <row r="12" spans="1:18">
      <c r="J12" s="1">
        <v>6</v>
      </c>
      <c r="K12" s="4">
        <f>'MinMax for Data1'!F21</f>
        <v>1.7030000000000001</v>
      </c>
      <c r="L12" s="4">
        <f>'MinMax for Data1'!B20</f>
        <v>1.8839999999999999</v>
      </c>
      <c r="M12" s="18">
        <f t="shared" si="3"/>
        <v>0.18099999999999983</v>
      </c>
      <c r="N12" s="15">
        <f t="shared" si="4"/>
        <v>1.5078536053432672E-7</v>
      </c>
      <c r="O12" s="1">
        <v>0.5</v>
      </c>
      <c r="P12" s="29">
        <f>N12*2/(O12)*10^9</f>
        <v>603.14144213730685</v>
      </c>
      <c r="Q12" s="20">
        <f t="shared" si="2"/>
        <v>4.566227509919802E-2</v>
      </c>
      <c r="R12" s="2">
        <f t="shared" si="5"/>
        <v>20.406081959971591</v>
      </c>
    </row>
    <row r="13" spans="1:18">
      <c r="J13" s="1">
        <v>7</v>
      </c>
      <c r="K13" s="4">
        <f>'MinMax for Data1'!F23</f>
        <v>2.0463333333333331</v>
      </c>
      <c r="L13" s="4">
        <f>'MinMax for Data1'!B21</f>
        <v>2.1950000000000003</v>
      </c>
      <c r="M13" s="18">
        <f t="shared" si="3"/>
        <v>0.14866666666666717</v>
      </c>
      <c r="N13" s="15">
        <f t="shared" si="4"/>
        <v>1.2384948581640887E-7</v>
      </c>
      <c r="O13" s="1">
        <v>0.5</v>
      </c>
      <c r="P13" s="2">
        <f t="shared" si="6"/>
        <v>495.39794326563549</v>
      </c>
      <c r="Q13" s="20">
        <f t="shared" si="2"/>
        <v>0.21614249483285525</v>
      </c>
      <c r="R13" s="2">
        <f t="shared" si="5"/>
        <v>96.592240640898225</v>
      </c>
    </row>
    <row r="14" spans="1:18">
      <c r="G14" s="1" t="s">
        <v>81</v>
      </c>
      <c r="J14" s="1">
        <v>8</v>
      </c>
      <c r="K14" s="4">
        <f>'MinMax for Data1'!F25</f>
        <v>2.36625</v>
      </c>
      <c r="L14" s="4">
        <f>'MinMax for Data1'!B23</f>
        <v>2.5229999999999997</v>
      </c>
      <c r="M14" s="18">
        <f t="shared" si="3"/>
        <v>0.15674999999999972</v>
      </c>
      <c r="N14" s="15">
        <f t="shared" si="4"/>
        <v>1.3058345449588782E-7</v>
      </c>
      <c r="O14" s="1">
        <v>0.5</v>
      </c>
      <c r="P14" s="2">
        <f t="shared" si="6"/>
        <v>522.33381798355128</v>
      </c>
      <c r="Q14" s="20">
        <f t="shared" si="2"/>
        <v>0.17352243989944416</v>
      </c>
      <c r="R14" s="2">
        <f t="shared" si="5"/>
        <v>77.545700970668676</v>
      </c>
    </row>
    <row r="15" spans="1:18">
      <c r="J15" s="1">
        <v>9</v>
      </c>
      <c r="K15" s="4">
        <f>'MinMax for Data1'!F28</f>
        <v>2.6809999999999996</v>
      </c>
      <c r="L15" s="4">
        <f>'MinMax for Data1'!B25</f>
        <v>2.8490000000000002</v>
      </c>
      <c r="M15" s="18">
        <f t="shared" si="3"/>
        <v>0.16800000000000059</v>
      </c>
      <c r="N15" s="15">
        <f t="shared" si="4"/>
        <v>1.3995547276114368E-7</v>
      </c>
      <c r="O15" s="1">
        <v>0.5</v>
      </c>
      <c r="P15" s="2">
        <f t="shared" si="6"/>
        <v>559.82189104457473</v>
      </c>
      <c r="Q15" s="20">
        <f t="shared" si="2"/>
        <v>0.11420586860035645</v>
      </c>
      <c r="R15" s="2">
        <f t="shared" si="5"/>
        <v>51.037630295601623</v>
      </c>
    </row>
    <row r="16" spans="1:18">
      <c r="J16" s="1">
        <v>10</v>
      </c>
      <c r="K16" s="4">
        <f>'MinMax for Data1'!F33</f>
        <v>3.03925</v>
      </c>
      <c r="L16" s="4">
        <f>'MinMax for Data1'!B28</f>
        <v>3.2153999999999998</v>
      </c>
      <c r="M16" s="18">
        <f t="shared" si="3"/>
        <v>0.17614999999999981</v>
      </c>
      <c r="N16" s="15">
        <f t="shared" si="4"/>
        <v>1.4674497932663894E-7</v>
      </c>
      <c r="O16" s="1">
        <v>0.5</v>
      </c>
      <c r="P16" s="2">
        <f t="shared" si="6"/>
        <v>586.97991730655576</v>
      </c>
      <c r="Q16" s="20">
        <f t="shared" si="2"/>
        <v>7.1234308059247214E-2</v>
      </c>
      <c r="R16" s="2">
        <f t="shared" si="5"/>
        <v>31.834005762113208</v>
      </c>
    </row>
    <row r="17" spans="10:18">
      <c r="J17" s="1">
        <v>11</v>
      </c>
      <c r="K17" s="4">
        <f>'MinMax for Data1'!F36</f>
        <v>3.3884999999999996</v>
      </c>
      <c r="L17" s="4">
        <f>'MinMax for Data1'!B33</f>
        <v>3.579333333333333</v>
      </c>
      <c r="M17" s="18">
        <f t="shared" si="3"/>
        <v>0.19083333333333341</v>
      </c>
      <c r="N17" s="15">
        <f t="shared" si="4"/>
        <v>1.5897719872173513E-7</v>
      </c>
      <c r="O17" s="1">
        <v>0.5</v>
      </c>
      <c r="P17" s="29">
        <f t="shared" si="6"/>
        <v>635.90879488694054</v>
      </c>
      <c r="Q17" s="20">
        <f t="shared" si="2"/>
        <v>6.1848020362983243E-3</v>
      </c>
      <c r="R17" s="2">
        <f t="shared" si="5"/>
        <v>2.7639353708243712</v>
      </c>
    </row>
    <row r="18" spans="10:18">
      <c r="J18" s="1">
        <v>12</v>
      </c>
      <c r="K18" s="4">
        <f>'MinMax for Data1'!F41</f>
        <v>3.7526666666666664</v>
      </c>
      <c r="L18" s="4">
        <f>'MinMax for Data1'!B36</f>
        <v>3.9322000000000004</v>
      </c>
      <c r="M18" s="18">
        <f t="shared" si="3"/>
        <v>0.17953333333333399</v>
      </c>
      <c r="N18" s="15">
        <f t="shared" si="4"/>
        <v>1.4956352704196824E-7</v>
      </c>
      <c r="O18" s="1">
        <v>0.5</v>
      </c>
      <c r="P18" s="2">
        <f t="shared" si="6"/>
        <v>598.25410816787291</v>
      </c>
      <c r="Q18" s="20">
        <f t="shared" si="2"/>
        <v>5.3395398468555517E-2</v>
      </c>
      <c r="R18" s="2">
        <f t="shared" si="5"/>
        <v>23.861948951687825</v>
      </c>
    </row>
    <row r="19" spans="10:18">
      <c r="J19" s="1">
        <v>13</v>
      </c>
      <c r="K19" s="4">
        <f>'MinMax for Data1'!F47</f>
        <v>4.1055999999999999</v>
      </c>
      <c r="L19" s="4">
        <f>'MinMax for Data1'!B41</f>
        <v>4.3840000000000003</v>
      </c>
      <c r="M19" s="18">
        <f t="shared" si="3"/>
        <v>0.27840000000000042</v>
      </c>
      <c r="N19" s="15">
        <f t="shared" si="4"/>
        <v>2.3192621200418046E-7</v>
      </c>
      <c r="O19" s="1">
        <v>0.5</v>
      </c>
      <c r="P19" s="29">
        <f t="shared" si="6"/>
        <v>927.70484801672183</v>
      </c>
      <c r="Q19" s="20">
        <f t="shared" si="2"/>
        <v>0.4678874177479776</v>
      </c>
      <c r="R19" s="2">
        <f t="shared" si="5"/>
        <v>209.0949032623611</v>
      </c>
    </row>
    <row r="20" spans="10:18">
      <c r="J20" s="1">
        <v>14</v>
      </c>
      <c r="K20" s="4">
        <f>'MinMax for Data1'!F50</f>
        <v>4.4414999999999996</v>
      </c>
      <c r="L20" s="4">
        <f>'MinMax for Data1'!B43</f>
        <v>4.6026666666666669</v>
      </c>
      <c r="M20" s="18">
        <f t="shared" si="3"/>
        <v>0.16116666666666735</v>
      </c>
      <c r="N20" s="15">
        <f t="shared" si="4"/>
        <v>1.3426283944447026E-7</v>
      </c>
      <c r="O20" s="1">
        <v>0.5</v>
      </c>
      <c r="P20" s="2">
        <f t="shared" si="6"/>
        <v>537.05135777788098</v>
      </c>
      <c r="Q20" s="20">
        <f t="shared" si="2"/>
        <v>0.15023519338942884</v>
      </c>
      <c r="R20" s="2">
        <f t="shared" si="5"/>
        <v>67.138828779715212</v>
      </c>
    </row>
    <row r="21" spans="10:18" ht="15.75" thickBot="1">
      <c r="J21" s="25">
        <v>15</v>
      </c>
      <c r="K21" s="21">
        <f>'MinMax for Data1'!F54</f>
        <v>4.7679999999999998</v>
      </c>
      <c r="L21" s="21">
        <f>'MinMax for Data1'!B47</f>
        <v>4.9456666666666669</v>
      </c>
      <c r="M21" s="18">
        <f t="shared" si="3"/>
        <v>0.17766666666666708</v>
      </c>
      <c r="N21" s="15">
        <f t="shared" si="4"/>
        <v>1.480084662335109E-7</v>
      </c>
      <c r="O21" s="1">
        <v>0.5</v>
      </c>
      <c r="P21" s="2">
        <f t="shared" si="6"/>
        <v>592.03386493404355</v>
      </c>
      <c r="Q21" s="20">
        <f t="shared" si="2"/>
        <v>6.323755548410831E-2</v>
      </c>
      <c r="R21" s="2">
        <f t="shared" si="5"/>
        <v>28.260325122953986</v>
      </c>
    </row>
    <row r="22" spans="10:18">
      <c r="J22"/>
      <c r="K22" s="4">
        <f>K7</f>
        <v>1.4499999999999999E-2</v>
      </c>
      <c r="L22" s="4">
        <f>K21</f>
        <v>4.7679999999999998</v>
      </c>
      <c r="M22" s="18">
        <f t="shared" si="3"/>
        <v>4.7534999999999998</v>
      </c>
      <c r="N22" s="15">
        <f t="shared" si="4"/>
        <v>3.9599901176791314E-6</v>
      </c>
      <c r="O22" s="1">
        <v>15</v>
      </c>
      <c r="P22" s="2">
        <f t="shared" si="6"/>
        <v>527.9986823572176</v>
      </c>
      <c r="Q22" s="20">
        <f t="shared" si="2"/>
        <v>0.16455904690313669</v>
      </c>
      <c r="R22" s="2">
        <f t="shared" si="5"/>
        <v>73.540036957547755</v>
      </c>
    </row>
    <row r="23" spans="10:18">
      <c r="J23" s="23"/>
      <c r="K23" s="24">
        <f>L7</f>
        <v>0.17749999999999999</v>
      </c>
      <c r="L23" s="24">
        <f>L22</f>
        <v>4.7679999999999998</v>
      </c>
      <c r="M23" s="18">
        <f t="shared" si="3"/>
        <v>4.5904999999999996</v>
      </c>
      <c r="N23" s="15">
        <f t="shared" si="4"/>
        <v>3.8241999863692127E-6</v>
      </c>
      <c r="O23" s="1">
        <v>15</v>
      </c>
      <c r="P23" s="2">
        <f t="shared" si="6"/>
        <v>509.893331515895</v>
      </c>
      <c r="Q23" s="20">
        <f t="shared" si="2"/>
        <v>0.1932067539305459</v>
      </c>
      <c r="R23" s="2">
        <f t="shared" si="5"/>
        <v>86.342453313208694</v>
      </c>
    </row>
    <row r="24" spans="10:18" ht="15.75" thickBot="1">
      <c r="J24" s="23"/>
      <c r="K24" s="22">
        <f>K7</f>
        <v>1.4499999999999999E-2</v>
      </c>
      <c r="L24" s="21">
        <f>L21</f>
        <v>4.9456666666666669</v>
      </c>
      <c r="M24" s="18">
        <f t="shared" si="3"/>
        <v>4.9311666666666669</v>
      </c>
      <c r="N24" s="15">
        <f t="shared" si="4"/>
        <v>4.1079985839126424E-6</v>
      </c>
      <c r="O24" s="1">
        <v>15</v>
      </c>
      <c r="P24" s="2">
        <f t="shared" si="6"/>
        <v>547.73314452168563</v>
      </c>
      <c r="Q24" s="20">
        <f t="shared" si="2"/>
        <v>0.13333363208594046</v>
      </c>
      <c r="R24" s="2">
        <f t="shared" si="5"/>
        <v>59.585664937983928</v>
      </c>
    </row>
    <row r="25" spans="10:18">
      <c r="J25"/>
      <c r="K25" s="2">
        <f>K7</f>
        <v>1.4499999999999999E-2</v>
      </c>
      <c r="L25" s="4">
        <f>K8</f>
        <v>0.31900000000000001</v>
      </c>
      <c r="M25" s="18">
        <f t="shared" si="3"/>
        <v>0.30449999999999999</v>
      </c>
      <c r="N25" s="15">
        <f t="shared" si="4"/>
        <v>2.5366929437957203E-7</v>
      </c>
      <c r="O25" s="1">
        <v>1</v>
      </c>
      <c r="P25" s="2">
        <f t="shared" si="6"/>
        <v>507.33858875914405</v>
      </c>
      <c r="Q25" s="20">
        <f t="shared" si="2"/>
        <v>0.19724906841907588</v>
      </c>
      <c r="R25" s="2">
        <f t="shared" si="5"/>
        <v>88.14892924069521</v>
      </c>
    </row>
    <row r="26" spans="10:18">
      <c r="J26"/>
      <c r="K26" s="2">
        <f t="shared" ref="K26:K38" si="7">K8</f>
        <v>0.31900000000000001</v>
      </c>
      <c r="L26" s="4">
        <f t="shared" ref="L26:L38" si="8">K9</f>
        <v>0.67266666666666675</v>
      </c>
      <c r="M26" s="18">
        <f t="shared" si="3"/>
        <v>0.35366666666666674</v>
      </c>
      <c r="N26" s="15">
        <f t="shared" si="4"/>
        <v>2.9462848531661297E-7</v>
      </c>
      <c r="O26" s="1">
        <v>1</v>
      </c>
      <c r="P26" s="2">
        <f t="shared" si="6"/>
        <v>589.25697063322593</v>
      </c>
      <c r="Q26" s="20">
        <f t="shared" si="2"/>
        <v>6.7631375580338715E-2</v>
      </c>
      <c r="R26" s="2">
        <f t="shared" si="5"/>
        <v>30.223885913698393</v>
      </c>
    </row>
    <row r="27" spans="10:18">
      <c r="J27"/>
      <c r="K27" s="2">
        <f t="shared" si="7"/>
        <v>0.67266666666666675</v>
      </c>
      <c r="L27" s="4">
        <f t="shared" si="8"/>
        <v>1.0165</v>
      </c>
      <c r="M27" s="18">
        <f t="shared" si="3"/>
        <v>0.34383333333333321</v>
      </c>
      <c r="N27" s="15">
        <f t="shared" si="4"/>
        <v>2.8643664712920463E-7</v>
      </c>
      <c r="O27" s="1">
        <v>1</v>
      </c>
      <c r="P27" s="2">
        <f t="shared" si="6"/>
        <v>572.87329425840926</v>
      </c>
      <c r="Q27" s="20">
        <f t="shared" si="2"/>
        <v>9.3554914148086615E-2</v>
      </c>
      <c r="R27" s="2">
        <f t="shared" si="5"/>
        <v>41.808894579099622</v>
      </c>
    </row>
    <row r="28" spans="10:18">
      <c r="K28" s="2">
        <f t="shared" si="7"/>
        <v>1.0165</v>
      </c>
      <c r="L28" s="4">
        <f t="shared" si="8"/>
        <v>1.3565</v>
      </c>
      <c r="M28" s="18">
        <f t="shared" si="3"/>
        <v>0.34000000000000008</v>
      </c>
      <c r="N28" s="15">
        <f t="shared" si="4"/>
        <v>2.8324321868326602E-7</v>
      </c>
      <c r="O28" s="1">
        <v>1</v>
      </c>
      <c r="P28" s="2">
        <f t="shared" si="6"/>
        <v>566.48643736653207</v>
      </c>
      <c r="Q28" s="20">
        <f t="shared" si="2"/>
        <v>0.10366070036941127</v>
      </c>
      <c r="R28" s="2">
        <f t="shared" si="5"/>
        <v>46.325084397814685</v>
      </c>
    </row>
    <row r="29" spans="10:18">
      <c r="K29" s="2">
        <f t="shared" si="7"/>
        <v>1.3565</v>
      </c>
      <c r="L29" s="4">
        <f t="shared" si="8"/>
        <v>1.7030000000000001</v>
      </c>
      <c r="M29" s="18">
        <f t="shared" si="3"/>
        <v>0.34650000000000003</v>
      </c>
      <c r="N29" s="15">
        <f t="shared" si="4"/>
        <v>2.8865816256985782E-7</v>
      </c>
      <c r="O29" s="1">
        <v>1</v>
      </c>
      <c r="P29" s="2">
        <f t="shared" si="6"/>
        <v>577.31632513971567</v>
      </c>
      <c r="Q29" s="20">
        <f t="shared" si="2"/>
        <v>8.652480199412077E-2</v>
      </c>
      <c r="R29" s="2">
        <f t="shared" si="5"/>
        <v>38.667197313907494</v>
      </c>
    </row>
    <row r="30" spans="10:18">
      <c r="K30" s="2">
        <f t="shared" si="7"/>
        <v>1.7030000000000001</v>
      </c>
      <c r="L30" s="4">
        <f t="shared" si="8"/>
        <v>2.0463333333333331</v>
      </c>
      <c r="M30" s="18">
        <f t="shared" si="3"/>
        <v>0.34333333333333305</v>
      </c>
      <c r="N30" s="15">
        <f t="shared" si="4"/>
        <v>2.8602011298408208E-7</v>
      </c>
      <c r="O30" s="1">
        <v>1</v>
      </c>
      <c r="P30" s="2">
        <f t="shared" si="6"/>
        <v>572.04022596816412</v>
      </c>
      <c r="Q30" s="20">
        <f t="shared" si="2"/>
        <v>9.4873060176955501E-2</v>
      </c>
      <c r="R30" s="2">
        <f t="shared" si="5"/>
        <v>42.397962816325204</v>
      </c>
    </row>
    <row r="31" spans="10:18">
      <c r="K31" s="2">
        <f t="shared" si="7"/>
        <v>2.0463333333333331</v>
      </c>
      <c r="L31" s="4">
        <f t="shared" si="8"/>
        <v>2.36625</v>
      </c>
      <c r="M31" s="18">
        <f t="shared" si="3"/>
        <v>0.31991666666666685</v>
      </c>
      <c r="N31" s="15">
        <f t="shared" si="4"/>
        <v>2.665124305208477E-7</v>
      </c>
      <c r="O31" s="1">
        <v>1</v>
      </c>
      <c r="P31" s="2">
        <f t="shared" si="6"/>
        <v>533.02486104169543</v>
      </c>
      <c r="Q31" s="20">
        <f t="shared" si="2"/>
        <v>0.15660623252896291</v>
      </c>
      <c r="R31" s="2">
        <f t="shared" si="5"/>
        <v>69.985991926297828</v>
      </c>
    </row>
    <row r="32" spans="10:18">
      <c r="K32" s="2">
        <f t="shared" si="7"/>
        <v>2.36625</v>
      </c>
      <c r="L32" s="4">
        <f t="shared" si="8"/>
        <v>2.6809999999999996</v>
      </c>
      <c r="M32" s="18">
        <f t="shared" si="3"/>
        <v>0.31474999999999964</v>
      </c>
      <c r="N32" s="15">
        <f t="shared" si="4"/>
        <v>2.6220824435458197E-7</v>
      </c>
      <c r="O32" s="1">
        <v>1</v>
      </c>
      <c r="P32" s="2">
        <f t="shared" si="6"/>
        <v>524.4164887091639</v>
      </c>
      <c r="Q32" s="20">
        <f t="shared" si="2"/>
        <v>0.17022707482727231</v>
      </c>
      <c r="R32" s="2">
        <f t="shared" si="5"/>
        <v>76.07303037761038</v>
      </c>
    </row>
    <row r="33" spans="10:18">
      <c r="K33" s="2">
        <f t="shared" si="7"/>
        <v>2.6809999999999996</v>
      </c>
      <c r="L33" s="4">
        <f t="shared" si="8"/>
        <v>3.03925</v>
      </c>
      <c r="M33" s="18">
        <f t="shared" si="3"/>
        <v>0.3582500000000004</v>
      </c>
      <c r="N33" s="15">
        <f t="shared" si="4"/>
        <v>2.9844671498023573E-7</v>
      </c>
      <c r="O33" s="1">
        <v>1</v>
      </c>
      <c r="P33" s="2">
        <f t="shared" si="6"/>
        <v>596.89342996047151</v>
      </c>
      <c r="Q33" s="20">
        <f t="shared" si="2"/>
        <v>5.5548370315709639E-2</v>
      </c>
      <c r="R33" s="2">
        <f t="shared" si="5"/>
        <v>24.824093739147358</v>
      </c>
    </row>
    <row r="34" spans="10:18">
      <c r="K34" s="2">
        <f t="shared" si="7"/>
        <v>3.03925</v>
      </c>
      <c r="L34" s="4">
        <f t="shared" si="8"/>
        <v>3.3884999999999996</v>
      </c>
      <c r="M34" s="18">
        <f t="shared" si="3"/>
        <v>0.34924999999999962</v>
      </c>
      <c r="N34" s="15">
        <f t="shared" si="4"/>
        <v>2.9094910036803096E-7</v>
      </c>
      <c r="O34" s="1">
        <v>1</v>
      </c>
      <c r="P34" s="2">
        <f t="shared" si="6"/>
        <v>581.89820073606188</v>
      </c>
      <c r="Q34" s="20">
        <f t="shared" si="2"/>
        <v>7.9274998835345126E-2</v>
      </c>
      <c r="R34" s="2">
        <f t="shared" si="5"/>
        <v>35.42732200917726</v>
      </c>
    </row>
    <row r="35" spans="10:18">
      <c r="K35" s="2">
        <f t="shared" si="7"/>
        <v>3.3884999999999996</v>
      </c>
      <c r="L35" s="4">
        <f t="shared" si="8"/>
        <v>3.7526666666666664</v>
      </c>
      <c r="M35" s="18">
        <f t="shared" si="3"/>
        <v>0.36416666666666675</v>
      </c>
      <c r="N35" s="15">
        <f t="shared" si="4"/>
        <v>3.033757023641845E-7</v>
      </c>
      <c r="O35" s="1">
        <v>1</v>
      </c>
      <c r="P35" s="2">
        <f t="shared" si="6"/>
        <v>606.75140472836904</v>
      </c>
      <c r="Q35" s="20">
        <f t="shared" si="2"/>
        <v>3.9950308974099624E-2</v>
      </c>
      <c r="R35" s="2">
        <f t="shared" si="5"/>
        <v>17.853452932005982</v>
      </c>
    </row>
    <row r="36" spans="10:18">
      <c r="K36" s="2">
        <f t="shared" si="7"/>
        <v>3.7526666666666664</v>
      </c>
      <c r="L36" s="4">
        <f t="shared" si="8"/>
        <v>4.1055999999999999</v>
      </c>
      <c r="M36" s="18">
        <f t="shared" si="3"/>
        <v>0.35293333333333354</v>
      </c>
      <c r="N36" s="15">
        <f t="shared" si="4"/>
        <v>2.9401756857043354E-7</v>
      </c>
      <c r="O36" s="1">
        <v>1</v>
      </c>
      <c r="P36" s="2">
        <f t="shared" si="6"/>
        <v>588.03513714086705</v>
      </c>
      <c r="Q36" s="20">
        <f t="shared" si="2"/>
        <v>6.9564656422678714E-2</v>
      </c>
      <c r="R36" s="2">
        <f t="shared" si="5"/>
        <v>31.087852661631931</v>
      </c>
    </row>
    <row r="37" spans="10:18">
      <c r="K37" s="26">
        <f>K19</f>
        <v>4.1055999999999999</v>
      </c>
      <c r="L37" s="24">
        <f>K20</f>
        <v>4.4414999999999996</v>
      </c>
      <c r="M37" s="18">
        <f t="shared" si="3"/>
        <v>0.33589999999999964</v>
      </c>
      <c r="N37" s="15">
        <f t="shared" si="4"/>
        <v>2.7982763869326157E-7</v>
      </c>
      <c r="O37" s="1">
        <v>1</v>
      </c>
      <c r="P37" s="2">
        <f t="shared" si="6"/>
        <v>559.65527738652315</v>
      </c>
      <c r="Q37" s="20">
        <f t="shared" si="2"/>
        <v>0.11446949780613425</v>
      </c>
      <c r="R37" s="2">
        <f t="shared" si="5"/>
        <v>51.155443943049178</v>
      </c>
    </row>
    <row r="38" spans="10:18" ht="15.75" thickBot="1">
      <c r="J38" s="23"/>
      <c r="K38" s="22">
        <f t="shared" si="7"/>
        <v>4.4414999999999996</v>
      </c>
      <c r="L38" s="21">
        <f t="shared" si="8"/>
        <v>4.7679999999999998</v>
      </c>
      <c r="M38" s="18">
        <f t="shared" si="3"/>
        <v>0.32650000000000023</v>
      </c>
      <c r="N38" s="15">
        <f t="shared" si="4"/>
        <v>2.7199679676496003E-7</v>
      </c>
      <c r="O38" s="1">
        <v>1</v>
      </c>
      <c r="P38" s="2">
        <f t="shared" si="6"/>
        <v>543.99359352992008</v>
      </c>
      <c r="Q38" s="20">
        <f t="shared" si="2"/>
        <v>0.13925064314886063</v>
      </c>
      <c r="R38" s="2">
        <f t="shared" si="5"/>
        <v>62.229926802854543</v>
      </c>
    </row>
    <row r="39" spans="10:18">
      <c r="K39" s="2">
        <f>L7</f>
        <v>0.17749999999999999</v>
      </c>
      <c r="L39" s="4">
        <f>L8</f>
        <v>0.48799999999999999</v>
      </c>
      <c r="M39" s="18">
        <f t="shared" si="3"/>
        <v>0.3105</v>
      </c>
      <c r="N39" s="15">
        <f t="shared" si="4"/>
        <v>2.5866770412104139E-7</v>
      </c>
      <c r="O39" s="1">
        <v>1</v>
      </c>
      <c r="P39" s="2">
        <f t="shared" si="6"/>
        <v>517.33540824208274</v>
      </c>
      <c r="Q39" s="20">
        <f t="shared" si="2"/>
        <v>0.18143131607265389</v>
      </c>
      <c r="R39" s="2">
        <f t="shared" si="5"/>
        <v>81.080110394009679</v>
      </c>
    </row>
    <row r="40" spans="10:18">
      <c r="K40" s="2">
        <f t="shared" ref="K40:K52" si="9">L8</f>
        <v>0.48799999999999999</v>
      </c>
      <c r="L40" s="4">
        <f t="shared" ref="L40:L52" si="10">L9</f>
        <v>0.85199999999999998</v>
      </c>
      <c r="M40" s="18">
        <f t="shared" si="3"/>
        <v>0.36399999999999999</v>
      </c>
      <c r="N40" s="15">
        <f t="shared" si="4"/>
        <v>3.0323685764914354E-7</v>
      </c>
      <c r="O40" s="1">
        <v>1</v>
      </c>
      <c r="P40" s="2">
        <f t="shared" si="6"/>
        <v>606.47371529828706</v>
      </c>
      <c r="Q40" s="20">
        <f t="shared" si="2"/>
        <v>4.0389690983723005E-2</v>
      </c>
      <c r="R40" s="2">
        <f t="shared" si="5"/>
        <v>18.049809011079102</v>
      </c>
    </row>
    <row r="41" spans="10:18">
      <c r="K41" s="2">
        <f t="shared" si="9"/>
        <v>0.85199999999999998</v>
      </c>
      <c r="L41" s="4">
        <f t="shared" si="10"/>
        <v>1.17275</v>
      </c>
      <c r="M41" s="18">
        <f t="shared" si="3"/>
        <v>0.32074999999999998</v>
      </c>
      <c r="N41" s="15">
        <f t="shared" si="4"/>
        <v>2.6720665409605164E-7</v>
      </c>
      <c r="O41" s="1">
        <v>1</v>
      </c>
      <c r="P41" s="2">
        <f t="shared" si="6"/>
        <v>534.41330819210327</v>
      </c>
      <c r="Q41" s="20">
        <f t="shared" si="2"/>
        <v>0.15440932248084926</v>
      </c>
      <c r="R41" s="2">
        <f t="shared" si="5"/>
        <v>69.004211530926554</v>
      </c>
    </row>
    <row r="42" spans="10:18">
      <c r="K42" s="2">
        <f t="shared" si="9"/>
        <v>1.17275</v>
      </c>
      <c r="L42" s="4">
        <f t="shared" si="10"/>
        <v>1.5279999999999998</v>
      </c>
      <c r="M42" s="18">
        <f t="shared" si="3"/>
        <v>0.35524999999999984</v>
      </c>
      <c r="N42" s="15">
        <f t="shared" si="4"/>
        <v>2.9594751010950052E-7</v>
      </c>
      <c r="O42" s="1">
        <v>1</v>
      </c>
      <c r="P42" s="2">
        <f t="shared" si="6"/>
        <v>591.89502021900103</v>
      </c>
      <c r="Q42" s="20">
        <f t="shared" si="2"/>
        <v>6.3457246488922425E-2</v>
      </c>
      <c r="R42" s="2">
        <f t="shared" si="5"/>
        <v>28.358503162495083</v>
      </c>
    </row>
    <row r="43" spans="10:18">
      <c r="K43" s="2">
        <f t="shared" si="9"/>
        <v>1.5279999999999998</v>
      </c>
      <c r="L43" s="4">
        <f t="shared" si="10"/>
        <v>1.8839999999999999</v>
      </c>
      <c r="M43" s="18">
        <f t="shared" si="3"/>
        <v>0.35600000000000009</v>
      </c>
      <c r="N43" s="15">
        <f t="shared" si="4"/>
        <v>2.965723113271844E-7</v>
      </c>
      <c r="O43" s="1">
        <v>1</v>
      </c>
      <c r="P43" s="2">
        <f t="shared" si="6"/>
        <v>593.14462265436885</v>
      </c>
      <c r="Q43" s="20">
        <f t="shared" si="2"/>
        <v>6.1480027445618916E-2</v>
      </c>
      <c r="R43" s="2">
        <f t="shared" si="5"/>
        <v>27.474900806657431</v>
      </c>
    </row>
    <row r="44" spans="10:18">
      <c r="K44" s="2">
        <f t="shared" si="9"/>
        <v>1.8839999999999999</v>
      </c>
      <c r="L44" s="4">
        <f t="shared" si="10"/>
        <v>2.1950000000000003</v>
      </c>
      <c r="M44" s="18">
        <f t="shared" si="3"/>
        <v>0.31100000000000039</v>
      </c>
      <c r="N44" s="15">
        <f t="shared" si="4"/>
        <v>2.590842382661642E-7</v>
      </c>
      <c r="O44" s="1">
        <v>1</v>
      </c>
      <c r="P44" s="2">
        <f t="shared" si="6"/>
        <v>518.16847653232844</v>
      </c>
      <c r="Q44" s="20">
        <f t="shared" si="2"/>
        <v>0.1801131700437841</v>
      </c>
      <c r="R44" s="2">
        <f t="shared" si="5"/>
        <v>80.491042156785667</v>
      </c>
    </row>
    <row r="45" spans="10:18">
      <c r="K45" s="2">
        <f t="shared" si="9"/>
        <v>2.1950000000000003</v>
      </c>
      <c r="L45" s="4">
        <f t="shared" si="10"/>
        <v>2.5229999999999997</v>
      </c>
      <c r="M45" s="18">
        <f t="shared" si="3"/>
        <v>0.3279999999999994</v>
      </c>
      <c r="N45" s="15">
        <f t="shared" si="4"/>
        <v>2.7324639920032668E-7</v>
      </c>
      <c r="O45" s="1">
        <v>1</v>
      </c>
      <c r="P45" s="2">
        <f t="shared" si="6"/>
        <v>546.49279840065333</v>
      </c>
      <c r="Q45" s="20">
        <f t="shared" si="2"/>
        <v>0.1352962050622574</v>
      </c>
      <c r="R45" s="2">
        <f t="shared" si="5"/>
        <v>60.462722091183146</v>
      </c>
    </row>
    <row r="46" spans="10:18">
      <c r="K46" s="2">
        <f t="shared" si="9"/>
        <v>2.5229999999999997</v>
      </c>
      <c r="L46" s="4">
        <f t="shared" si="10"/>
        <v>2.8490000000000002</v>
      </c>
      <c r="M46" s="18">
        <f t="shared" si="3"/>
        <v>0.32600000000000051</v>
      </c>
      <c r="N46" s="15">
        <f t="shared" si="4"/>
        <v>2.715802626198378E-7</v>
      </c>
      <c r="O46" s="1">
        <v>1</v>
      </c>
      <c r="P46" s="2">
        <f t="shared" si="6"/>
        <v>543.16052523967562</v>
      </c>
      <c r="Q46" s="20">
        <f t="shared" si="2"/>
        <v>0.14056878917772844</v>
      </c>
      <c r="R46" s="2">
        <f t="shared" si="5"/>
        <v>62.818995040074959</v>
      </c>
    </row>
    <row r="47" spans="10:18">
      <c r="K47" s="2">
        <f t="shared" si="9"/>
        <v>2.8490000000000002</v>
      </c>
      <c r="L47" s="4">
        <f t="shared" si="10"/>
        <v>3.2153999999999998</v>
      </c>
      <c r="M47" s="18">
        <f t="shared" si="3"/>
        <v>0.36639999999999961</v>
      </c>
      <c r="N47" s="15">
        <f t="shared" si="4"/>
        <v>3.0523622154573099E-7</v>
      </c>
      <c r="O47" s="1">
        <v>1</v>
      </c>
      <c r="P47" s="2">
        <f t="shared" si="6"/>
        <v>610.47244309146197</v>
      </c>
      <c r="Q47" s="20">
        <f t="shared" si="2"/>
        <v>3.4062590045155113E-2</v>
      </c>
      <c r="R47" s="2">
        <f t="shared" si="5"/>
        <v>15.22228147240318</v>
      </c>
    </row>
    <row r="48" spans="10:18">
      <c r="K48" s="2">
        <f t="shared" si="9"/>
        <v>3.2153999999999998</v>
      </c>
      <c r="L48" s="4">
        <f t="shared" si="10"/>
        <v>3.579333333333333</v>
      </c>
      <c r="M48" s="18">
        <f t="shared" si="3"/>
        <v>0.36393333333333322</v>
      </c>
      <c r="N48" s="15">
        <f t="shared" si="4"/>
        <v>3.0318131976312715E-7</v>
      </c>
      <c r="O48" s="1">
        <v>1</v>
      </c>
      <c r="P48" s="2">
        <f t="shared" si="6"/>
        <v>606.36263952625427</v>
      </c>
      <c r="Q48" s="20">
        <f t="shared" si="2"/>
        <v>4.0565443787572354E-2</v>
      </c>
      <c r="R48" s="2">
        <f t="shared" si="5"/>
        <v>18.128351442713065</v>
      </c>
    </row>
    <row r="49" spans="11:18">
      <c r="K49" s="2">
        <f t="shared" si="9"/>
        <v>3.579333333333333</v>
      </c>
      <c r="L49" s="4">
        <f t="shared" si="10"/>
        <v>3.9322000000000004</v>
      </c>
      <c r="M49" s="18">
        <f t="shared" si="3"/>
        <v>0.35286666666666733</v>
      </c>
      <c r="N49" s="15">
        <f t="shared" si="4"/>
        <v>2.9396203068441758E-7</v>
      </c>
      <c r="O49" s="1">
        <v>1</v>
      </c>
      <c r="P49" s="2">
        <f t="shared" si="6"/>
        <v>587.92406136883517</v>
      </c>
      <c r="Q49" s="20">
        <f t="shared" si="2"/>
        <v>6.9740409226526634E-2</v>
      </c>
      <c r="R49" s="2">
        <f t="shared" si="5"/>
        <v>31.16639509325713</v>
      </c>
    </row>
    <row r="50" spans="11:18">
      <c r="K50" s="2">
        <f t="shared" si="9"/>
        <v>3.9322000000000004</v>
      </c>
      <c r="L50" s="4">
        <f t="shared" si="10"/>
        <v>4.3840000000000003</v>
      </c>
      <c r="M50" s="18">
        <f t="shared" si="3"/>
        <v>0.45179999999999998</v>
      </c>
      <c r="N50" s="15">
        <f t="shared" si="4"/>
        <v>3.7638025353264577E-7</v>
      </c>
      <c r="O50" s="1">
        <v>1</v>
      </c>
      <c r="P50" s="2">
        <f t="shared" si="6"/>
        <v>752.76050706529156</v>
      </c>
      <c r="Q50" s="20">
        <f t="shared" si="2"/>
        <v>0.19107675168558791</v>
      </c>
      <c r="R50" s="2">
        <f t="shared" si="5"/>
        <v>85.390573445392747</v>
      </c>
    </row>
    <row r="51" spans="11:18">
      <c r="K51" s="2">
        <f t="shared" si="9"/>
        <v>4.3840000000000003</v>
      </c>
      <c r="L51" s="4">
        <f t="shared" si="10"/>
        <v>4.6026666666666669</v>
      </c>
      <c r="M51" s="18">
        <f t="shared" si="3"/>
        <v>0.21866666666666656</v>
      </c>
      <c r="N51" s="15">
        <f t="shared" si="4"/>
        <v>1.8216426613355134E-7</v>
      </c>
      <c r="O51" s="1">
        <v>1</v>
      </c>
      <c r="P51" s="2">
        <f t="shared" si="6"/>
        <v>364.32853226710267</v>
      </c>
      <c r="Q51" s="20">
        <f t="shared" si="2"/>
        <v>0.42353080337483756</v>
      </c>
      <c r="R51" s="2">
        <f t="shared" si="5"/>
        <v>189.27230996408804</v>
      </c>
    </row>
    <row r="52" spans="11:18">
      <c r="K52" s="2">
        <f t="shared" si="9"/>
        <v>4.6026666666666669</v>
      </c>
      <c r="L52" s="4">
        <f t="shared" si="10"/>
        <v>4.9456666666666669</v>
      </c>
      <c r="M52" s="18">
        <f t="shared" si="3"/>
        <v>0.34299999999999997</v>
      </c>
      <c r="N52" s="15">
        <f t="shared" si="4"/>
        <v>2.8574242355400065E-7</v>
      </c>
      <c r="O52" s="1">
        <v>1</v>
      </c>
      <c r="P52" s="2">
        <f t="shared" si="6"/>
        <v>571.4848471080013</v>
      </c>
      <c r="Q52" s="20">
        <f t="shared" si="2"/>
        <v>9.5751824196200472E-2</v>
      </c>
      <c r="R52" s="2">
        <f t="shared" si="5"/>
        <v>42.790674974473667</v>
      </c>
    </row>
    <row r="53" spans="11:18">
      <c r="K53" s="2"/>
      <c r="L53" s="4"/>
    </row>
    <row r="54" spans="11:18">
      <c r="K54" s="2"/>
      <c r="L54" s="4"/>
    </row>
    <row r="55" spans="11:18">
      <c r="K55" s="2"/>
      <c r="L55" s="4"/>
    </row>
    <row r="56" spans="11:18">
      <c r="K56" s="2"/>
    </row>
    <row r="57" spans="11:18">
      <c r="K57" s="2"/>
    </row>
    <row r="58" spans="11:18">
      <c r="K58" s="2"/>
    </row>
    <row r="59" spans="11:18">
      <c r="K59" s="2"/>
    </row>
    <row r="60" spans="11:18">
      <c r="K60" s="2"/>
    </row>
    <row r="61" spans="11:18">
      <c r="K61" s="2"/>
    </row>
    <row r="62" spans="11:18">
      <c r="K62" s="2"/>
    </row>
    <row r="63" spans="11:18">
      <c r="K63" s="2"/>
    </row>
    <row r="64" spans="11:18">
      <c r="K64" s="2"/>
    </row>
    <row r="65" spans="11:11">
      <c r="K65" s="2"/>
    </row>
    <row r="66" spans="11:11">
      <c r="K66" s="2"/>
    </row>
    <row r="67" spans="11:11">
      <c r="K67" s="2"/>
    </row>
    <row r="68" spans="11:11">
      <c r="K68" s="2"/>
    </row>
    <row r="69" spans="11:11">
      <c r="K69" s="2"/>
    </row>
    <row r="70" spans="11:11">
      <c r="K70" s="2"/>
    </row>
    <row r="71" spans="11:11">
      <c r="K71" s="2"/>
    </row>
    <row r="72" spans="11:11">
      <c r="K72" s="2"/>
    </row>
    <row r="73" spans="11:11">
      <c r="K73" s="2"/>
    </row>
    <row r="74" spans="11:11">
      <c r="K74" s="2"/>
    </row>
    <row r="75" spans="11:11">
      <c r="K75" s="2"/>
    </row>
    <row r="76" spans="11:11">
      <c r="K76" s="2"/>
    </row>
    <row r="77" spans="11:11">
      <c r="K77" s="2"/>
    </row>
    <row r="78" spans="11:11">
      <c r="K78" s="2"/>
    </row>
    <row r="79" spans="11:11">
      <c r="K79" s="2"/>
    </row>
    <row r="80" spans="11:11">
      <c r="K80" s="2"/>
    </row>
    <row r="81" spans="11:11">
      <c r="K81" s="2"/>
    </row>
    <row r="82" spans="11:11">
      <c r="K82" s="2"/>
    </row>
    <row r="83" spans="11:11">
      <c r="K83" s="2"/>
    </row>
    <row r="84" spans="11:11">
      <c r="K84" s="2"/>
    </row>
    <row r="85" spans="11:11">
      <c r="K85" s="2"/>
    </row>
    <row r="86" spans="11:11">
      <c r="K86" s="2"/>
    </row>
    <row r="87" spans="11:11">
      <c r="K87" s="2"/>
    </row>
    <row r="88" spans="11:11">
      <c r="K88" s="2"/>
    </row>
    <row r="89" spans="11:11">
      <c r="K89" s="2"/>
    </row>
    <row r="90" spans="11:11">
      <c r="K90" s="2"/>
    </row>
    <row r="91" spans="11:11">
      <c r="K91" s="2"/>
    </row>
    <row r="92" spans="11:11">
      <c r="K92" s="2"/>
    </row>
    <row r="93" spans="11:11">
      <c r="K93" s="2"/>
    </row>
    <row r="94" spans="11:11">
      <c r="K94" s="2"/>
    </row>
    <row r="95" spans="11:11">
      <c r="K95" s="2"/>
    </row>
    <row r="96" spans="11:11">
      <c r="K96" s="2"/>
    </row>
    <row r="97" spans="11:11">
      <c r="K97" s="2"/>
    </row>
    <row r="98" spans="11:11">
      <c r="K98" s="2"/>
    </row>
    <row r="99" spans="11:11">
      <c r="K99" s="2"/>
    </row>
    <row r="100" spans="11:11">
      <c r="K100" s="2"/>
    </row>
    <row r="101" spans="11:11">
      <c r="K101" s="2"/>
    </row>
    <row r="102" spans="11:11">
      <c r="K102" s="2"/>
    </row>
    <row r="103" spans="11:11">
      <c r="K103" s="2"/>
    </row>
    <row r="104" spans="11:11">
      <c r="K104" s="2"/>
    </row>
    <row r="105" spans="11:11">
      <c r="K105" s="2"/>
    </row>
    <row r="106" spans="11:11">
      <c r="K106" s="2"/>
    </row>
    <row r="107" spans="11:11">
      <c r="K107" s="2"/>
    </row>
    <row r="108" spans="11:11">
      <c r="K108" s="2"/>
    </row>
    <row r="109" spans="11:11">
      <c r="K109" s="2"/>
    </row>
    <row r="110" spans="11:11">
      <c r="K110" s="2"/>
    </row>
    <row r="111" spans="11:11">
      <c r="K111" s="2"/>
    </row>
    <row r="112" spans="11:11">
      <c r="K112" s="2"/>
    </row>
    <row r="113" spans="11:11">
      <c r="K113" s="2"/>
    </row>
  </sheetData>
  <mergeCells count="1"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3"/>
  <sheetViews>
    <sheetView zoomScale="115" zoomScaleNormal="115" workbookViewId="0">
      <selection activeCell="D22" sqref="D22"/>
    </sheetView>
  </sheetViews>
  <sheetFormatPr defaultRowHeight="15"/>
  <cols>
    <col min="1" max="1" width="4.7109375" customWidth="1"/>
    <col min="5" max="5" width="9.85546875" bestFit="1" customWidth="1"/>
  </cols>
  <sheetData>
    <row r="1" spans="1:8">
      <c r="B1" s="31" t="s">
        <v>14</v>
      </c>
      <c r="C1" s="31"/>
      <c r="D1" s="31"/>
    </row>
    <row r="2" spans="1:8">
      <c r="A2" s="17" t="s">
        <v>29</v>
      </c>
      <c r="B2" t="s">
        <v>30</v>
      </c>
      <c r="C2" t="s">
        <v>31</v>
      </c>
      <c r="D2" t="s">
        <v>15</v>
      </c>
      <c r="E2" s="17" t="s">
        <v>16</v>
      </c>
      <c r="F2" s="17" t="s">
        <v>17</v>
      </c>
      <c r="G2" t="s">
        <v>71</v>
      </c>
      <c r="H2" s="9" t="s">
        <v>18</v>
      </c>
    </row>
    <row r="3" spans="1:8">
      <c r="A3">
        <v>1</v>
      </c>
      <c r="B3" s="2">
        <v>3.38</v>
      </c>
      <c r="C3" s="2">
        <v>3.96</v>
      </c>
      <c r="D3" s="6">
        <f>(C3-B3)</f>
        <v>0.58000000000000007</v>
      </c>
      <c r="E3" s="4">
        <f>D3*(1.021)/10</f>
        <v>5.9218000000000007E-2</v>
      </c>
      <c r="F3">
        <v>6</v>
      </c>
      <c r="G3" s="15">
        <f t="shared" ref="G3:G12" si="0">F3*($C$17*10^-9)/(2*$C$18*10^-3)</f>
        <v>1.8989700000000002E-5</v>
      </c>
      <c r="H3" t="s">
        <v>19</v>
      </c>
    </row>
    <row r="4" spans="1:8">
      <c r="A4">
        <v>2</v>
      </c>
      <c r="B4" s="2">
        <v>3.16</v>
      </c>
      <c r="C4" s="2">
        <v>3.82</v>
      </c>
      <c r="D4" s="6">
        <f t="shared" ref="D4:D12" si="1">(C4-B4)</f>
        <v>0.6599999999999997</v>
      </c>
      <c r="E4" s="4">
        <f t="shared" ref="E4:E12" si="2">D4/10</f>
        <v>6.5999999999999975E-2</v>
      </c>
      <c r="F4">
        <v>6</v>
      </c>
      <c r="G4" s="15">
        <f t="shared" si="0"/>
        <v>1.8989700000000002E-5</v>
      </c>
      <c r="H4" t="s">
        <v>20</v>
      </c>
    </row>
    <row r="5" spans="1:8">
      <c r="A5">
        <v>3</v>
      </c>
      <c r="B5" s="2">
        <v>2.1890000000000001</v>
      </c>
      <c r="C5" s="2">
        <v>2.9780000000000002</v>
      </c>
      <c r="D5" s="6">
        <f t="shared" si="1"/>
        <v>0.78900000000000015</v>
      </c>
      <c r="E5" s="4">
        <f t="shared" si="2"/>
        <v>7.8900000000000012E-2</v>
      </c>
      <c r="F5">
        <v>7</v>
      </c>
      <c r="G5" s="15">
        <f t="shared" si="0"/>
        <v>2.2154650000000003E-5</v>
      </c>
      <c r="H5" t="s">
        <v>21</v>
      </c>
    </row>
    <row r="6" spans="1:8">
      <c r="A6" s="8">
        <v>4</v>
      </c>
      <c r="B6" s="16">
        <v>-0.24099999999999999</v>
      </c>
      <c r="C6" s="16">
        <v>-3.95</v>
      </c>
      <c r="D6" s="6">
        <f t="shared" si="1"/>
        <v>-3.7090000000000001</v>
      </c>
      <c r="E6" s="4">
        <f t="shared" si="2"/>
        <v>-0.37090000000000001</v>
      </c>
      <c r="F6" s="8">
        <v>28</v>
      </c>
      <c r="G6" s="15">
        <f t="shared" si="0"/>
        <v>8.8618600000000012E-5</v>
      </c>
      <c r="H6" s="8" t="s">
        <v>23</v>
      </c>
    </row>
    <row r="7" spans="1:8">
      <c r="A7">
        <v>5</v>
      </c>
      <c r="B7" s="2">
        <v>-0.17</v>
      </c>
      <c r="C7" s="2">
        <v>-3.96</v>
      </c>
      <c r="D7" s="6">
        <f t="shared" si="1"/>
        <v>-3.79</v>
      </c>
      <c r="E7" s="4">
        <f t="shared" si="2"/>
        <v>-0.379</v>
      </c>
      <c r="F7">
        <v>32</v>
      </c>
      <c r="G7" s="15">
        <f t="shared" si="0"/>
        <v>1.012784E-4</v>
      </c>
      <c r="H7" t="s">
        <v>22</v>
      </c>
    </row>
    <row r="8" spans="1:8">
      <c r="A8" s="8">
        <v>6</v>
      </c>
      <c r="B8" s="16">
        <v>-1.66</v>
      </c>
      <c r="C8" s="16">
        <v>-3.96</v>
      </c>
      <c r="D8" s="6">
        <f t="shared" si="1"/>
        <v>-2.2999999999999998</v>
      </c>
      <c r="E8" s="4">
        <f t="shared" si="2"/>
        <v>-0.22999999999999998</v>
      </c>
      <c r="F8" s="8">
        <v>31</v>
      </c>
      <c r="G8" s="15">
        <f t="shared" si="0"/>
        <v>9.8113449999999991E-5</v>
      </c>
      <c r="H8" s="8" t="s">
        <v>24</v>
      </c>
    </row>
    <row r="9" spans="1:8">
      <c r="A9">
        <v>7</v>
      </c>
      <c r="B9" s="2">
        <v>7.5</v>
      </c>
      <c r="C9" s="2">
        <v>7.73</v>
      </c>
      <c r="D9" s="6">
        <f t="shared" si="1"/>
        <v>0.23000000000000043</v>
      </c>
      <c r="E9" s="4">
        <f t="shared" si="2"/>
        <v>2.3000000000000041E-2</v>
      </c>
      <c r="F9">
        <v>2</v>
      </c>
      <c r="G9" s="15">
        <f t="shared" si="0"/>
        <v>6.3299000000000002E-6</v>
      </c>
      <c r="H9" t="s">
        <v>25</v>
      </c>
    </row>
    <row r="10" spans="1:8">
      <c r="A10" s="8">
        <v>8</v>
      </c>
      <c r="B10" s="16">
        <v>4.49</v>
      </c>
      <c r="C10" s="16">
        <v>6.01</v>
      </c>
      <c r="D10" s="6">
        <f t="shared" si="1"/>
        <v>1.5199999999999996</v>
      </c>
      <c r="E10" s="4">
        <f t="shared" si="2"/>
        <v>0.15199999999999997</v>
      </c>
      <c r="F10" s="8">
        <v>29</v>
      </c>
      <c r="G10" s="15">
        <f t="shared" si="0"/>
        <v>9.1783549999999996E-5</v>
      </c>
      <c r="H10" s="8" t="s">
        <v>26</v>
      </c>
    </row>
    <row r="11" spans="1:8">
      <c r="A11">
        <v>9</v>
      </c>
      <c r="B11" s="2">
        <v>-6.46</v>
      </c>
      <c r="C11" s="2">
        <v>-11.1</v>
      </c>
      <c r="D11" s="6">
        <f t="shared" si="1"/>
        <v>-4.6399999999999997</v>
      </c>
      <c r="E11" s="4">
        <f t="shared" si="2"/>
        <v>-0.46399999999999997</v>
      </c>
      <c r="F11">
        <f>41</f>
        <v>41</v>
      </c>
      <c r="G11" s="15">
        <f t="shared" si="0"/>
        <v>1.2976295000000001E-4</v>
      </c>
      <c r="H11" t="s">
        <v>27</v>
      </c>
    </row>
    <row r="12" spans="1:8">
      <c r="A12">
        <v>10</v>
      </c>
      <c r="B12" s="2">
        <v>-3.01</v>
      </c>
      <c r="C12" s="2">
        <v>-6.81</v>
      </c>
      <c r="D12" s="6">
        <f t="shared" si="1"/>
        <v>-3.8</v>
      </c>
      <c r="E12" s="4">
        <f t="shared" si="2"/>
        <v>-0.38</v>
      </c>
      <c r="F12">
        <v>33</v>
      </c>
      <c r="G12" s="15">
        <f t="shared" si="0"/>
        <v>1.0444335000000001E-4</v>
      </c>
      <c r="H12" t="s">
        <v>28</v>
      </c>
    </row>
    <row r="14" spans="1:8">
      <c r="B14" t="s">
        <v>32</v>
      </c>
      <c r="C14" t="s">
        <v>72</v>
      </c>
    </row>
    <row r="15" spans="1:8">
      <c r="B15" t="s">
        <v>33</v>
      </c>
      <c r="C15" t="s">
        <v>75</v>
      </c>
    </row>
    <row r="16" spans="1:8">
      <c r="E16">
        <f>1.03</f>
        <v>1.03</v>
      </c>
      <c r="F16">
        <f>E16*2*(100*10^-6)</f>
        <v>2.0599999999999999E-4</v>
      </c>
    </row>
    <row r="17" spans="2:7">
      <c r="B17" t="s">
        <v>73</v>
      </c>
      <c r="C17">
        <v>632.99</v>
      </c>
      <c r="D17" t="s">
        <v>77</v>
      </c>
    </row>
    <row r="18" spans="2:7">
      <c r="B18" t="s">
        <v>74</v>
      </c>
      <c r="C18">
        <v>100</v>
      </c>
      <c r="D18" t="s">
        <v>76</v>
      </c>
      <c r="E18" t="s">
        <v>65</v>
      </c>
      <c r="F18">
        <v>10</v>
      </c>
      <c r="G18" t="s">
        <v>67</v>
      </c>
    </row>
    <row r="19" spans="2:7">
      <c r="E19" t="s">
        <v>66</v>
      </c>
    </row>
    <row r="20" spans="2:7">
      <c r="E20" t="s">
        <v>15</v>
      </c>
      <c r="F20">
        <f xml:space="preserve"> 10</f>
        <v>10</v>
      </c>
      <c r="G20" t="s">
        <v>68</v>
      </c>
    </row>
    <row r="21" spans="2:7">
      <c r="E21" t="s">
        <v>69</v>
      </c>
    </row>
    <row r="22" spans="2:7">
      <c r="E22" t="s">
        <v>70</v>
      </c>
    </row>
    <row r="23" spans="2:7">
      <c r="F23">
        <f>0.0980870479922435</f>
        <v>9.8087047992243506E-2</v>
      </c>
      <c r="G23">
        <v>2.1000000000000001E-2</v>
      </c>
    </row>
  </sheetData>
  <autoFilter ref="A2:H2">
    <sortState ref="A3:H12">
      <sortCondition ref="A2"/>
    </sortState>
  </autoFilter>
  <sortState ref="A3:G12">
    <sortCondition ref="F3:F12"/>
  </sortState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topLeftCell="A6" workbookViewId="0">
      <selection activeCell="B22" sqref="B22"/>
    </sheetView>
  </sheetViews>
  <sheetFormatPr defaultRowHeight="15"/>
  <sheetData>
    <row r="1" spans="1:9">
      <c r="A1" t="s">
        <v>41</v>
      </c>
    </row>
    <row r="2" spans="1:9" ht="15.75" thickBot="1"/>
    <row r="3" spans="1:9">
      <c r="A3" s="14" t="s">
        <v>42</v>
      </c>
      <c r="B3" s="14"/>
    </row>
    <row r="4" spans="1:9">
      <c r="A4" s="11" t="s">
        <v>43</v>
      </c>
      <c r="B4" s="11">
        <v>0.99905956027818232</v>
      </c>
    </row>
    <row r="5" spans="1:9">
      <c r="A5" s="11" t="s">
        <v>44</v>
      </c>
      <c r="B5" s="11">
        <v>0.99812000498323494</v>
      </c>
    </row>
    <row r="6" spans="1:9">
      <c r="A6" s="11" t="s">
        <v>45</v>
      </c>
      <c r="B6" s="11">
        <v>0.99788500560613924</v>
      </c>
    </row>
    <row r="7" spans="1:9">
      <c r="A7" s="11" t="s">
        <v>8</v>
      </c>
      <c r="B7" s="11">
        <v>6.9662468720253348E-2</v>
      </c>
    </row>
    <row r="8" spans="1:9" ht="15.75" thickBot="1">
      <c r="A8" s="12" t="s">
        <v>46</v>
      </c>
      <c r="B8" s="12">
        <v>10</v>
      </c>
    </row>
    <row r="10" spans="1:9" ht="15.75" thickBot="1">
      <c r="A10" t="s">
        <v>47</v>
      </c>
    </row>
    <row r="11" spans="1:9">
      <c r="A11" s="13"/>
      <c r="B11" s="13" t="s">
        <v>52</v>
      </c>
      <c r="C11" s="13" t="s">
        <v>53</v>
      </c>
      <c r="D11" s="13" t="s">
        <v>54</v>
      </c>
      <c r="E11" s="13" t="s">
        <v>55</v>
      </c>
      <c r="F11" s="13" t="s">
        <v>56</v>
      </c>
    </row>
    <row r="12" spans="1:9">
      <c r="A12" s="11" t="s">
        <v>48</v>
      </c>
      <c r="B12" s="11">
        <v>1</v>
      </c>
      <c r="C12" s="11">
        <v>20.611698023614395</v>
      </c>
      <c r="D12" s="11">
        <v>20.611698023614395</v>
      </c>
      <c r="E12" s="11">
        <v>4247.330428357116</v>
      </c>
      <c r="F12" s="11">
        <v>3.4183121359050155E-12</v>
      </c>
    </row>
    <row r="13" spans="1:9">
      <c r="A13" s="11" t="s">
        <v>49</v>
      </c>
      <c r="B13" s="11">
        <v>8</v>
      </c>
      <c r="C13" s="11">
        <v>3.8822876385602202E-2</v>
      </c>
      <c r="D13" s="11">
        <v>4.8528595482002753E-3</v>
      </c>
      <c r="E13" s="11"/>
      <c r="F13" s="11"/>
    </row>
    <row r="14" spans="1:9" ht="15.75" thickBot="1">
      <c r="A14" s="12" t="s">
        <v>50</v>
      </c>
      <c r="B14" s="12">
        <v>9</v>
      </c>
      <c r="C14" s="12">
        <v>20.650520899999997</v>
      </c>
      <c r="D14" s="12"/>
      <c r="E14" s="12"/>
      <c r="F14" s="12"/>
    </row>
    <row r="15" spans="1:9" ht="15.75" thickBot="1"/>
    <row r="16" spans="1:9">
      <c r="A16" s="13"/>
      <c r="B16" s="13" t="s">
        <v>57</v>
      </c>
      <c r="C16" s="13" t="s">
        <v>8</v>
      </c>
      <c r="D16" s="13" t="s">
        <v>58</v>
      </c>
      <c r="E16" s="13" t="s">
        <v>59</v>
      </c>
      <c r="F16" s="13" t="s">
        <v>60</v>
      </c>
      <c r="G16" s="13" t="s">
        <v>61</v>
      </c>
      <c r="H16" s="13" t="s">
        <v>62</v>
      </c>
      <c r="I16" s="13" t="s">
        <v>63</v>
      </c>
    </row>
    <row r="17" spans="1:9">
      <c r="A17" s="11" t="s">
        <v>51</v>
      </c>
      <c r="B17" s="11">
        <v>5.7243882017382397E-2</v>
      </c>
      <c r="C17" s="11">
        <v>3.4942094510159116E-2</v>
      </c>
      <c r="D17" s="11">
        <v>1.6382498765418663</v>
      </c>
      <c r="E17" s="11">
        <v>0.14000328686827351</v>
      </c>
      <c r="F17" s="11">
        <v>-2.3332732349172922E-2</v>
      </c>
      <c r="G17" s="11">
        <v>0.13782049638393773</v>
      </c>
      <c r="H17" s="11">
        <v>-2.3332732349172922E-2</v>
      </c>
      <c r="I17" s="11">
        <v>0.13782049638393773</v>
      </c>
    </row>
    <row r="18" spans="1:9" ht="15.75" thickBot="1">
      <c r="A18" s="12" t="s">
        <v>64</v>
      </c>
      <c r="B18" s="12">
        <v>9.8087047992243506E-2</v>
      </c>
      <c r="C18" s="12">
        <v>1.5050593975096055E-3</v>
      </c>
      <c r="D18" s="12">
        <v>65.171546155949969</v>
      </c>
      <c r="E18" s="12">
        <v>3.4183121359050155E-12</v>
      </c>
      <c r="F18" s="12">
        <v>9.4616374800725683E-2</v>
      </c>
      <c r="G18" s="12">
        <v>0.10155772118376133</v>
      </c>
      <c r="H18" s="12">
        <v>9.4616374800725683E-2</v>
      </c>
      <c r="I18" s="12">
        <v>0.10155772118376133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I54"/>
  <sheetViews>
    <sheetView topLeftCell="A37" zoomScaleNormal="100" workbookViewId="0">
      <selection activeCell="B62" sqref="B62"/>
    </sheetView>
  </sheetViews>
  <sheetFormatPr defaultRowHeight="15"/>
  <cols>
    <col min="1" max="8" width="9.140625" style="4"/>
  </cols>
  <sheetData>
    <row r="4" spans="1:9">
      <c r="A4" s="32" t="s">
        <v>38</v>
      </c>
      <c r="B4" s="32"/>
      <c r="C4" s="32"/>
      <c r="D4" s="32"/>
      <c r="E4" s="32" t="s">
        <v>39</v>
      </c>
      <c r="F4" s="32"/>
      <c r="G4" s="32"/>
      <c r="H4" s="32"/>
      <c r="I4" s="9"/>
    </row>
    <row r="5" spans="1:9">
      <c r="A5" s="4" t="s">
        <v>4</v>
      </c>
      <c r="B5" s="4" t="s">
        <v>35</v>
      </c>
      <c r="C5" s="4" t="s">
        <v>36</v>
      </c>
      <c r="D5" s="4" t="s">
        <v>37</v>
      </c>
      <c r="E5" s="4" t="s">
        <v>4</v>
      </c>
      <c r="F5" s="4" t="s">
        <v>35</v>
      </c>
      <c r="G5" s="4" t="s">
        <v>36</v>
      </c>
      <c r="H5" s="4" t="s">
        <v>37</v>
      </c>
    </row>
    <row r="6" spans="1:9">
      <c r="A6" s="4">
        <v>0.17599999999999999</v>
      </c>
      <c r="B6" s="4">
        <f>AVERAGE(A6:A7)</f>
        <v>0.17749999999999999</v>
      </c>
      <c r="C6" s="4">
        <v>-0.85940000000000005</v>
      </c>
      <c r="D6" s="4">
        <f>AVERAGE(C6:C7)</f>
        <v>-0.87160000000000004</v>
      </c>
      <c r="E6" s="4">
        <v>1.0999999999999999E-2</v>
      </c>
      <c r="F6" s="4">
        <f>AVERAGE(E6:E7)</f>
        <v>1.4499999999999999E-2</v>
      </c>
      <c r="G6" s="4">
        <v>-3.9990000000000001</v>
      </c>
      <c r="H6" s="4">
        <f>AVERAGE(G6:G7)</f>
        <v>-4.0014500000000002</v>
      </c>
    </row>
    <row r="7" spans="1:9">
      <c r="A7" s="4">
        <v>0.17899999999999999</v>
      </c>
      <c r="B7" s="10" t="s">
        <v>40</v>
      </c>
      <c r="C7" s="4">
        <v>-0.88380000000000003</v>
      </c>
      <c r="D7" s="10" t="s">
        <v>40</v>
      </c>
      <c r="E7" s="4">
        <v>1.7999999999999999E-2</v>
      </c>
      <c r="F7" s="10" t="s">
        <v>40</v>
      </c>
      <c r="G7" s="4">
        <v>-4.0038999999999998</v>
      </c>
      <c r="H7" s="10" t="s">
        <v>40</v>
      </c>
    </row>
    <row r="8" spans="1:9">
      <c r="A8" s="4">
        <v>0.48199999999999998</v>
      </c>
      <c r="B8" s="4">
        <f>AVERAGE(A8:A9)</f>
        <v>0.48799999999999999</v>
      </c>
      <c r="C8" s="4">
        <v>-0.8911</v>
      </c>
      <c r="D8" s="4">
        <f>AVERAGE(C8:C9)</f>
        <v>-0.88135000000000008</v>
      </c>
      <c r="E8" s="4">
        <v>0.31</v>
      </c>
      <c r="F8" s="4">
        <f>AVERAGE(E8:E9)</f>
        <v>0.31900000000000001</v>
      </c>
      <c r="G8" s="4">
        <v>-3.9453</v>
      </c>
      <c r="H8" s="4">
        <f>AVERAGE(G8:G9)</f>
        <v>-3.9745999999999997</v>
      </c>
    </row>
    <row r="9" spans="1:9">
      <c r="A9" s="4">
        <v>0.49399999999999999</v>
      </c>
      <c r="B9" s="10" t="s">
        <v>40</v>
      </c>
      <c r="C9" s="4">
        <v>-0.87160000000000004</v>
      </c>
      <c r="E9" s="4">
        <v>0.32800000000000001</v>
      </c>
      <c r="G9" s="4">
        <v>-4.0038999999999998</v>
      </c>
    </row>
    <row r="10" spans="1:9">
      <c r="A10" s="4">
        <v>0.84499999999999997</v>
      </c>
      <c r="B10" s="4">
        <f>AVERAGE(A10:A12)</f>
        <v>0.85199999999999998</v>
      </c>
      <c r="C10" s="4">
        <v>-0.86429999999999996</v>
      </c>
      <c r="D10" s="4">
        <f>AVERAGE(C10:C12)</f>
        <v>-0.86836666666666662</v>
      </c>
      <c r="E10" s="4">
        <v>0.66700000000000004</v>
      </c>
      <c r="F10" s="4">
        <f>AVERAGE(E10:E12)</f>
        <v>0.67266666666666675</v>
      </c>
      <c r="G10" s="4">
        <v>-4.0038999999999998</v>
      </c>
      <c r="H10" s="4">
        <f>AVERAGE(G10:G12)</f>
        <v>-4.0023</v>
      </c>
    </row>
    <row r="11" spans="1:9">
      <c r="A11" s="4">
        <v>0.85299999999999998</v>
      </c>
      <c r="B11" s="10" t="s">
        <v>40</v>
      </c>
      <c r="C11" s="4">
        <v>-0.86429999999999996</v>
      </c>
      <c r="E11" s="4">
        <v>0.67300000000000004</v>
      </c>
      <c r="G11" s="4">
        <v>-4.0015000000000001</v>
      </c>
    </row>
    <row r="12" spans="1:9">
      <c r="A12" s="4">
        <v>0.85799999999999998</v>
      </c>
      <c r="B12" s="10" t="s">
        <v>40</v>
      </c>
      <c r="C12" s="4">
        <v>-0.87649999999999995</v>
      </c>
      <c r="E12" s="4">
        <v>0.67800000000000005</v>
      </c>
      <c r="G12" s="4">
        <v>-4.0015000000000001</v>
      </c>
    </row>
    <row r="13" spans="1:9">
      <c r="A13" s="4">
        <v>1.157</v>
      </c>
      <c r="B13" s="4">
        <f>AVERAGE(A13:A16)</f>
        <v>1.17275</v>
      </c>
      <c r="C13" s="4">
        <v>-0.97899999999999998</v>
      </c>
      <c r="D13" s="4">
        <f>AVERAGE(C13:C16)</f>
        <v>-0.90270000000000006</v>
      </c>
      <c r="E13" s="4">
        <v>1.0029999999999999</v>
      </c>
      <c r="F13" s="4">
        <f>AVERAGE(E13:E16)</f>
        <v>1.0165</v>
      </c>
      <c r="G13" s="4">
        <v>-3.9941</v>
      </c>
      <c r="H13" s="4">
        <f>AVERAGE(G13:G16)</f>
        <v>-3.9959750000000001</v>
      </c>
    </row>
    <row r="14" spans="1:9">
      <c r="A14" s="4">
        <v>1.1719999999999999</v>
      </c>
      <c r="B14" s="10" t="s">
        <v>40</v>
      </c>
      <c r="C14" s="4">
        <v>-0.86909999999999998</v>
      </c>
      <c r="D14" s="10" t="s">
        <v>40</v>
      </c>
      <c r="E14" s="4">
        <v>1.0149999999999999</v>
      </c>
      <c r="F14" s="10" t="s">
        <v>40</v>
      </c>
      <c r="G14" s="4">
        <v>-3.9868000000000001</v>
      </c>
      <c r="H14" s="10" t="s">
        <v>40</v>
      </c>
    </row>
    <row r="15" spans="1:9">
      <c r="A15" s="4">
        <v>1.1779999999999999</v>
      </c>
      <c r="B15" s="10" t="s">
        <v>40</v>
      </c>
      <c r="C15" s="4">
        <v>-0.88380000000000003</v>
      </c>
      <c r="D15" s="10" t="s">
        <v>40</v>
      </c>
      <c r="E15" s="4">
        <v>1.0209999999999999</v>
      </c>
      <c r="F15" s="10" t="s">
        <v>40</v>
      </c>
      <c r="G15" s="4">
        <v>-4.0015000000000001</v>
      </c>
      <c r="H15" s="10" t="s">
        <v>40</v>
      </c>
    </row>
    <row r="16" spans="1:9">
      <c r="A16" s="4">
        <v>1.1839999999999999</v>
      </c>
      <c r="B16" s="10" t="s">
        <v>40</v>
      </c>
      <c r="C16" s="4">
        <v>-0.87890000000000001</v>
      </c>
      <c r="D16" s="10" t="s">
        <v>40</v>
      </c>
      <c r="E16" s="4">
        <v>1.0269999999999999</v>
      </c>
      <c r="F16" s="10" t="s">
        <v>40</v>
      </c>
      <c r="G16" s="4">
        <v>-4.0015000000000001</v>
      </c>
      <c r="H16" s="10" t="s">
        <v>40</v>
      </c>
    </row>
    <row r="17" spans="1:8">
      <c r="A17" s="4">
        <v>1.5169999999999999</v>
      </c>
      <c r="B17" s="4">
        <f>AVERAGE(A17:A19)</f>
        <v>1.5279999999999998</v>
      </c>
      <c r="C17" s="4">
        <v>-0.86429999999999996</v>
      </c>
      <c r="D17" s="4">
        <f>AVERAGE(C17:C18)</f>
        <v>-0.86914999999999998</v>
      </c>
      <c r="E17" s="4">
        <v>1.3440000000000001</v>
      </c>
      <c r="F17" s="4">
        <f>AVERAGE(E17:E20)</f>
        <v>1.3565</v>
      </c>
      <c r="G17" s="4">
        <v>-4.0038999999999998</v>
      </c>
      <c r="H17" s="4">
        <f>AVERAGE(G17:G19)</f>
        <v>-3.990066666666666</v>
      </c>
    </row>
    <row r="18" spans="1:8">
      <c r="A18" s="4">
        <v>1.528</v>
      </c>
      <c r="B18" s="10" t="s">
        <v>40</v>
      </c>
      <c r="C18" s="4">
        <v>-0.874</v>
      </c>
      <c r="D18" s="10" t="s">
        <v>40</v>
      </c>
      <c r="E18" s="4">
        <v>1.35</v>
      </c>
      <c r="F18" s="10" t="s">
        <v>40</v>
      </c>
      <c r="G18" s="4">
        <v>-3.9941</v>
      </c>
      <c r="H18" s="10" t="s">
        <v>40</v>
      </c>
    </row>
    <row r="19" spans="1:8">
      <c r="A19" s="4">
        <v>1.5389999999999999</v>
      </c>
      <c r="B19" s="10" t="s">
        <v>40</v>
      </c>
      <c r="C19" s="4">
        <v>-0.88380000000000003</v>
      </c>
      <c r="D19" s="10" t="s">
        <v>40</v>
      </c>
      <c r="E19" s="4">
        <v>1.3620000000000001</v>
      </c>
      <c r="F19" s="10" t="s">
        <v>40</v>
      </c>
      <c r="G19" s="4">
        <v>-3.9722</v>
      </c>
      <c r="H19" s="10" t="s">
        <v>40</v>
      </c>
    </row>
    <row r="20" spans="1:8">
      <c r="A20" s="4">
        <v>1.8839999999999999</v>
      </c>
      <c r="B20" s="10">
        <f>A20</f>
        <v>1.8839999999999999</v>
      </c>
      <c r="C20" s="4">
        <v>-0.86180000000000001</v>
      </c>
      <c r="D20" s="10">
        <f>C20</f>
        <v>-0.86180000000000001</v>
      </c>
      <c r="E20" s="4">
        <v>1.37</v>
      </c>
      <c r="F20" s="10" t="s">
        <v>40</v>
      </c>
      <c r="G20" s="4">
        <v>-3.9624000000000001</v>
      </c>
      <c r="H20" s="10">
        <f>G20</f>
        <v>-3.9624000000000001</v>
      </c>
    </row>
    <row r="21" spans="1:8">
      <c r="A21" s="4">
        <v>2.1920000000000002</v>
      </c>
      <c r="B21" s="4">
        <f>AVERAGE(A21:A22)</f>
        <v>2.1950000000000003</v>
      </c>
      <c r="C21" s="4">
        <v>-0.86429999999999996</v>
      </c>
      <c r="D21" s="4">
        <f>AVERAGE(C21:C22)</f>
        <v>-0.86914999999999998</v>
      </c>
      <c r="E21" s="4">
        <v>1.7030000000000001</v>
      </c>
      <c r="F21" s="4">
        <f>AVERAGE(E21)</f>
        <v>1.7030000000000001</v>
      </c>
      <c r="G21" s="4">
        <v>-4.0038999999999998</v>
      </c>
      <c r="H21" s="4">
        <f>AVERAGE(G21:G22)</f>
        <v>-4.0002499999999994</v>
      </c>
    </row>
    <row r="22" spans="1:8">
      <c r="A22" s="4">
        <v>2.198</v>
      </c>
      <c r="C22" s="4">
        <v>-0.874</v>
      </c>
      <c r="E22" s="4">
        <v>2.036</v>
      </c>
      <c r="G22" s="4">
        <v>-3.9965999999999999</v>
      </c>
    </row>
    <row r="23" spans="1:8">
      <c r="A23" s="4">
        <v>2.52</v>
      </c>
      <c r="B23" s="4">
        <f>AVERAGE(A23:A24)</f>
        <v>2.5229999999999997</v>
      </c>
      <c r="C23" s="4">
        <v>-0.88619999999999999</v>
      </c>
      <c r="D23" s="4">
        <f>AVERAGE(C23:C24)</f>
        <v>-0.874</v>
      </c>
      <c r="E23" s="4">
        <v>2.0489999999999999</v>
      </c>
      <c r="F23" s="4">
        <f>AVERAGE(E22:E24)</f>
        <v>2.0463333333333331</v>
      </c>
      <c r="G23" s="4">
        <v>-3.9965999999999999</v>
      </c>
      <c r="H23" s="4">
        <f>AVERAGE(G23:G24)</f>
        <v>-3.9916999999999998</v>
      </c>
    </row>
    <row r="24" spans="1:8">
      <c r="A24" s="4">
        <v>2.5259999999999998</v>
      </c>
      <c r="C24" s="4">
        <v>-0.86180000000000001</v>
      </c>
      <c r="E24" s="4">
        <v>2.0539999999999998</v>
      </c>
      <c r="G24" s="4">
        <v>-3.9868000000000001</v>
      </c>
    </row>
    <row r="25" spans="1:8">
      <c r="A25" s="4">
        <v>2.8359999999999999</v>
      </c>
      <c r="B25" s="4">
        <f>AVERAGE(A25:A27)</f>
        <v>2.8490000000000002</v>
      </c>
      <c r="C25" s="4">
        <v>-0.92290000000000005</v>
      </c>
      <c r="D25" s="4">
        <f>AVERAGE(C25:C27)</f>
        <v>-0.90006666666666657</v>
      </c>
      <c r="E25" s="4">
        <v>2.3559999999999999</v>
      </c>
      <c r="F25" s="4">
        <f>AVERAGE(E25:E28)</f>
        <v>2.36625</v>
      </c>
      <c r="G25" s="4">
        <v>-3.9746000000000001</v>
      </c>
      <c r="H25" s="4">
        <f>AVERAGE(G25:G27)</f>
        <v>-3.9933333333333336</v>
      </c>
    </row>
    <row r="26" spans="1:8">
      <c r="A26" s="4">
        <v>2.85</v>
      </c>
      <c r="C26" s="4">
        <v>-0.91059999999999997</v>
      </c>
      <c r="E26" s="4">
        <v>2.3610000000000002</v>
      </c>
      <c r="G26" s="4">
        <v>-4.0015000000000001</v>
      </c>
    </row>
    <row r="27" spans="1:8">
      <c r="A27" s="4">
        <v>2.8610000000000002</v>
      </c>
      <c r="C27" s="4">
        <v>-0.86670000000000003</v>
      </c>
      <c r="E27" s="4">
        <v>2.3679999999999999</v>
      </c>
      <c r="G27" s="4">
        <v>-4.0038999999999998</v>
      </c>
    </row>
    <row r="28" spans="1:8">
      <c r="A28" s="4">
        <v>3.2029999999999998</v>
      </c>
      <c r="B28" s="4">
        <f>AVERAGE(A28:A32)</f>
        <v>3.2153999999999998</v>
      </c>
      <c r="C28" s="4">
        <v>-0.88619999999999999</v>
      </c>
      <c r="D28" s="4">
        <f>AVERAGE(C28:C30)</f>
        <v>-0.86996666666666667</v>
      </c>
      <c r="E28" s="4">
        <v>2.38</v>
      </c>
      <c r="F28" s="4">
        <f>AVERAGE(E29:E31)</f>
        <v>2.6809999999999996</v>
      </c>
      <c r="G28" s="4">
        <v>-3.8353999999999999</v>
      </c>
      <c r="H28" s="4">
        <f>AVERAGE(G28:G30)</f>
        <v>-3.9184333333333332</v>
      </c>
    </row>
    <row r="29" spans="1:8">
      <c r="A29" s="4">
        <v>3.2090000000000001</v>
      </c>
      <c r="C29" s="4">
        <v>-0.86429999999999996</v>
      </c>
      <c r="E29" s="4">
        <v>2.6680000000000001</v>
      </c>
      <c r="G29" s="4">
        <v>-3.9331</v>
      </c>
    </row>
    <row r="30" spans="1:8">
      <c r="A30" s="4">
        <v>3.2160000000000002</v>
      </c>
      <c r="C30" s="4">
        <v>-0.85940000000000005</v>
      </c>
      <c r="E30" s="4">
        <v>2.6819999999999999</v>
      </c>
      <c r="G30" s="4">
        <v>-3.9868000000000001</v>
      </c>
    </row>
    <row r="31" spans="1:8">
      <c r="A31" s="4">
        <v>3.2229999999999999</v>
      </c>
      <c r="C31" s="4">
        <v>-0.85940000000000005</v>
      </c>
      <c r="D31" s="4">
        <f>AVERAGE(C31:C32)</f>
        <v>-0.90454999999999997</v>
      </c>
      <c r="E31" s="4">
        <v>2.6930000000000001</v>
      </c>
      <c r="G31" s="4">
        <v>-3.9722</v>
      </c>
      <c r="H31" s="4">
        <f>AVERAGE(G31:G32)</f>
        <v>-3.9843999999999999</v>
      </c>
    </row>
    <row r="32" spans="1:8">
      <c r="A32" s="4">
        <v>3.226</v>
      </c>
      <c r="C32" s="4">
        <v>-0.94969999999999999</v>
      </c>
      <c r="E32" s="4">
        <v>3.0270000000000001</v>
      </c>
      <c r="G32" s="4">
        <v>-3.9965999999999999</v>
      </c>
    </row>
    <row r="33" spans="1:8">
      <c r="A33" s="4">
        <v>3.5619999999999998</v>
      </c>
      <c r="B33" s="4">
        <f>AVERAGE(A33:A35)</f>
        <v>3.579333333333333</v>
      </c>
      <c r="C33" s="4">
        <v>-0.90329999999999999</v>
      </c>
      <c r="D33" s="4">
        <f>AVERAGE(C33:C35)</f>
        <v>-0.8805333333333335</v>
      </c>
      <c r="E33" s="4">
        <v>3.0339999999999998</v>
      </c>
      <c r="F33" s="4">
        <f>AVERAGE(E32:E35)</f>
        <v>3.03925</v>
      </c>
      <c r="G33" s="4">
        <v>-3.9965999999999999</v>
      </c>
      <c r="H33" s="4">
        <f>AVERAGE(G33:G35)</f>
        <v>-3.9713666666666665</v>
      </c>
    </row>
    <row r="34" spans="1:8">
      <c r="A34" s="4">
        <v>3.577</v>
      </c>
      <c r="B34" s="10" t="s">
        <v>40</v>
      </c>
      <c r="C34" s="4">
        <v>-0.85940000000000005</v>
      </c>
      <c r="D34" s="10" t="s">
        <v>40</v>
      </c>
      <c r="E34" s="4">
        <v>3.044</v>
      </c>
      <c r="F34" s="10" t="s">
        <v>40</v>
      </c>
      <c r="G34" s="4">
        <v>-3.9624000000000001</v>
      </c>
      <c r="H34" s="10" t="s">
        <v>40</v>
      </c>
    </row>
    <row r="35" spans="1:8">
      <c r="A35" s="4">
        <v>3.5990000000000002</v>
      </c>
      <c r="B35" s="10" t="s">
        <v>40</v>
      </c>
      <c r="C35" s="4">
        <v>-0.87890000000000001</v>
      </c>
      <c r="D35" s="10" t="s">
        <v>40</v>
      </c>
      <c r="E35" s="4">
        <v>3.052</v>
      </c>
      <c r="F35" s="10" t="s">
        <v>40</v>
      </c>
      <c r="G35" s="4">
        <v>-3.9550999999999998</v>
      </c>
      <c r="H35" s="10" t="s">
        <v>40</v>
      </c>
    </row>
    <row r="36" spans="1:8">
      <c r="A36" s="4">
        <v>3.9239999999999999</v>
      </c>
      <c r="B36" s="4">
        <f>AVERAGE(A36:A40)</f>
        <v>3.9322000000000004</v>
      </c>
      <c r="C36" s="4">
        <v>-0.85940000000000005</v>
      </c>
      <c r="D36" s="4">
        <f>AVERAGE(C36:C37)</f>
        <v>-0.85940000000000005</v>
      </c>
      <c r="E36" s="4">
        <v>3.3769999999999998</v>
      </c>
      <c r="F36" s="4">
        <f>AVERAGE(E36:E39)</f>
        <v>3.3884999999999996</v>
      </c>
      <c r="G36" s="4">
        <v>-4.0038999999999998</v>
      </c>
      <c r="H36" s="4">
        <f>AVERAGE(G36:G37)</f>
        <v>-3.9977999999999998</v>
      </c>
    </row>
    <row r="37" spans="1:8">
      <c r="A37" s="4">
        <v>3.927</v>
      </c>
      <c r="B37" s="10" t="s">
        <v>40</v>
      </c>
      <c r="C37" s="4">
        <v>-0.85940000000000005</v>
      </c>
      <c r="D37" s="10" t="s">
        <v>40</v>
      </c>
      <c r="E37" s="4">
        <v>3.3839999999999999</v>
      </c>
      <c r="F37" s="10" t="s">
        <v>40</v>
      </c>
      <c r="G37" s="4">
        <v>-3.9916999999999998</v>
      </c>
      <c r="H37" s="10" t="s">
        <v>40</v>
      </c>
    </row>
    <row r="38" spans="1:8">
      <c r="A38" s="4">
        <v>3.93</v>
      </c>
      <c r="B38" s="10" t="s">
        <v>40</v>
      </c>
      <c r="C38" s="4">
        <v>-0.86429999999999996</v>
      </c>
      <c r="D38" s="10" t="s">
        <v>40</v>
      </c>
      <c r="E38" s="4">
        <v>3.391</v>
      </c>
      <c r="F38" s="10" t="s">
        <v>40</v>
      </c>
      <c r="G38" s="4">
        <v>-3.9771000000000001</v>
      </c>
      <c r="H38" s="10" t="s">
        <v>40</v>
      </c>
    </row>
    <row r="39" spans="1:8">
      <c r="A39" s="4">
        <v>3.9369999999999998</v>
      </c>
      <c r="B39" s="10" t="s">
        <v>40</v>
      </c>
      <c r="C39" s="4">
        <v>-0.85940000000000005</v>
      </c>
      <c r="D39" s="10" t="s">
        <v>40</v>
      </c>
      <c r="E39" s="4">
        <v>3.4020000000000001</v>
      </c>
      <c r="F39" s="10" t="s">
        <v>40</v>
      </c>
      <c r="G39" s="4">
        <v>-3.9941</v>
      </c>
      <c r="H39" s="10" t="s">
        <v>40</v>
      </c>
    </row>
    <row r="40" spans="1:8">
      <c r="A40" s="4">
        <v>3.9430000000000001</v>
      </c>
      <c r="B40" s="10" t="s">
        <v>40</v>
      </c>
      <c r="C40" s="4">
        <v>-0.87649999999999995</v>
      </c>
      <c r="D40" s="10" t="s">
        <v>40</v>
      </c>
      <c r="E40" s="4">
        <v>3.7450000000000001</v>
      </c>
      <c r="G40" s="4">
        <v>-3.9672999999999998</v>
      </c>
      <c r="H40" s="10" t="s">
        <v>40</v>
      </c>
    </row>
    <row r="41" spans="1:8">
      <c r="A41" s="4">
        <v>4.2720000000000002</v>
      </c>
      <c r="B41" s="4">
        <f>AVERAGE(A41:A43)</f>
        <v>4.3840000000000003</v>
      </c>
      <c r="C41" s="4">
        <v>-0.91310000000000002</v>
      </c>
      <c r="D41" s="4">
        <f>AVERAGE(C41:C42)</f>
        <v>-0.88870000000000005</v>
      </c>
      <c r="E41" s="4">
        <v>3.7549999999999999</v>
      </c>
      <c r="F41" s="4">
        <f>AVERAGE(E40:E42)</f>
        <v>3.7526666666666664</v>
      </c>
      <c r="G41" s="4">
        <v>-3.9990000000000001</v>
      </c>
      <c r="H41" s="4">
        <f>AVERAGE(G41:G42)</f>
        <v>-3.9929000000000001</v>
      </c>
    </row>
    <row r="42" spans="1:8">
      <c r="A42" s="4">
        <v>4.2859999999999996</v>
      </c>
      <c r="B42" s="10" t="s">
        <v>40</v>
      </c>
      <c r="C42" s="4">
        <v>-0.86429999999999996</v>
      </c>
      <c r="D42" s="10" t="s">
        <v>40</v>
      </c>
      <c r="E42" s="4">
        <v>3.758</v>
      </c>
      <c r="F42" s="10" t="s">
        <v>40</v>
      </c>
      <c r="G42" s="4">
        <v>-3.9868000000000001</v>
      </c>
      <c r="H42" s="10" t="s">
        <v>40</v>
      </c>
    </row>
    <row r="43" spans="1:8">
      <c r="A43" s="4">
        <v>4.5940000000000003</v>
      </c>
      <c r="B43" s="4">
        <f>AVERAGE(A43:A45)</f>
        <v>4.6026666666666669</v>
      </c>
      <c r="C43" s="4">
        <v>-0.86180000000000001</v>
      </c>
      <c r="D43" s="4">
        <f>AVERAGE(C43:C45)</f>
        <v>-0.86830000000000007</v>
      </c>
      <c r="E43" s="4">
        <v>3.7629999999999999</v>
      </c>
      <c r="G43" s="4">
        <v>-3.9941</v>
      </c>
      <c r="H43" s="4">
        <f>AVERAGE(G43:G45)</f>
        <v>-3.9941</v>
      </c>
    </row>
    <row r="44" spans="1:8">
      <c r="A44" s="4">
        <v>4.601</v>
      </c>
      <c r="B44" s="10" t="s">
        <v>40</v>
      </c>
      <c r="C44" s="4">
        <v>-0.8569</v>
      </c>
      <c r="D44" s="10" t="s">
        <v>40</v>
      </c>
      <c r="E44" s="4">
        <v>3.77</v>
      </c>
      <c r="F44" s="10" t="s">
        <v>40</v>
      </c>
      <c r="G44" s="4">
        <v>-3.9819</v>
      </c>
      <c r="H44" s="10" t="s">
        <v>40</v>
      </c>
    </row>
    <row r="45" spans="1:8">
      <c r="A45" s="4">
        <v>4.6130000000000004</v>
      </c>
      <c r="B45" s="10" t="s">
        <v>40</v>
      </c>
      <c r="C45" s="4">
        <v>-0.88619999999999999</v>
      </c>
      <c r="D45" s="10" t="s">
        <v>40</v>
      </c>
      <c r="E45" s="4">
        <v>4.0949999999999998</v>
      </c>
      <c r="F45" s="10" t="s">
        <v>40</v>
      </c>
      <c r="G45" s="4">
        <v>-4.0063000000000004</v>
      </c>
      <c r="H45" s="10" t="s">
        <v>40</v>
      </c>
    </row>
    <row r="46" spans="1:8">
      <c r="A46" s="4">
        <v>4.6189999999999998</v>
      </c>
      <c r="B46" s="10" t="s">
        <v>40</v>
      </c>
      <c r="C46" s="4">
        <v>-0.85940000000000005</v>
      </c>
      <c r="D46" s="10" t="s">
        <v>40</v>
      </c>
      <c r="E46" s="4">
        <v>4.1020000000000003</v>
      </c>
      <c r="F46" s="10" t="s">
        <v>40</v>
      </c>
      <c r="G46" s="4">
        <v>-4.0087999999999999</v>
      </c>
      <c r="H46" s="10" t="s">
        <v>40</v>
      </c>
    </row>
    <row r="47" spans="1:8">
      <c r="A47" s="4">
        <v>4.9359999999999999</v>
      </c>
      <c r="B47" s="4">
        <f>AVERAGE(A47:A49)</f>
        <v>4.9456666666666669</v>
      </c>
      <c r="C47" s="4">
        <v>-0.86429999999999996</v>
      </c>
      <c r="D47" s="4">
        <f>AVERAGE(C47:C49)</f>
        <v>-0.86669999999999991</v>
      </c>
      <c r="E47" s="4">
        <v>4.1050000000000004</v>
      </c>
      <c r="F47" s="4">
        <f>AVERAGE(E45:E49)</f>
        <v>4.1055999999999999</v>
      </c>
      <c r="G47" s="4">
        <v>-3.9916999999999998</v>
      </c>
      <c r="H47" s="4">
        <f>AVERAGE(G47:G49)</f>
        <v>-3.9974000000000003</v>
      </c>
    </row>
    <row r="48" spans="1:8">
      <c r="A48" s="4">
        <v>4.9480000000000004</v>
      </c>
      <c r="B48" s="10" t="s">
        <v>40</v>
      </c>
      <c r="C48" s="4">
        <v>-0.87890000000000001</v>
      </c>
      <c r="D48" s="10" t="s">
        <v>40</v>
      </c>
      <c r="E48" s="4">
        <v>4.1100000000000003</v>
      </c>
      <c r="F48" s="10" t="s">
        <v>40</v>
      </c>
      <c r="G48" s="4">
        <v>-4.0038999999999998</v>
      </c>
      <c r="H48" s="10" t="s">
        <v>40</v>
      </c>
    </row>
    <row r="49" spans="1:8">
      <c r="A49" s="4">
        <v>4.9530000000000003</v>
      </c>
      <c r="B49" s="10" t="s">
        <v>40</v>
      </c>
      <c r="C49" s="4">
        <v>-0.8569</v>
      </c>
      <c r="D49" s="10" t="s">
        <v>40</v>
      </c>
      <c r="E49" s="4">
        <v>4.1159999999999997</v>
      </c>
      <c r="F49" s="10" t="s">
        <v>40</v>
      </c>
      <c r="G49" s="4">
        <v>-3.9965999999999999</v>
      </c>
      <c r="H49" s="10" t="s">
        <v>40</v>
      </c>
    </row>
    <row r="50" spans="1:8">
      <c r="A50" s="4" t="s">
        <v>34</v>
      </c>
      <c r="E50" s="4">
        <v>4.4320000000000004</v>
      </c>
      <c r="F50" s="4">
        <f>AVERAGE(E50:E53)</f>
        <v>4.4414999999999996</v>
      </c>
      <c r="G50" s="4">
        <v>-3.8965000000000001</v>
      </c>
      <c r="H50" s="4">
        <f>AVERAGE(G50:G52)</f>
        <v>-3.9697000000000009</v>
      </c>
    </row>
    <row r="51" spans="1:8">
      <c r="E51" s="4">
        <v>4.4370000000000003</v>
      </c>
      <c r="F51" s="10" t="s">
        <v>40</v>
      </c>
      <c r="G51" s="4">
        <v>-4.0063000000000004</v>
      </c>
      <c r="H51" s="10" t="s">
        <v>40</v>
      </c>
    </row>
    <row r="52" spans="1:8">
      <c r="E52" s="4">
        <v>4.4459999999999997</v>
      </c>
      <c r="F52" s="10" t="s">
        <v>40</v>
      </c>
      <c r="G52" s="4">
        <v>-4.0063000000000004</v>
      </c>
      <c r="H52" s="10" t="s">
        <v>40</v>
      </c>
    </row>
    <row r="53" spans="1:8">
      <c r="E53" s="4">
        <v>4.4509999999999996</v>
      </c>
      <c r="F53" s="10" t="s">
        <v>40</v>
      </c>
      <c r="G53" s="4">
        <v>-3.9941</v>
      </c>
      <c r="H53" s="10" t="s">
        <v>40</v>
      </c>
    </row>
    <row r="54" spans="1:8">
      <c r="E54" s="4">
        <v>4.7679999999999998</v>
      </c>
      <c r="F54" s="4">
        <f>E54</f>
        <v>4.7679999999999998</v>
      </c>
      <c r="G54" s="4">
        <v>-4.0063000000000004</v>
      </c>
      <c r="H54" s="4">
        <f>G54</f>
        <v>-4.0063000000000004</v>
      </c>
    </row>
  </sheetData>
  <mergeCells count="2">
    <mergeCell ref="A4:D4"/>
    <mergeCell ref="E4:H4"/>
  </mergeCells>
  <pageMargins left="0.7" right="0.7" top="0.75" bottom="0.75" header="0.3" footer="0.3"/>
  <pageSetup orientation="portrait" r:id="rId1"/>
  <ignoredErrors>
    <ignoredError sqref="B8 D6 F6 H6 D8 F8 H8 B10 D10 F10 H10 D21 H21 D23 H23 D31 H31 D36 H36 B41 D41 H41 B43 D43 H43 B47 D47 H47 H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Rotation</vt:lpstr>
      <vt:lpstr>N of Gas</vt:lpstr>
      <vt:lpstr>Regression of N</vt:lpstr>
      <vt:lpstr>MinMax for Data1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Lane</dc:creator>
  <cp:lastModifiedBy>Michael Lane</cp:lastModifiedBy>
  <dcterms:created xsi:type="dcterms:W3CDTF">2012-07-24T22:37:11Z</dcterms:created>
  <dcterms:modified xsi:type="dcterms:W3CDTF">2012-08-19T17:11:58Z</dcterms:modified>
</cp:coreProperties>
</file>