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Eq" sheetId="3" r:id="rId2"/>
  </sheets>
  <calcPr calcId="125725"/>
</workbook>
</file>

<file path=xl/calcChain.xml><?xml version="1.0" encoding="utf-8"?>
<calcChain xmlns="http://schemas.openxmlformats.org/spreadsheetml/2006/main">
  <c r="K11" i="1"/>
  <c r="D11"/>
  <c r="F11" s="1"/>
  <c r="H11" s="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F31" s="1"/>
  <c r="H31" s="1"/>
  <c r="I31" s="1"/>
  <c r="D32"/>
  <c r="D33"/>
  <c r="F33" s="1"/>
  <c r="H33" s="1"/>
  <c r="I33" s="1"/>
  <c r="J33" s="1"/>
  <c r="D34"/>
  <c r="D35"/>
  <c r="F35" s="1"/>
  <c r="H35" s="1"/>
  <c r="I35" s="1"/>
  <c r="J35" s="1"/>
  <c r="D36"/>
  <c r="D37"/>
  <c r="D38"/>
  <c r="D39"/>
  <c r="D40"/>
  <c r="D41"/>
  <c r="D42"/>
  <c r="D43"/>
  <c r="F43" s="1"/>
  <c r="H43" s="1"/>
  <c r="I43" s="1"/>
  <c r="J43" s="1"/>
  <c r="D44"/>
  <c r="D45"/>
  <c r="D46"/>
  <c r="D47"/>
  <c r="F47" s="1"/>
  <c r="H47" s="1"/>
  <c r="I47" s="1"/>
  <c r="D48"/>
  <c r="D49"/>
  <c r="D50"/>
  <c r="D51"/>
  <c r="D52"/>
  <c r="D53"/>
  <c r="D54"/>
  <c r="D55"/>
  <c r="F55" s="1"/>
  <c r="H55" s="1"/>
  <c r="I55" s="1"/>
  <c r="J55" s="1"/>
  <c r="D56"/>
  <c r="D57"/>
  <c r="B25"/>
  <c r="F25" s="1"/>
  <c r="H25" s="1"/>
  <c r="I25" s="1"/>
  <c r="J25" s="1"/>
  <c r="L25" s="1"/>
  <c r="C25"/>
  <c r="E25"/>
  <c r="K25"/>
  <c r="B26"/>
  <c r="C26"/>
  <c r="F26" s="1"/>
  <c r="H26" s="1"/>
  <c r="I26" s="1"/>
  <c r="J26" s="1"/>
  <c r="L26" s="1"/>
  <c r="K26"/>
  <c r="B27"/>
  <c r="C27"/>
  <c r="E27"/>
  <c r="K27"/>
  <c r="B28"/>
  <c r="C28"/>
  <c r="K28"/>
  <c r="B29"/>
  <c r="F29" s="1"/>
  <c r="H29" s="1"/>
  <c r="I29" s="1"/>
  <c r="J29" s="1"/>
  <c r="L29" s="1"/>
  <c r="C29"/>
  <c r="E29"/>
  <c r="K29"/>
  <c r="B22"/>
  <c r="F22" s="1"/>
  <c r="H22" s="1"/>
  <c r="I22" s="1"/>
  <c r="J22" s="1"/>
  <c r="L22" s="1"/>
  <c r="C22"/>
  <c r="E22"/>
  <c r="K22"/>
  <c r="B23"/>
  <c r="C23"/>
  <c r="K23"/>
  <c r="B24"/>
  <c r="C24"/>
  <c r="E24"/>
  <c r="K24"/>
  <c r="B17"/>
  <c r="C17"/>
  <c r="E17"/>
  <c r="K17"/>
  <c r="B18"/>
  <c r="C18"/>
  <c r="F18" s="1"/>
  <c r="H18" s="1"/>
  <c r="I18" s="1"/>
  <c r="J18" s="1"/>
  <c r="L18" s="1"/>
  <c r="K18"/>
  <c r="B19"/>
  <c r="C19"/>
  <c r="E19"/>
  <c r="K19"/>
  <c r="B20"/>
  <c r="C20"/>
  <c r="K20"/>
  <c r="B21"/>
  <c r="F21" s="1"/>
  <c r="H21" s="1"/>
  <c r="I21" s="1"/>
  <c r="J21" s="1"/>
  <c r="L21" s="1"/>
  <c r="C21"/>
  <c r="E21"/>
  <c r="K21"/>
  <c r="B12"/>
  <c r="F12" s="1"/>
  <c r="H12" s="1"/>
  <c r="I12" s="1"/>
  <c r="C12"/>
  <c r="E12" s="1"/>
  <c r="K12"/>
  <c r="B13"/>
  <c r="C13"/>
  <c r="F13" s="1"/>
  <c r="H13" s="1"/>
  <c r="I13" s="1"/>
  <c r="J13" s="1"/>
  <c r="E13"/>
  <c r="B14"/>
  <c r="F14" s="1"/>
  <c r="H14" s="1"/>
  <c r="I14" s="1"/>
  <c r="J14" s="1"/>
  <c r="L14" s="1"/>
  <c r="C14"/>
  <c r="E14" s="1"/>
  <c r="K14"/>
  <c r="B15"/>
  <c r="C15"/>
  <c r="E15"/>
  <c r="B16"/>
  <c r="F16" s="1"/>
  <c r="H16" s="1"/>
  <c r="I16" s="1"/>
  <c r="J16" s="1"/>
  <c r="L16" s="1"/>
  <c r="C16"/>
  <c r="E16" s="1"/>
  <c r="K16"/>
  <c r="B30"/>
  <c r="F30" s="1"/>
  <c r="H30" s="1"/>
  <c r="I30" s="1"/>
  <c r="C30"/>
  <c r="E30" s="1"/>
  <c r="K30"/>
  <c r="B31"/>
  <c r="C31"/>
  <c r="E31"/>
  <c r="B32"/>
  <c r="C32"/>
  <c r="E32" s="1"/>
  <c r="B33"/>
  <c r="C33"/>
  <c r="E33"/>
  <c r="B34"/>
  <c r="F34" s="1"/>
  <c r="H34" s="1"/>
  <c r="I34" s="1"/>
  <c r="C34"/>
  <c r="E34" s="1"/>
  <c r="K34"/>
  <c r="B35"/>
  <c r="C35"/>
  <c r="E35"/>
  <c r="B36"/>
  <c r="F36" s="1"/>
  <c r="H36" s="1"/>
  <c r="I36" s="1"/>
  <c r="C36"/>
  <c r="E36" s="1"/>
  <c r="K36"/>
  <c r="B37"/>
  <c r="C37"/>
  <c r="F37"/>
  <c r="H37" s="1"/>
  <c r="I37" s="1"/>
  <c r="J37" s="1"/>
  <c r="E37"/>
  <c r="B38"/>
  <c r="F38" s="1"/>
  <c r="H38" s="1"/>
  <c r="I38" s="1"/>
  <c r="C38"/>
  <c r="E38" s="1"/>
  <c r="K38"/>
  <c r="B39"/>
  <c r="C39"/>
  <c r="F39"/>
  <c r="H39" s="1"/>
  <c r="I39" s="1"/>
  <c r="E39"/>
  <c r="B40"/>
  <c r="C40"/>
  <c r="E40" s="1"/>
  <c r="B41"/>
  <c r="C41"/>
  <c r="F41"/>
  <c r="H41" s="1"/>
  <c r="I41" s="1"/>
  <c r="J41" s="1"/>
  <c r="E41"/>
  <c r="B42"/>
  <c r="F42" s="1"/>
  <c r="H42" s="1"/>
  <c r="I42" s="1"/>
  <c r="C42"/>
  <c r="E42" s="1"/>
  <c r="K42"/>
  <c r="B43"/>
  <c r="C43"/>
  <c r="E43"/>
  <c r="B44"/>
  <c r="C44"/>
  <c r="E44" s="1"/>
  <c r="K44"/>
  <c r="B45"/>
  <c r="C45"/>
  <c r="F45"/>
  <c r="H45" s="1"/>
  <c r="I45" s="1"/>
  <c r="J45" s="1"/>
  <c r="E45"/>
  <c r="B46"/>
  <c r="F46" s="1"/>
  <c r="H46" s="1"/>
  <c r="I46" s="1"/>
  <c r="C46"/>
  <c r="E46" s="1"/>
  <c r="K46"/>
  <c r="B47"/>
  <c r="C47"/>
  <c r="E47"/>
  <c r="B48"/>
  <c r="F48" s="1"/>
  <c r="H48" s="1"/>
  <c r="I48" s="1"/>
  <c r="C48"/>
  <c r="E48" s="1"/>
  <c r="B49"/>
  <c r="C49"/>
  <c r="F49"/>
  <c r="H49" s="1"/>
  <c r="I49" s="1"/>
  <c r="J49" s="1"/>
  <c r="E49"/>
  <c r="B50"/>
  <c r="F50" s="1"/>
  <c r="H50" s="1"/>
  <c r="I50" s="1"/>
  <c r="C50"/>
  <c r="E50" s="1"/>
  <c r="K50"/>
  <c r="B51"/>
  <c r="C51"/>
  <c r="F51"/>
  <c r="H51" s="1"/>
  <c r="I51" s="1"/>
  <c r="J51" s="1"/>
  <c r="E51"/>
  <c r="B52"/>
  <c r="C52"/>
  <c r="E52" s="1"/>
  <c r="F52"/>
  <c r="H52" s="1"/>
  <c r="I52" s="1"/>
  <c r="K52"/>
  <c r="B53"/>
  <c r="C53"/>
  <c r="F53"/>
  <c r="H53" s="1"/>
  <c r="I53" s="1"/>
  <c r="J53" s="1"/>
  <c r="E53"/>
  <c r="B54"/>
  <c r="F54" s="1"/>
  <c r="H54" s="1"/>
  <c r="I54" s="1"/>
  <c r="C54"/>
  <c r="E54" s="1"/>
  <c r="K54"/>
  <c r="B55"/>
  <c r="C55"/>
  <c r="E55"/>
  <c r="B56"/>
  <c r="F56" s="1"/>
  <c r="H56" s="1"/>
  <c r="I56" s="1"/>
  <c r="C56"/>
  <c r="E56" s="1"/>
  <c r="K56"/>
  <c r="B57"/>
  <c r="C57"/>
  <c r="F57"/>
  <c r="H57" s="1"/>
  <c r="I57" s="1"/>
  <c r="J57" s="1"/>
  <c r="E57"/>
  <c r="E11"/>
  <c r="B110"/>
  <c r="D110" s="1"/>
  <c r="C110"/>
  <c r="E110" s="1"/>
  <c r="B11"/>
  <c r="C11"/>
  <c r="Q9"/>
  <c r="Q8"/>
  <c r="F23" l="1"/>
  <c r="H23" s="1"/>
  <c r="I23" s="1"/>
  <c r="J23" s="1"/>
  <c r="L23" s="1"/>
  <c r="F27"/>
  <c r="H27" s="1"/>
  <c r="I27" s="1"/>
  <c r="J27" s="1"/>
  <c r="L27" s="1"/>
  <c r="F40"/>
  <c r="H40" s="1"/>
  <c r="I40" s="1"/>
  <c r="F19"/>
  <c r="H19" s="1"/>
  <c r="I19" s="1"/>
  <c r="J19" s="1"/>
  <c r="L19" s="1"/>
  <c r="F28"/>
  <c r="H28" s="1"/>
  <c r="I28" s="1"/>
  <c r="J28" s="1"/>
  <c r="L28" s="1"/>
  <c r="F44"/>
  <c r="H44" s="1"/>
  <c r="I44" s="1"/>
  <c r="F32"/>
  <c r="H32" s="1"/>
  <c r="I32" s="1"/>
  <c r="F15"/>
  <c r="H15" s="1"/>
  <c r="I15" s="1"/>
  <c r="J15" s="1"/>
  <c r="F20"/>
  <c r="H20" s="1"/>
  <c r="I20" s="1"/>
  <c r="J20" s="1"/>
  <c r="L20" s="1"/>
  <c r="F17"/>
  <c r="H17" s="1"/>
  <c r="I17" s="1"/>
  <c r="J17" s="1"/>
  <c r="L17" s="1"/>
  <c r="F24"/>
  <c r="H24" s="1"/>
  <c r="I24" s="1"/>
  <c r="J24" s="1"/>
  <c r="L24" s="1"/>
  <c r="E28"/>
  <c r="E26"/>
  <c r="E23"/>
  <c r="E20"/>
  <c r="E18"/>
  <c r="L15"/>
  <c r="K48"/>
  <c r="J47"/>
  <c r="K40"/>
  <c r="J39"/>
  <c r="K32"/>
  <c r="J31"/>
  <c r="L31" s="1"/>
  <c r="K15"/>
  <c r="K13"/>
  <c r="L13" s="1"/>
  <c r="J12"/>
  <c r="L12" s="1"/>
  <c r="L55"/>
  <c r="K57"/>
  <c r="L57" s="1"/>
  <c r="K55"/>
  <c r="K53"/>
  <c r="L53" s="1"/>
  <c r="K51"/>
  <c r="L51" s="1"/>
  <c r="K49"/>
  <c r="L49" s="1"/>
  <c r="K47"/>
  <c r="K45"/>
  <c r="L45" s="1"/>
  <c r="K43"/>
  <c r="L43" s="1"/>
  <c r="K41"/>
  <c r="L41" s="1"/>
  <c r="K39"/>
  <c r="K37"/>
  <c r="L37" s="1"/>
  <c r="K35"/>
  <c r="L35" s="1"/>
  <c r="K33"/>
  <c r="L33" s="1"/>
  <c r="K31"/>
  <c r="J56"/>
  <c r="L56" s="1"/>
  <c r="J54"/>
  <c r="L54" s="1"/>
  <c r="J52"/>
  <c r="L52" s="1"/>
  <c r="J50"/>
  <c r="L50" s="1"/>
  <c r="J48"/>
  <c r="L48" s="1"/>
  <c r="J46"/>
  <c r="L46" s="1"/>
  <c r="J44"/>
  <c r="L44" s="1"/>
  <c r="J42"/>
  <c r="L42" s="1"/>
  <c r="J40"/>
  <c r="J38"/>
  <c r="L38" s="1"/>
  <c r="J36"/>
  <c r="L36" s="1"/>
  <c r="J34"/>
  <c r="L34" s="1"/>
  <c r="J32"/>
  <c r="L32" s="1"/>
  <c r="J30"/>
  <c r="L30" s="1"/>
  <c r="F110"/>
  <c r="H110" s="1"/>
  <c r="I110" s="1"/>
  <c r="J110" s="1"/>
  <c r="K110"/>
  <c r="Q7"/>
  <c r="Q5"/>
  <c r="I11" l="1"/>
  <c r="J11" s="1"/>
  <c r="L11" s="1"/>
  <c r="L40"/>
  <c r="L39"/>
  <c r="L47"/>
  <c r="L110"/>
</calcChain>
</file>

<file path=xl/sharedStrings.xml><?xml version="1.0" encoding="utf-8"?>
<sst xmlns="http://schemas.openxmlformats.org/spreadsheetml/2006/main" count="54" uniqueCount="51">
  <si>
    <t>Energy limit =</t>
  </si>
  <si>
    <t>MeV</t>
  </si>
  <si>
    <t>τ0 at "ground" =</t>
  </si>
  <si>
    <t>g/cm^3</t>
  </si>
  <si>
    <t>&lt;-- a guess</t>
  </si>
  <si>
    <t xml:space="preserve">ρ of device = </t>
  </si>
  <si>
    <t>p of concrete =</t>
  </si>
  <si>
    <t>p of brick =</t>
  </si>
  <si>
    <t>p of steel =</t>
  </si>
  <si>
    <t>x (in cm)</t>
  </si>
  <si>
    <t>&lt;-- path length</t>
  </si>
  <si>
    <t>h0 =</t>
  </si>
  <si>
    <t>C0=</t>
  </si>
  <si>
    <t>Mean for lab 7.8</t>
  </si>
  <si>
    <t>t'= \alpha/\rho \ln(\sqrt{{\gamma }^{2} - 1}+\gamma) =\alpha/\rho =\ln(\sqrt{{\rho/\alpha*h }^{2} - 1}+\rho/\alpha*h )</t>
  </si>
  <si>
    <t>p0</t>
  </si>
  <si>
    <t xml:space="preserve">m </t>
  </si>
  <si>
    <t>g/cm^2</t>
  </si>
  <si>
    <t>Me/c^2</t>
  </si>
  <si>
    <t>A     =</t>
  </si>
  <si>
    <t>\begin{bmatrix} E_{limit} = E_2 = 160 eV \equiv  E\overset{\mathrm{?}} \geq E_{limit} \\ \gamma_2 = 1.5 \simeq  H  \simeq \beta = .8 \simeq s=\rho x=10cm\\ E_1 = E_2 + \Delta E \\ \gamma_1 = E_1/mc^2\\ H = 15 km - h\\  h_0 = 8.5 km\\  p_0 = 1030 g/cm^2\\ C_0 = 2 MeV/g/cm^2 \\ \end{bmatrix}</t>
  </si>
  <si>
    <t>\begin{bmatrix} E=mc^2\gamma ; \partial E = mc^2\partial \gamma\ \\ \end{bmatrix}</t>
  </si>
  <si>
    <t>What is E1? Do we really need the momentum curve for E1 or E2?</t>
  </si>
  <si>
    <t>Send curves</t>
  </si>
  <si>
    <t>Variable (m)</t>
  </si>
  <si>
    <t>H (cm)</t>
  </si>
  <si>
    <t>Mev/(g/cm^2)</t>
  </si>
  <si>
    <t>μmass =</t>
  </si>
  <si>
    <t>ρ (g/cm3)</t>
  </si>
  <si>
    <t xml:space="preserve">ρ/A * c </t>
  </si>
  <si>
    <t>E2</t>
  </si>
  <si>
    <t>ΔE (MeV)</t>
  </si>
  <si>
    <t>eV</t>
  </si>
  <si>
    <t>1/c units ?</t>
  </si>
  <si>
    <t>E1 (eV)</t>
  </si>
  <si>
    <t>γ_1</t>
  </si>
  <si>
    <t>t'_1</t>
  </si>
  <si>
    <t>t'_2</t>
  </si>
  <si>
    <t>t'</t>
  </si>
  <si>
    <t>Dallas</t>
  </si>
  <si>
    <t>Here</t>
  </si>
  <si>
    <t>(in seconds if the units were right)</t>
  </si>
  <si>
    <t>h = elevation</t>
  </si>
  <si>
    <t>&lt;--- at our height</t>
  </si>
  <si>
    <t>Line about momentum &lt;-- what is it saying? Is it for E1 or E2?</t>
  </si>
  <si>
    <t>What is H? It seems to vary in the paragraphs.</t>
  </si>
  <si>
    <t>&lt;-- off by 100 at least</t>
  </si>
  <si>
    <t>V</t>
  </si>
  <si>
    <t>|</t>
  </si>
  <si>
    <t>The units for this is really bother me</t>
  </si>
  <si>
    <t>What is it?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</si>
</sst>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00"/>
    <numFmt numFmtId="174" formatCode="0.0E+00"/>
    <numFmt numFmtId="176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17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314325</xdr:colOff>
      <xdr:row>15</xdr:row>
      <xdr:rowOff>133350</xdr:rowOff>
    </xdr:from>
    <xdr:to>
      <xdr:col>20</xdr:col>
      <xdr:colOff>114300</xdr:colOff>
      <xdr:row>17</xdr:row>
      <xdr:rowOff>38100</xdr:rowOff>
    </xdr:to>
    <xdr:pic>
      <xdr:nvPicPr>
        <xdr:cNvPr id="1025" name="Picture 1" descr="http://www.numberempire.com/equation.render?\inline%20t'=%20\alpha/\rho%20\ln(\sqrt%7b%7b\gamma%20%7d%5e%7b2%7d%20-%201%7d+\gamma)%20=\alpha/\rho%20=\ln(\sqrt%7b%7b\rho/\alpha*h%20%7d%5e%7b2%7d%20-%201%7d+\rho/\alpha*h%2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05875" y="2990850"/>
          <a:ext cx="4362450" cy="28575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152400</xdr:colOff>
      <xdr:row>17</xdr:row>
      <xdr:rowOff>76200</xdr:rowOff>
    </xdr:from>
    <xdr:to>
      <xdr:col>16</xdr:col>
      <xdr:colOff>485775</xdr:colOff>
      <xdr:row>18</xdr:row>
      <xdr:rowOff>38100</xdr:rowOff>
    </xdr:to>
    <xdr:pic>
      <xdr:nvPicPr>
        <xdr:cNvPr id="1026" name="Picture 2" descr="http://www.numberempire.com/equation.render?\inline%20A%20=%20m*c/C_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63150" y="3314700"/>
          <a:ext cx="9429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219075</xdr:colOff>
      <xdr:row>10</xdr:row>
      <xdr:rowOff>114300</xdr:rowOff>
    </xdr:from>
    <xdr:to>
      <xdr:col>18</xdr:col>
      <xdr:colOff>85725</xdr:colOff>
      <xdr:row>16</xdr:row>
      <xdr:rowOff>9525</xdr:rowOff>
    </xdr:to>
    <xdr:pic>
      <xdr:nvPicPr>
        <xdr:cNvPr id="7" name="Picture 3" descr="http://latex.codecogs.com/gif.latex?\begin%7bbmatrix%7d%20p%20=%20p_%7b0%7d*exp(-h/h_%7b0%7d)\\%20\rho%20=%20-\frac%7b\partial%20p%7d%7b\partial%20h%7d%20=%20\frac%7bp_%7b0%7d%7d%7bh_%7b0%7d%7d*exp(-h/h_%7b0%7d)\\%20H%20=%2015%20km%20-%20h\\%20\Delta%20E%20\approx%20C_0*H*\rho_%7bair%7d;%20\partial%20E%20\approx%20\rho%20C_%7b0%7d\partial%20h%20\\%20E=mc%5e2\gamma%20;%20\partial%20E%20=%20mc%5e2\partial%20\gamma\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2019300"/>
          <a:ext cx="2600325" cy="10382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18</xdr:row>
      <xdr:rowOff>47625</xdr:rowOff>
    </xdr:from>
    <xdr:to>
      <xdr:col>17</xdr:col>
      <xdr:colOff>733425</xdr:colOff>
      <xdr:row>27</xdr:row>
      <xdr:rowOff>114300</xdr:rowOff>
    </xdr:to>
    <xdr:pic>
      <xdr:nvPicPr>
        <xdr:cNvPr id="1028" name="Picture 4" descr="http://latex.codecogs.com/gif.latex?\begin%7bbmatrix%7d%20E_%7blimit%7d%20=%20E_2%20=%20160%20eV%20\equiv%20E\overset%7b\mathrm%7b?%7d%7d%20\geq%20E_%7blimit%7d%20\\%20\gamma_2%20=%201.5%20\simeq%20H%20\simeq%20\beta%20=%20.8%20\simeq%20s=\rho%20x=10cm\\%20E_1%20=%20E_2%20+%20\Delta%20E%20\\%20\gamma_1%20=%20E_1/mc%5e2\\%20H%20=%2015%20km%20-%20h\\%20h_0%20=%208.5%20km\\%20p_0%20=%201030%20g/cm%5e2\\%20C_0%20=%202%20MeV/g/cm%5e2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601075" y="3476625"/>
          <a:ext cx="3171825" cy="1781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523875</xdr:colOff>
      <xdr:row>28</xdr:row>
      <xdr:rowOff>76200</xdr:rowOff>
    </xdr:from>
    <xdr:to>
      <xdr:col>22</xdr:col>
      <xdr:colOff>571500</xdr:colOff>
      <xdr:row>36</xdr:row>
      <xdr:rowOff>19050</xdr:rowOff>
    </xdr:to>
    <xdr:pic>
      <xdr:nvPicPr>
        <xdr:cNvPr id="1030" name="Picture 6" descr="http://latex.codecogs.com/gif.latex?\begin%7bmatrix%7d%20\partial%20\gamma%20mc%5e2%20=%20\partial%20h%20\rho%20C_0%20\therefore%20\gamma%20=%20\rho%20C_0/mc%5e2(h)%20\therefore%20\gamma_1%20=?=%20\rho%20C_0/mc%5e2*H\\%20160eV/(105.658Me/c%5e2)*c%5e2=1.5%20=%20\gamma_2%20\neq%20C_0*\Delta%20s%20/%20mc%5e2%20=%202%20MeV/g/cm%5e2*10g/cm%5e2%20/mc%5e2%20\\%20\therefore%20H%20=%20dh%20=?=%2015%20-%20h%20\text%7b%20h%20and%20H%20is%20different%20in%20different%20paragraph%20sections%7d\\%20E_1%20=%20E_2%20+%20\Delta%20E%20=%20E_2%20+%20(H*\rho%20C_0)%20\\%20\gamma_1%20=%20E_1/mc%5e2%20\therefore%20\gamma_1=%20(E_2%20+%20(H*\rho%20C_0))/mc%5e2%20\\%20t'%20=%20A/\rho(t'_2%20-%20ln(2\sqrt%7b(\gamma_1%5e2%20-1)%7d+%20\gamma_1))\\%20A%20=%20mc/C_0%20\\%20\end%7bmatrix%7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05825" y="5410200"/>
          <a:ext cx="6448425" cy="1466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0"/>
  <sheetViews>
    <sheetView tabSelected="1" topLeftCell="A5" workbookViewId="0">
      <selection activeCell="O8" sqref="O8"/>
    </sheetView>
  </sheetViews>
  <sheetFormatPr defaultRowHeight="15"/>
  <cols>
    <col min="1" max="1" width="15" customWidth="1"/>
    <col min="2" max="2" width="13" customWidth="1"/>
    <col min="3" max="3" width="9.28515625" bestFit="1" customWidth="1"/>
    <col min="4" max="4" width="10.28515625" customWidth="1"/>
    <col min="6" max="6" width="9.140625" customWidth="1"/>
    <col min="7" max="7" width="8.140625" customWidth="1"/>
    <col min="8" max="15" width="9.140625" customWidth="1"/>
    <col min="17" max="17" width="9.28515625" bestFit="1" customWidth="1"/>
    <col min="18" max="18" width="13.42578125" customWidth="1"/>
    <col min="21" max="21" width="9.28515625" bestFit="1" customWidth="1"/>
  </cols>
  <sheetData>
    <row r="1" spans="1:22">
      <c r="C1" s="5" t="s">
        <v>14</v>
      </c>
    </row>
    <row r="3" spans="1:22">
      <c r="P3" t="s">
        <v>15</v>
      </c>
      <c r="Q3">
        <v>1030</v>
      </c>
      <c r="R3" t="s">
        <v>17</v>
      </c>
      <c r="S3" t="s">
        <v>0</v>
      </c>
      <c r="U3">
        <v>160</v>
      </c>
      <c r="V3" t="s">
        <v>1</v>
      </c>
    </row>
    <row r="4" spans="1:22">
      <c r="P4" s="1" t="s">
        <v>12</v>
      </c>
      <c r="Q4">
        <v>2</v>
      </c>
      <c r="R4" t="s">
        <v>26</v>
      </c>
      <c r="S4" s="1" t="s">
        <v>5</v>
      </c>
      <c r="U4">
        <v>1.032</v>
      </c>
      <c r="V4" t="s">
        <v>3</v>
      </c>
    </row>
    <row r="5" spans="1:22">
      <c r="P5" t="s">
        <v>11</v>
      </c>
      <c r="Q5">
        <f>8.4*10^3</f>
        <v>8400</v>
      </c>
      <c r="R5" t="s">
        <v>16</v>
      </c>
      <c r="S5" t="s">
        <v>6</v>
      </c>
      <c r="U5">
        <v>2.4</v>
      </c>
      <c r="V5" t="s">
        <v>3</v>
      </c>
    </row>
    <row r="6" spans="1:22">
      <c r="A6" t="s">
        <v>13</v>
      </c>
      <c r="H6" s="1"/>
      <c r="I6" s="1"/>
      <c r="J6" s="1"/>
      <c r="K6" s="1"/>
      <c r="L6" s="1"/>
      <c r="M6" s="1"/>
      <c r="N6" s="1"/>
      <c r="O6" s="1"/>
      <c r="P6" t="s">
        <v>9</v>
      </c>
      <c r="Q6" t="s">
        <v>10</v>
      </c>
      <c r="S6" t="s">
        <v>7</v>
      </c>
      <c r="U6">
        <v>1.9219999999999999</v>
      </c>
    </row>
    <row r="7" spans="1:22">
      <c r="E7" s="9" t="s">
        <v>49</v>
      </c>
      <c r="H7" s="4"/>
      <c r="P7" s="1" t="s">
        <v>27</v>
      </c>
      <c r="Q7">
        <f>105.658</f>
        <v>105.658</v>
      </c>
      <c r="R7" t="s">
        <v>18</v>
      </c>
      <c r="S7" t="s">
        <v>8</v>
      </c>
      <c r="U7">
        <v>7.85</v>
      </c>
      <c r="V7" t="s">
        <v>3</v>
      </c>
    </row>
    <row r="8" spans="1:22">
      <c r="E8" t="s">
        <v>48</v>
      </c>
      <c r="F8" s="9" t="s">
        <v>50</v>
      </c>
      <c r="H8" s="4"/>
      <c r="J8" s="17" t="s">
        <v>41</v>
      </c>
      <c r="K8" s="17"/>
      <c r="L8" s="17"/>
      <c r="M8" s="17"/>
      <c r="P8" s="1" t="s">
        <v>19</v>
      </c>
      <c r="Q8">
        <f>Q7/(Q4)</f>
        <v>52.829000000000001</v>
      </c>
      <c r="R8" s="9" t="s">
        <v>33</v>
      </c>
      <c r="S8" s="1" t="s">
        <v>2</v>
      </c>
      <c r="U8" s="2">
        <v>2.1969999999999999E-6</v>
      </c>
      <c r="V8" t="s">
        <v>4</v>
      </c>
    </row>
    <row r="9" spans="1:22">
      <c r="E9" t="s">
        <v>47</v>
      </c>
      <c r="J9" t="s">
        <v>40</v>
      </c>
      <c r="K9" t="s">
        <v>39</v>
      </c>
      <c r="L9" t="s">
        <v>46</v>
      </c>
      <c r="P9" s="14" t="s">
        <v>30</v>
      </c>
      <c r="Q9">
        <f xml:space="preserve"> 160</f>
        <v>160</v>
      </c>
      <c r="R9" t="s">
        <v>32</v>
      </c>
    </row>
    <row r="10" spans="1:22">
      <c r="A10" s="3" t="s">
        <v>24</v>
      </c>
      <c r="B10" s="3" t="s">
        <v>42</v>
      </c>
      <c r="C10" s="6" t="s">
        <v>28</v>
      </c>
      <c r="D10" s="3" t="s">
        <v>25</v>
      </c>
      <c r="E10" s="12" t="s">
        <v>29</v>
      </c>
      <c r="F10" s="13" t="s">
        <v>31</v>
      </c>
      <c r="G10" s="3" t="s">
        <v>30</v>
      </c>
      <c r="H10" s="14" t="s">
        <v>34</v>
      </c>
      <c r="I10" s="14" t="s">
        <v>35</v>
      </c>
      <c r="J10" s="14" t="s">
        <v>36</v>
      </c>
      <c r="K10" s="14" t="s">
        <v>37</v>
      </c>
      <c r="L10" s="14" t="s">
        <v>38</v>
      </c>
      <c r="M10" s="14"/>
      <c r="N10" s="14"/>
      <c r="O10" s="14"/>
      <c r="Q10" s="6"/>
    </row>
    <row r="11" spans="1:22">
      <c r="A11">
        <v>0</v>
      </c>
      <c r="B11">
        <f>320+A11</f>
        <v>320</v>
      </c>
      <c r="C11" s="10">
        <f>$Q$3/($Q$5*100)*EXP(A11/($Q$5))</f>
        <v>1.2261904761904762E-3</v>
      </c>
      <c r="D11">
        <f>15*10^5-B11*100</f>
        <v>1468000</v>
      </c>
      <c r="E11" s="11">
        <f>C11/($Q$8/(2.98*10^8))</f>
        <v>6916.7457628340853</v>
      </c>
      <c r="F11" s="16">
        <f>C11*D11*$Q$4</f>
        <v>3600.0952380952381</v>
      </c>
      <c r="G11" s="15">
        <v>160</v>
      </c>
      <c r="H11" s="16">
        <f>G11+F11</f>
        <v>3760.0952380952381</v>
      </c>
      <c r="I11">
        <f>H11/$Q$7</f>
        <v>35.587416363126671</v>
      </c>
      <c r="J11" s="10">
        <f>($Q$7/3*10^-8)/(($C$12*$Q$4))*LN(2*SQRT(I11^2-1)+I11)</f>
        <v>6.6674030815550239E-4</v>
      </c>
      <c r="K11" s="10">
        <f>($Q$7/3*10^-8)/(($C$12*$Q$4))*LN(2*SQRT((1.5)^2-1)+(1.5))</f>
        <v>1.8816317394061425E-4</v>
      </c>
      <c r="L11" s="10">
        <f>J11-K11</f>
        <v>4.7857713421488811E-4</v>
      </c>
      <c r="M11" t="s">
        <v>43</v>
      </c>
      <c r="N11" s="10"/>
    </row>
    <row r="12" spans="1:22">
      <c r="A12">
        <v>50</v>
      </c>
      <c r="B12">
        <f t="shared" ref="B12:B29" si="0">320+A12</f>
        <v>370</v>
      </c>
      <c r="C12" s="10">
        <f t="shared" ref="C12:C16" si="1">$Q$3/($Q$5*100)*EXP(A12/($Q$5))</f>
        <v>1.233510994667987E-3</v>
      </c>
      <c r="D12">
        <f t="shared" ref="D12:D57" si="2">15*10^5-B12*100</f>
        <v>1463000</v>
      </c>
      <c r="E12" s="11">
        <f t="shared" ref="E12:E16" si="3">C12/($Q$8/(2.98*10^8))</f>
        <v>6958.0396451013676</v>
      </c>
      <c r="F12" s="16">
        <f t="shared" ref="F12:F16" si="4">C12*D12*$Q$4</f>
        <v>3609.2531703985301</v>
      </c>
      <c r="G12" s="15">
        <v>160</v>
      </c>
      <c r="H12" s="16">
        <f t="shared" ref="H12:H16" si="5">G12+F12</f>
        <v>3769.2531703985301</v>
      </c>
      <c r="I12">
        <f t="shared" ref="I12:I29" si="6">H12/$Q$7</f>
        <v>35.674091601189971</v>
      </c>
      <c r="J12" s="10">
        <f t="shared" ref="J12:J29" si="7">($Q$7/3*10^-8)/(($C$12*$Q$4))*LN(2*SQRT(I12^2-1)+I12)</f>
        <v>6.6708776950530563E-4</v>
      </c>
      <c r="K12" s="10">
        <f t="shared" ref="K12:K29" si="8">($Q$7/3*10^-8)/(($C$12*$Q$4))*LN(2*SQRT((1.5)^2-1)+(1.5))</f>
        <v>1.8816317394061425E-4</v>
      </c>
      <c r="L12" s="10">
        <f t="shared" ref="L12:L16" si="9">J12-K12</f>
        <v>4.7892459556469135E-4</v>
      </c>
      <c r="M12" s="10"/>
      <c r="N12" s="10"/>
    </row>
    <row r="13" spans="1:22">
      <c r="A13">
        <v>100</v>
      </c>
      <c r="B13">
        <f t="shared" si="0"/>
        <v>420</v>
      </c>
      <c r="C13" s="10">
        <f t="shared" si="1"/>
        <v>1.2408752176039978E-3</v>
      </c>
      <c r="D13">
        <f t="shared" si="2"/>
        <v>1458000</v>
      </c>
      <c r="E13" s="11">
        <f t="shared" si="3"/>
        <v>6999.5800572789822</v>
      </c>
      <c r="F13" s="16">
        <f t="shared" si="4"/>
        <v>3618.3921345332574</v>
      </c>
      <c r="G13" s="15">
        <v>160</v>
      </c>
      <c r="H13" s="16">
        <f t="shared" si="5"/>
        <v>3778.3921345332574</v>
      </c>
      <c r="I13">
        <f t="shared" si="6"/>
        <v>35.760587315047204</v>
      </c>
      <c r="J13" s="10">
        <f t="shared" si="7"/>
        <v>6.6743366973517524E-4</v>
      </c>
      <c r="K13" s="10">
        <f t="shared" si="8"/>
        <v>1.8816317394061425E-4</v>
      </c>
      <c r="L13" s="10">
        <f t="shared" si="9"/>
        <v>4.7927049579456096E-4</v>
      </c>
      <c r="M13" s="10"/>
      <c r="N13" s="10"/>
    </row>
    <row r="14" spans="1:22">
      <c r="A14">
        <v>150</v>
      </c>
      <c r="B14">
        <f t="shared" si="0"/>
        <v>470</v>
      </c>
      <c r="C14" s="10">
        <f t="shared" si="1"/>
        <v>1.2482834059198758E-3</v>
      </c>
      <c r="D14">
        <f t="shared" si="2"/>
        <v>1453000</v>
      </c>
      <c r="E14" s="11">
        <f t="shared" si="3"/>
        <v>7041.3684711829301</v>
      </c>
      <c r="F14" s="16">
        <f t="shared" si="4"/>
        <v>3627.5115776031594</v>
      </c>
      <c r="G14" s="15">
        <v>160</v>
      </c>
      <c r="H14" s="16">
        <f t="shared" si="5"/>
        <v>3787.5115776031594</v>
      </c>
      <c r="I14">
        <f t="shared" si="6"/>
        <v>35.846898271812442</v>
      </c>
      <c r="J14" s="10">
        <f t="shared" si="7"/>
        <v>6.677779972832918E-4</v>
      </c>
      <c r="K14" s="10">
        <f t="shared" si="8"/>
        <v>1.8816317394061425E-4</v>
      </c>
      <c r="L14" s="10">
        <f t="shared" si="9"/>
        <v>4.7961482334267752E-4</v>
      </c>
      <c r="M14" s="10"/>
      <c r="N14" s="10"/>
    </row>
    <row r="15" spans="1:22">
      <c r="A15">
        <v>200</v>
      </c>
      <c r="B15">
        <f t="shared" si="0"/>
        <v>520</v>
      </c>
      <c r="C15" s="10">
        <f t="shared" si="1"/>
        <v>1.2557358220947239E-3</v>
      </c>
      <c r="D15">
        <f t="shared" si="2"/>
        <v>1448000</v>
      </c>
      <c r="E15" s="11">
        <f t="shared" si="3"/>
        <v>7083.4063674161489</v>
      </c>
      <c r="F15" s="16">
        <f t="shared" si="4"/>
        <v>3636.6109407863205</v>
      </c>
      <c r="G15" s="15">
        <v>160</v>
      </c>
      <c r="H15" s="16">
        <f t="shared" si="5"/>
        <v>3796.6109407863205</v>
      </c>
      <c r="I15">
        <f t="shared" si="6"/>
        <v>35.933019182516425</v>
      </c>
      <c r="J15" s="10">
        <f t="shared" si="7"/>
        <v>6.6812074047449316E-4</v>
      </c>
      <c r="K15" s="10">
        <f t="shared" si="8"/>
        <v>1.8816317394061425E-4</v>
      </c>
      <c r="L15" s="10">
        <f t="shared" si="9"/>
        <v>4.7995756653387888E-4</v>
      </c>
      <c r="M15" s="10"/>
      <c r="N15" s="10"/>
    </row>
    <row r="16" spans="1:22">
      <c r="A16">
        <v>250</v>
      </c>
      <c r="B16">
        <f t="shared" si="0"/>
        <v>570</v>
      </c>
      <c r="C16" s="10">
        <f t="shared" si="1"/>
        <v>1.2632327301746789E-3</v>
      </c>
      <c r="D16">
        <f t="shared" si="2"/>
        <v>1443000</v>
      </c>
      <c r="E16" s="11">
        <f t="shared" si="3"/>
        <v>7125.6952354209679</v>
      </c>
      <c r="F16" s="16">
        <f t="shared" si="4"/>
        <v>3645.6896592841235</v>
      </c>
      <c r="G16" s="15">
        <v>160</v>
      </c>
      <c r="H16" s="16">
        <f t="shared" si="5"/>
        <v>3805.6896592841235</v>
      </c>
      <c r="I16">
        <f t="shared" si="6"/>
        <v>36.018944701623383</v>
      </c>
      <c r="J16" s="10">
        <f t="shared" si="7"/>
        <v>6.6846188751869099E-4</v>
      </c>
      <c r="K16" s="10">
        <f t="shared" si="8"/>
        <v>1.8816317394061425E-4</v>
      </c>
      <c r="L16" s="10">
        <f t="shared" si="9"/>
        <v>4.8029871357807672E-4</v>
      </c>
      <c r="M16" s="10"/>
      <c r="N16" s="10"/>
    </row>
    <row r="17" spans="1:23">
      <c r="A17">
        <v>300</v>
      </c>
      <c r="B17">
        <f>320+A17</f>
        <v>620</v>
      </c>
      <c r="C17" s="10">
        <f>$Q$3/($Q$5*100)*EXP(A17/($Q$5))</f>
        <v>1.2707743957822693E-3</v>
      </c>
      <c r="D17">
        <f t="shared" si="2"/>
        <v>1438000</v>
      </c>
      <c r="E17" s="11">
        <f>C17/($Q$8/(2.98*10^8))</f>
        <v>7168.2365735318908</v>
      </c>
      <c r="F17" s="16">
        <f>C17*D17*$Q$4</f>
        <v>3654.7471622698063</v>
      </c>
      <c r="G17" s="15">
        <v>160</v>
      </c>
      <c r="H17" s="16">
        <f>G17+F17</f>
        <v>3814.7471622698063</v>
      </c>
      <c r="I17">
        <f>H17/$Q$7</f>
        <v>36.104669426544191</v>
      </c>
      <c r="J17" s="10">
        <f>($Q$7/3*10^-8)/(($C$12*$Q$4))*LN(2*SQRT(I17^2-1)+I17)</f>
        <v>6.6880142650925902E-4</v>
      </c>
      <c r="K17" s="10">
        <f>($Q$7/3*10^-8)/(($C$12*$Q$4))*LN(2*SQRT((1.5)^2-1)+(1.5))</f>
        <v>1.8816317394061425E-4</v>
      </c>
      <c r="L17" s="10">
        <f>J17-K17</f>
        <v>4.8063825256864474E-4</v>
      </c>
      <c r="M17" s="10"/>
      <c r="N17" s="10"/>
    </row>
    <row r="18" spans="1:23">
      <c r="A18">
        <v>350</v>
      </c>
      <c r="B18">
        <f t="shared" si="0"/>
        <v>670</v>
      </c>
      <c r="C18" s="10">
        <f t="shared" ref="C18:C21" si="10">$Q$3/($Q$5*100)*EXP(A18/($Q$5))</f>
        <v>1.2783610861258228E-3</v>
      </c>
      <c r="D18">
        <f t="shared" si="2"/>
        <v>1433000</v>
      </c>
      <c r="E18" s="11">
        <f t="shared" ref="E18:E21" si="11">C18/($Q$8/(2.98*10^8))</f>
        <v>7211.0318890286626</v>
      </c>
      <c r="F18" s="16">
        <f t="shared" ref="F18:F21" si="12">C18*D18*$Q$4</f>
        <v>3663.782872836608</v>
      </c>
      <c r="G18" s="15">
        <v>160</v>
      </c>
      <c r="H18" s="16">
        <f t="shared" ref="H18:H21" si="13">G18+F18</f>
        <v>3823.782872836608</v>
      </c>
      <c r="I18">
        <f t="shared" si="6"/>
        <v>36.190187897145584</v>
      </c>
      <c r="J18" s="10">
        <f t="shared" si="7"/>
        <v>6.6913934542139344E-4</v>
      </c>
      <c r="K18" s="10">
        <f t="shared" si="8"/>
        <v>1.8816317394061425E-4</v>
      </c>
      <c r="L18" s="10">
        <f t="shared" ref="L18:L21" si="14">J18-K18</f>
        <v>4.8097617148077916E-4</v>
      </c>
      <c r="M18" s="10"/>
      <c r="N18" s="10"/>
    </row>
    <row r="19" spans="1:23">
      <c r="A19">
        <v>400</v>
      </c>
      <c r="B19">
        <f t="shared" si="0"/>
        <v>720</v>
      </c>
      <c r="C19" s="10">
        <f t="shared" si="10"/>
        <v>1.2859930700089377E-3</v>
      </c>
      <c r="D19">
        <f t="shared" si="2"/>
        <v>1428000</v>
      </c>
      <c r="E19" s="11">
        <f t="shared" si="11"/>
        <v>7254.0826981896962</v>
      </c>
      <c r="F19" s="16">
        <f t="shared" si="12"/>
        <v>3672.796207945526</v>
      </c>
      <c r="G19" s="15">
        <v>160</v>
      </c>
      <c r="H19" s="16">
        <f t="shared" si="13"/>
        <v>3832.796207945526</v>
      </c>
      <c r="I19">
        <f t="shared" si="6"/>
        <v>36.275494595255694</v>
      </c>
      <c r="J19" s="10">
        <f t="shared" si="7"/>
        <v>6.6947563211044547E-4</v>
      </c>
      <c r="K19" s="10">
        <f t="shared" si="8"/>
        <v>1.8816317394061425E-4</v>
      </c>
      <c r="L19" s="10">
        <f t="shared" si="14"/>
        <v>4.8131245816983119E-4</v>
      </c>
      <c r="M19" s="10"/>
      <c r="N19" s="10"/>
    </row>
    <row r="20" spans="1:23">
      <c r="A20">
        <v>450</v>
      </c>
      <c r="B20">
        <f t="shared" si="0"/>
        <v>770</v>
      </c>
      <c r="C20" s="10">
        <f t="shared" si="10"/>
        <v>1.2936706178400049E-3</v>
      </c>
      <c r="D20">
        <f t="shared" si="2"/>
        <v>1423000</v>
      </c>
      <c r="E20" s="11">
        <f t="shared" si="11"/>
        <v>7297.3905263457846</v>
      </c>
      <c r="F20" s="16">
        <f t="shared" si="12"/>
        <v>3681.7865783726538</v>
      </c>
      <c r="G20" s="15">
        <v>160</v>
      </c>
      <c r="H20" s="16">
        <f t="shared" si="13"/>
        <v>3841.7865783726538</v>
      </c>
      <c r="I20">
        <f t="shared" si="6"/>
        <v>36.360583944165647</v>
      </c>
      <c r="J20" s="10">
        <f t="shared" si="7"/>
        <v>6.6981027431022543E-4</v>
      </c>
      <c r="K20" s="10">
        <f t="shared" si="8"/>
        <v>1.8816317394061425E-4</v>
      </c>
      <c r="L20" s="10">
        <f t="shared" si="14"/>
        <v>4.8164710036961115E-4</v>
      </c>
      <c r="M20" s="10"/>
      <c r="N20" s="10"/>
    </row>
    <row r="21" spans="1:23">
      <c r="A21">
        <v>500</v>
      </c>
      <c r="B21">
        <f t="shared" si="0"/>
        <v>820</v>
      </c>
      <c r="C21" s="10">
        <f t="shared" si="10"/>
        <v>1.3013940016417883E-3</v>
      </c>
      <c r="D21">
        <f t="shared" si="2"/>
        <v>1418000</v>
      </c>
      <c r="E21" s="11">
        <f t="shared" si="11"/>
        <v>7340.9569079341445</v>
      </c>
      <c r="F21" s="16">
        <f t="shared" si="12"/>
        <v>3690.7533886561114</v>
      </c>
      <c r="G21" s="15">
        <v>160</v>
      </c>
      <c r="H21" s="16">
        <f t="shared" si="13"/>
        <v>3850.7533886561114</v>
      </c>
      <c r="I21">
        <f t="shared" si="6"/>
        <v>36.44545030812727</v>
      </c>
      <c r="J21" s="10">
        <f t="shared" si="7"/>
        <v>6.7014325963127611E-4</v>
      </c>
      <c r="K21" s="10">
        <f t="shared" si="8"/>
        <v>1.8816317394061425E-4</v>
      </c>
      <c r="L21" s="10">
        <f t="shared" si="14"/>
        <v>4.8198008569066183E-4</v>
      </c>
      <c r="M21" s="10"/>
      <c r="N21" s="10"/>
      <c r="W21" t="s">
        <v>23</v>
      </c>
    </row>
    <row r="22" spans="1:23">
      <c r="A22">
        <v>550</v>
      </c>
      <c r="B22">
        <f>320+A22</f>
        <v>870</v>
      </c>
      <c r="C22" s="10">
        <f>$Q$3/($Q$5*100)*EXP(A22/($Q$5))</f>
        <v>1.3091634950610639E-3</v>
      </c>
      <c r="D22">
        <f t="shared" si="2"/>
        <v>1413000</v>
      </c>
      <c r="E22" s="11">
        <f>C22/($Q$8/(2.98*10^8))</f>
        <v>7384.7833865527846</v>
      </c>
      <c r="F22" s="16">
        <f>C22*D22*$Q$4</f>
        <v>3699.6960370425663</v>
      </c>
      <c r="G22" s="15">
        <v>160</v>
      </c>
      <c r="H22" s="16">
        <f>G22+F22</f>
        <v>3859.6960370425663</v>
      </c>
      <c r="I22">
        <f>H22/$Q$7</f>
        <v>36.530087991846962</v>
      </c>
      <c r="J22" s="10">
        <f>($Q$7/3*10^-8)/(($C$12*$Q$4))*LN(2*SQRT(I22^2-1)+I22)</f>
        <v>6.7047457555911708E-4</v>
      </c>
      <c r="K22" s="10">
        <f>($Q$7/3*10^-8)/(($C$12*$Q$4))*LN(2*SQRT((1.5)^2-1)+(1.5))</f>
        <v>1.8816317394061425E-4</v>
      </c>
      <c r="L22" s="10">
        <f>J22-K22</f>
        <v>4.823114016185028E-4</v>
      </c>
      <c r="M22" s="10"/>
      <c r="N22" s="10"/>
    </row>
    <row r="23" spans="1:23">
      <c r="A23">
        <v>600</v>
      </c>
      <c r="B23">
        <f t="shared" si="0"/>
        <v>920</v>
      </c>
      <c r="C23" s="10">
        <f t="shared" ref="C23:C24" si="15">$Q$3/($Q$5*100)*EXP(A23/($Q$5))</f>
        <v>1.3169793733783151E-3</v>
      </c>
      <c r="D23">
        <f t="shared" si="2"/>
        <v>1408000</v>
      </c>
      <c r="E23" s="11">
        <f t="shared" ref="E23:E24" si="16">C23/($Q$8/(2.98*10^8))</f>
        <v>7428.8715150151984</v>
      </c>
      <c r="F23" s="16">
        <f t="shared" ref="F23:F24" si="17">C23*D23*$Q$4</f>
        <v>3708.613915433335</v>
      </c>
      <c r="G23" s="15">
        <v>160</v>
      </c>
      <c r="H23" s="16">
        <f t="shared" ref="H23:H24" si="18">G23+F23</f>
        <v>3868.613915433335</v>
      </c>
      <c r="I23">
        <f t="shared" si="6"/>
        <v>36.614491239975536</v>
      </c>
      <c r="J23" s="10">
        <f t="shared" si="7"/>
        <v>6.7080420945245776E-4</v>
      </c>
      <c r="K23" s="10">
        <f t="shared" si="8"/>
        <v>1.8816317394061425E-4</v>
      </c>
      <c r="L23" s="10">
        <f t="shared" ref="L23:L24" si="19">J23-K23</f>
        <v>4.8264103551184348E-4</v>
      </c>
      <c r="M23" s="10"/>
      <c r="N23" s="10"/>
    </row>
    <row r="24" spans="1:23">
      <c r="A24">
        <v>650</v>
      </c>
      <c r="B24">
        <f t="shared" si="0"/>
        <v>970</v>
      </c>
      <c r="C24" s="10">
        <f t="shared" si="15"/>
        <v>1.3248419135174858E-3</v>
      </c>
      <c r="D24">
        <f t="shared" si="2"/>
        <v>1403000</v>
      </c>
      <c r="E24" s="11">
        <f t="shared" si="16"/>
        <v>7473.2228554053791</v>
      </c>
      <c r="F24" s="16">
        <f t="shared" si="17"/>
        <v>3717.5064093300653</v>
      </c>
      <c r="G24" s="15">
        <v>160</v>
      </c>
      <c r="H24" s="16">
        <f t="shared" si="18"/>
        <v>3877.5064093300653</v>
      </c>
      <c r="I24">
        <f t="shared" si="6"/>
        <v>36.698654236594152</v>
      </c>
      <c r="J24" s="10">
        <f t="shared" si="7"/>
        <v>6.7113214854137924E-4</v>
      </c>
      <c r="K24" s="10">
        <f t="shared" si="8"/>
        <v>1.8816317394061425E-4</v>
      </c>
      <c r="L24" s="10">
        <f t="shared" si="19"/>
        <v>4.8296897460076496E-4</v>
      </c>
      <c r="M24" s="10"/>
      <c r="N24" s="10"/>
    </row>
    <row r="25" spans="1:23">
      <c r="A25">
        <v>700</v>
      </c>
      <c r="B25">
        <f>320+A25</f>
        <v>1020</v>
      </c>
      <c r="C25" s="10">
        <f>$Q$3/($Q$5*100)*EXP(A25/($Q$5))</f>
        <v>1.3327513940557926E-3</v>
      </c>
      <c r="D25">
        <f t="shared" si="2"/>
        <v>1398000</v>
      </c>
      <c r="E25" s="11">
        <f>C25/($Q$8/(2.98*10^8))</f>
        <v>7517.8389791331692</v>
      </c>
      <c r="F25" s="16">
        <f>C25*D25*$Q$4</f>
        <v>3726.372897779996</v>
      </c>
      <c r="G25" s="15">
        <v>160</v>
      </c>
      <c r="H25" s="16">
        <f>G25+F25</f>
        <v>3886.372897779996</v>
      </c>
      <c r="I25">
        <f>H25/$Q$7</f>
        <v>36.782571104696245</v>
      </c>
      <c r="J25" s="10">
        <f>($Q$7/3*10^-8)/(($C$12*$Q$4))*LN(2*SQRT(I25^2-1)+I25)</f>
        <v>6.7145837992548365E-4</v>
      </c>
      <c r="K25" s="10">
        <f>($Q$7/3*10^-8)/(($C$12*$Q$4))*LN(2*SQRT((1.5)^2-1)+(1.5))</f>
        <v>1.8816317394061425E-4</v>
      </c>
      <c r="L25" s="10">
        <f>J25-K25</f>
        <v>4.8329520598486937E-4</v>
      </c>
      <c r="M25" s="10"/>
      <c r="N25" s="10"/>
    </row>
    <row r="26" spans="1:23">
      <c r="A26">
        <v>750</v>
      </c>
      <c r="B26">
        <f t="shared" si="0"/>
        <v>1070</v>
      </c>
      <c r="C26" s="10">
        <f t="shared" ref="C26:C29" si="20">$Q$3/($Q$5*100)*EXP(A26/($Q$5))</f>
        <v>1.3407080952335941E-3</v>
      </c>
      <c r="D26">
        <f t="shared" si="2"/>
        <v>1393000</v>
      </c>
      <c r="E26" s="11">
        <f t="shared" ref="E26:E29" si="21">C26/($Q$8/(2.98*10^8))</f>
        <v>7562.7214669899313</v>
      </c>
      <c r="F26" s="16">
        <f t="shared" ref="F26:F29" si="22">C26*D26*$Q$4</f>
        <v>3735.2127533207931</v>
      </c>
      <c r="G26" s="15">
        <v>160</v>
      </c>
      <c r="H26" s="16">
        <f t="shared" ref="H26:H29" si="23">G26+F26</f>
        <v>3895.2127533207931</v>
      </c>
      <c r="I26">
        <f t="shared" si="6"/>
        <v>36.866235905665384</v>
      </c>
      <c r="J26" s="10">
        <f t="shared" si="7"/>
        <v>6.7178289057201132E-4</v>
      </c>
      <c r="K26" s="10">
        <f t="shared" si="8"/>
        <v>1.8816317394061425E-4</v>
      </c>
      <c r="L26" s="10">
        <f t="shared" ref="L26:L29" si="24">J26-K26</f>
        <v>4.8361971663139704E-4</v>
      </c>
      <c r="M26" s="10"/>
      <c r="N26" s="10"/>
    </row>
    <row r="27" spans="1:23">
      <c r="A27">
        <v>800</v>
      </c>
      <c r="B27">
        <f t="shared" si="0"/>
        <v>1120</v>
      </c>
      <c r="C27" s="10">
        <f t="shared" si="20"/>
        <v>1.3487122989643211E-3</v>
      </c>
      <c r="D27">
        <f t="shared" si="2"/>
        <v>1388000</v>
      </c>
      <c r="E27" s="11">
        <f t="shared" si="21"/>
        <v>7607.8719092045603</v>
      </c>
      <c r="F27" s="16">
        <f t="shared" si="22"/>
        <v>3744.0253419249557</v>
      </c>
      <c r="G27" s="15">
        <v>160</v>
      </c>
      <c r="H27" s="16">
        <f t="shared" si="23"/>
        <v>3904.0253419249557</v>
      </c>
      <c r="I27">
        <f t="shared" si="6"/>
        <v>36.949642638749133</v>
      </c>
      <c r="J27" s="10">
        <f t="shared" si="7"/>
        <v>6.7210566731392438E-4</v>
      </c>
      <c r="K27" s="10">
        <f t="shared" si="8"/>
        <v>1.8816317394061425E-4</v>
      </c>
      <c r="L27" s="10">
        <f t="shared" si="24"/>
        <v>4.839424933733101E-4</v>
      </c>
      <c r="M27" s="10"/>
      <c r="N27" s="10"/>
    </row>
    <row r="28" spans="1:23">
      <c r="A28">
        <v>850</v>
      </c>
      <c r="B28">
        <f t="shared" si="0"/>
        <v>1170</v>
      </c>
      <c r="C28" s="10">
        <f t="shared" si="20"/>
        <v>1.3567642888444649E-3</v>
      </c>
      <c r="D28">
        <f t="shared" si="2"/>
        <v>1383000</v>
      </c>
      <c r="E28" s="11">
        <f t="shared" si="21"/>
        <v>7653.291905499831</v>
      </c>
      <c r="F28" s="16">
        <f t="shared" si="22"/>
        <v>3752.81002294379</v>
      </c>
      <c r="G28" s="15">
        <v>160</v>
      </c>
      <c r="H28" s="16">
        <f t="shared" si="23"/>
        <v>3912.81002294379</v>
      </c>
      <c r="I28">
        <f t="shared" si="6"/>
        <v>37.032785240528781</v>
      </c>
      <c r="J28" s="10">
        <f t="shared" si="7"/>
        <v>6.7242669684795581E-4</v>
      </c>
      <c r="K28" s="10">
        <f t="shared" si="8"/>
        <v>1.8816317394061425E-4</v>
      </c>
      <c r="L28" s="10">
        <f t="shared" si="24"/>
        <v>4.8426352290734153E-4</v>
      </c>
      <c r="M28" s="10"/>
      <c r="N28" s="10"/>
    </row>
    <row r="29" spans="1:23">
      <c r="A29">
        <v>900</v>
      </c>
      <c r="B29">
        <f t="shared" si="0"/>
        <v>1220</v>
      </c>
      <c r="C29" s="10">
        <f t="shared" si="20"/>
        <v>1.3648643501636248E-3</v>
      </c>
      <c r="D29">
        <f t="shared" si="2"/>
        <v>1378000</v>
      </c>
      <c r="E29" s="11">
        <f t="shared" si="21"/>
        <v>7698.9830651490693</v>
      </c>
      <c r="F29" s="16">
        <f t="shared" si="22"/>
        <v>3761.5661490509501</v>
      </c>
      <c r="G29" s="15">
        <v>160</v>
      </c>
      <c r="H29" s="16">
        <f t="shared" si="23"/>
        <v>3921.5661490509501</v>
      </c>
      <c r="I29">
        <f t="shared" si="6"/>
        <v>37.115657584384998</v>
      </c>
      <c r="J29" s="10">
        <f t="shared" si="7"/>
        <v>6.7274596573262341E-4</v>
      </c>
      <c r="K29" s="10">
        <f t="shared" si="8"/>
        <v>1.8816317394061425E-4</v>
      </c>
      <c r="L29" s="10">
        <f t="shared" si="24"/>
        <v>4.8458279179200913E-4</v>
      </c>
      <c r="M29" s="10"/>
      <c r="N29" s="10"/>
    </row>
    <row r="30" spans="1:23">
      <c r="A30">
        <v>950</v>
      </c>
      <c r="B30">
        <f t="shared" ref="B13:B57" si="25">320+A30</f>
        <v>1270</v>
      </c>
      <c r="C30" s="10">
        <f t="shared" ref="C29:C35" si="26">$Q$3/($Q$5*100)*EXP(A30/($Q$5))</f>
        <v>1.3730127699146167E-3</v>
      </c>
      <c r="D30">
        <f t="shared" si="2"/>
        <v>1373000</v>
      </c>
      <c r="E30" s="11">
        <f t="shared" ref="E13:E57" si="27">C30/($Q$8/(2.98*10^8))</f>
        <v>7744.9470070331781</v>
      </c>
      <c r="F30" s="16">
        <f t="shared" ref="F29:F35" si="28">C30*D30*$Q$4</f>
        <v>3770.2930661855376</v>
      </c>
      <c r="G30" s="15">
        <v>160</v>
      </c>
      <c r="H30" s="16">
        <f t="shared" ref="H29:H35" si="29">G30+F30</f>
        <v>3930.2930661855376</v>
      </c>
      <c r="I30">
        <f>H30/$Q$7</f>
        <v>37.198253479959277</v>
      </c>
      <c r="J30" s="10">
        <f>($Q$7/3*10^-8)/(($C$12*$Q$4))*LN(2*SQRT(I30^2-1)+I30)</f>
        <v>6.7306346038620941E-4</v>
      </c>
      <c r="K30" s="10">
        <f>($Q$7/3*10^-8)/(($C$12*$Q$4))*LN(2*SQRT((1.5)^2-1)+(1.5))</f>
        <v>1.8816317394061425E-4</v>
      </c>
      <c r="L30" s="10">
        <f t="shared" ref="L29:L35" si="30">J30-K30</f>
        <v>4.8490028644559513E-4</v>
      </c>
      <c r="M30" s="10"/>
      <c r="N30" s="10"/>
    </row>
    <row r="31" spans="1:23">
      <c r="A31">
        <v>1000</v>
      </c>
      <c r="B31">
        <f t="shared" si="25"/>
        <v>1320</v>
      </c>
      <c r="C31" s="10">
        <f t="shared" si="26"/>
        <v>1.3812098368036411E-3</v>
      </c>
      <c r="D31">
        <f t="shared" si="2"/>
        <v>1368000</v>
      </c>
      <c r="E31" s="11">
        <f t="shared" si="27"/>
        <v>7791.185359697989</v>
      </c>
      <c r="F31" s="16">
        <f t="shared" si="28"/>
        <v>3778.9901134947622</v>
      </c>
      <c r="G31" s="15">
        <v>160</v>
      </c>
      <c r="H31" s="16">
        <f t="shared" si="29"/>
        <v>3938.9901134947622</v>
      </c>
      <c r="I31">
        <f>H31/$Q$7</f>
        <v>37.280566672611279</v>
      </c>
      <c r="J31" s="10">
        <f>($Q$7/3*10^-8)/(($C$12*$Q$4))*LN(2*SQRT(I31^2-1)+I31)</f>
        <v>6.7337916708470143E-4</v>
      </c>
      <c r="K31" s="10">
        <f>($Q$7/3*10^-8)/(($C$12*$Q$4))*LN(2*SQRT((1.5)^2-1)+(1.5))</f>
        <v>1.8816317394061425E-4</v>
      </c>
      <c r="L31" s="10">
        <f t="shared" si="30"/>
        <v>4.8521599314408715E-4</v>
      </c>
      <c r="M31" s="10"/>
      <c r="N31" s="10"/>
    </row>
    <row r="32" spans="1:23">
      <c r="A32">
        <v>1050</v>
      </c>
      <c r="B32">
        <f t="shared" si="25"/>
        <v>1370</v>
      </c>
      <c r="C32" s="10">
        <f t="shared" si="26"/>
        <v>1.3894558412605132E-3</v>
      </c>
      <c r="D32">
        <f t="shared" si="2"/>
        <v>1363000</v>
      </c>
      <c r="E32" s="11">
        <f t="shared" si="27"/>
        <v>7837.69976141197</v>
      </c>
      <c r="F32" s="16">
        <f t="shared" si="28"/>
        <v>3787.6566232761593</v>
      </c>
      <c r="G32" s="15">
        <v>160</v>
      </c>
      <c r="H32" s="16">
        <f t="shared" si="29"/>
        <v>3947.6566232761593</v>
      </c>
      <c r="I32">
        <f>H32/$Q$7</f>
        <v>37.362590842871903</v>
      </c>
      <c r="J32" s="10">
        <f>($Q$7/3*10^-8)/(($C$12*$Q$4))*LN(2*SQRT(I32^2-1)+I32)</f>
        <v>6.7369307195969867E-4</v>
      </c>
      <c r="K32" s="10">
        <f>($Q$7/3*10^-8)/(($C$12*$Q$4))*LN(2*SQRT((1.5)^2-1)+(1.5))</f>
        <v>1.8816317394061425E-4</v>
      </c>
      <c r="L32" s="10">
        <f t="shared" si="30"/>
        <v>4.8552989801908439E-4</v>
      </c>
      <c r="M32" s="10"/>
      <c r="N32" s="10"/>
    </row>
    <row r="33" spans="1:16">
      <c r="A33">
        <v>1100</v>
      </c>
      <c r="B33">
        <f t="shared" si="25"/>
        <v>1420</v>
      </c>
      <c r="C33" s="10">
        <f t="shared" si="26"/>
        <v>1.3977510754489516E-3</v>
      </c>
      <c r="D33">
        <f t="shared" si="2"/>
        <v>1358000</v>
      </c>
      <c r="E33" s="11">
        <f t="shared" si="27"/>
        <v>7884.4918602242633</v>
      </c>
      <c r="F33" s="16">
        <f t="shared" si="28"/>
        <v>3796.2919209193524</v>
      </c>
      <c r="G33" s="15">
        <v>160</v>
      </c>
      <c r="H33" s="16">
        <f t="shared" si="29"/>
        <v>3956.2919209193524</v>
      </c>
      <c r="I33">
        <f>H33/$Q$7</f>
        <v>37.444319605892147</v>
      </c>
      <c r="J33" s="10">
        <f>($Q$7/3*10^-8)/(($C$12*$Q$4))*LN(2*SQRT(I33^2-1)+I33)</f>
        <v>6.7400516099627803E-4</v>
      </c>
      <c r="K33" s="10">
        <f>($Q$7/3*10^-8)/(($C$12*$Q$4))*LN(2*SQRT((1.5)^2-1)+(1.5))</f>
        <v>1.8816317394061425E-4</v>
      </c>
      <c r="L33" s="10">
        <f t="shared" si="30"/>
        <v>4.8584198705566375E-4</v>
      </c>
      <c r="M33" s="10"/>
      <c r="N33" s="10"/>
    </row>
    <row r="34" spans="1:16">
      <c r="A34">
        <v>1150</v>
      </c>
      <c r="B34">
        <f t="shared" si="25"/>
        <v>1470</v>
      </c>
      <c r="C34" s="10">
        <f t="shared" si="26"/>
        <v>1.4060958332769314E-3</v>
      </c>
      <c r="D34">
        <f t="shared" si="2"/>
        <v>1353000</v>
      </c>
      <c r="E34" s="11">
        <f t="shared" si="27"/>
        <v>7931.5633140230848</v>
      </c>
      <c r="F34" s="16">
        <f t="shared" si="28"/>
        <v>3804.8953248473763</v>
      </c>
      <c r="G34" s="15">
        <v>160</v>
      </c>
      <c r="H34" s="16">
        <f t="shared" si="29"/>
        <v>3964.8953248473763</v>
      </c>
      <c r="I34">
        <f>H34/$Q$7</f>
        <v>37.525746510887735</v>
      </c>
      <c r="J34" s="10">
        <f>($Q$7/3*10^-8)/(($C$12*$Q$4))*LN(2*SQRT(I34^2-1)+I34)</f>
        <v>6.7431542003082217E-4</v>
      </c>
      <c r="K34" s="10">
        <f>($Q$7/3*10^-8)/(($C$12*$Q$4))*LN(2*SQRT((1.5)^2-1)+(1.5))</f>
        <v>1.8816317394061425E-4</v>
      </c>
      <c r="L34" s="10">
        <f t="shared" si="30"/>
        <v>4.8615224609020789E-4</v>
      </c>
      <c r="M34" s="10"/>
      <c r="N34" s="10"/>
    </row>
    <row r="35" spans="1:16">
      <c r="A35">
        <v>1200</v>
      </c>
      <c r="B35">
        <f t="shared" si="25"/>
        <v>1520</v>
      </c>
      <c r="C35" s="10">
        <f t="shared" si="26"/>
        <v>1.4144904104070963E-3</v>
      </c>
      <c r="D35">
        <f t="shared" si="2"/>
        <v>1348000</v>
      </c>
      <c r="E35" s="11">
        <f t="shared" si="27"/>
        <v>7978.9157905944603</v>
      </c>
      <c r="F35" s="16">
        <f t="shared" si="28"/>
        <v>3813.466146457532</v>
      </c>
      <c r="G35" s="15">
        <v>160</v>
      </c>
      <c r="H35" s="16">
        <f t="shared" si="29"/>
        <v>3973.466146457532</v>
      </c>
      <c r="I35">
        <f>H35/$Q$7</f>
        <v>37.606865040579343</v>
      </c>
      <c r="J35" s="10">
        <f>($Q$7/3*10^-8)/(($C$12*$Q$4))*LN(2*SQRT(I35^2-1)+I35)</f>
        <v>6.7462383474880801E-4</v>
      </c>
      <c r="K35" s="10">
        <f>($Q$7/3*10^-8)/(($C$12*$Q$4))*LN(2*SQRT((1.5)^2-1)+(1.5))</f>
        <v>1.8816317394061425E-4</v>
      </c>
      <c r="L35" s="10">
        <f t="shared" si="30"/>
        <v>4.8646066080819373E-4</v>
      </c>
      <c r="M35" s="10"/>
      <c r="N35" s="10"/>
    </row>
    <row r="36" spans="1:16">
      <c r="A36">
        <v>1250</v>
      </c>
      <c r="B36">
        <f>320+A36</f>
        <v>1570</v>
      </c>
      <c r="C36" s="10">
        <f>$Q$3/($Q$5*100)*EXP(A36/($Q$5))</f>
        <v>1.4229351042672356E-3</v>
      </c>
      <c r="D36">
        <f t="shared" si="2"/>
        <v>1343000</v>
      </c>
      <c r="E36" s="11">
        <f t="shared" si="27"/>
        <v>8026.5509676813153</v>
      </c>
      <c r="F36" s="16">
        <f>C36*D36*$Q$4</f>
        <v>3822.0036900617947</v>
      </c>
      <c r="G36" s="15">
        <v>160</v>
      </c>
      <c r="H36" s="16">
        <f>G36+F36</f>
        <v>3982.0036900617947</v>
      </c>
      <c r="I36">
        <f>H36/$Q$7</f>
        <v>37.687668610628585</v>
      </c>
      <c r="J36" s="10">
        <f>($Q$7/3*10^-8)/(($C$12*$Q$4))*LN(2*SQRT(I36^2-1)+I36)</f>
        <v>6.7493039068255414E-4</v>
      </c>
      <c r="K36" s="10">
        <f>($Q$7/3*10^-8)/(($C$12*$Q$4))*LN(2*SQRT((1.5)^2-1)+(1.5))</f>
        <v>1.8816317394061425E-4</v>
      </c>
      <c r="L36" s="10">
        <f>J36-K36</f>
        <v>4.8676721674193986E-4</v>
      </c>
      <c r="M36" s="10"/>
      <c r="N36" s="10"/>
    </row>
    <row r="37" spans="1:16">
      <c r="A37">
        <v>1300</v>
      </c>
      <c r="B37">
        <f t="shared" si="25"/>
        <v>1620</v>
      </c>
      <c r="C37" s="10">
        <f t="shared" ref="C37:C38" si="31">$Q$3/($Q$5*100)*EXP(A37/($Q$5))</f>
        <v>1.4314302140608212E-3</v>
      </c>
      <c r="D37">
        <f t="shared" si="2"/>
        <v>1338000</v>
      </c>
      <c r="E37" s="11">
        <f t="shared" si="27"/>
        <v>8074.470533042926</v>
      </c>
      <c r="F37" s="16">
        <f t="shared" ref="F37:F38" si="32">C37*D37*$Q$4</f>
        <v>3830.5072528267574</v>
      </c>
      <c r="G37" s="15">
        <v>160</v>
      </c>
      <c r="H37" s="16">
        <f t="shared" ref="H37:H38" si="33">G37+F37</f>
        <v>3990.5072528267574</v>
      </c>
      <c r="I37">
        <f>H37/$Q$7</f>
        <v>37.768150569069611</v>
      </c>
      <c r="J37" s="10">
        <f>($Q$7/3*10^-8)/(($C$12*$Q$4))*LN(2*SQRT(I37^2-1)+I37)</f>
        <v>6.7523507320892693E-4</v>
      </c>
      <c r="K37" s="10">
        <f>($Q$7/3*10^-8)/(($C$12*$Q$4))*LN(2*SQRT((1.5)^2-1)+(1.5))</f>
        <v>1.8816317394061425E-4</v>
      </c>
      <c r="L37" s="10">
        <f t="shared" ref="L37:L38" si="34">J37-K37</f>
        <v>4.8707189926831265E-4</v>
      </c>
      <c r="M37" s="10"/>
      <c r="N37" s="10"/>
      <c r="P37" s="9" t="s">
        <v>45</v>
      </c>
    </row>
    <row r="38" spans="1:16">
      <c r="A38">
        <v>1350</v>
      </c>
      <c r="B38">
        <f t="shared" si="25"/>
        <v>1670</v>
      </c>
      <c r="C38" s="10">
        <f t="shared" si="31"/>
        <v>1.4399760407776091E-3</v>
      </c>
      <c r="D38">
        <f t="shared" si="2"/>
        <v>1333000</v>
      </c>
      <c r="E38" s="11">
        <f t="shared" si="27"/>
        <v>8122.6761845147084</v>
      </c>
      <c r="F38" s="16">
        <f t="shared" si="32"/>
        <v>3838.9761247131059</v>
      </c>
      <c r="G38" s="15">
        <v>160</v>
      </c>
      <c r="H38" s="16">
        <f t="shared" si="33"/>
        <v>3998.9761247131059</v>
      </c>
      <c r="I38">
        <f>H38/$Q$7</f>
        <v>37.848304195736297</v>
      </c>
      <c r="J38" s="10">
        <f>($Q$7/3*10^-8)/(($C$12*$Q$4))*LN(2*SQRT(I38^2-1)+I38)</f>
        <v>6.755378675470041E-4</v>
      </c>
      <c r="K38" s="10">
        <f>($Q$7/3*10^-8)/(($C$12*$Q$4))*LN(2*SQRT((1.5)^2-1)+(1.5))</f>
        <v>1.8816317394061425E-4</v>
      </c>
      <c r="L38" s="10">
        <f t="shared" si="34"/>
        <v>4.8737469360638982E-4</v>
      </c>
      <c r="M38" s="10"/>
      <c r="N38" s="10"/>
      <c r="P38" s="9" t="s">
        <v>22</v>
      </c>
    </row>
    <row r="39" spans="1:16">
      <c r="A39">
        <v>1400</v>
      </c>
      <c r="B39">
        <f>320+A39</f>
        <v>1720</v>
      </c>
      <c r="C39" s="10">
        <f>$Q$3/($Q$5*100)*EXP(A39/($Q$5))</f>
        <v>1.4485728872043039E-3</v>
      </c>
      <c r="D39">
        <f t="shared" si="2"/>
        <v>1328000</v>
      </c>
      <c r="E39" s="11">
        <f t="shared" si="27"/>
        <v>8171.1696300683825</v>
      </c>
      <c r="F39" s="16">
        <f>C39*D39*$Q$4</f>
        <v>3847.4095884146313</v>
      </c>
      <c r="G39" s="15">
        <v>160</v>
      </c>
      <c r="H39" s="16">
        <f>G39+F39</f>
        <v>4007.4095884146313</v>
      </c>
      <c r="I39">
        <f>H39/$Q$7</f>
        <v>37.928122701684977</v>
      </c>
      <c r="J39" s="10">
        <f>($Q$7/3*10^-8)/(($C$12*$Q$4))*LN(2*SQRT(I39^2-1)+I39)</f>
        <v>6.7583875875569489E-4</v>
      </c>
      <c r="K39" s="10">
        <f>($Q$7/3*10^-8)/(($C$12*$Q$4))*LN(2*SQRT((1.5)^2-1)+(1.5))</f>
        <v>1.8816317394061425E-4</v>
      </c>
      <c r="L39" s="10">
        <f>J39-K39</f>
        <v>4.8767558481508061E-4</v>
      </c>
      <c r="M39" s="10"/>
      <c r="N39" s="10"/>
      <c r="P39" s="9" t="s">
        <v>44</v>
      </c>
    </row>
    <row r="40" spans="1:16">
      <c r="A40">
        <v>1450</v>
      </c>
      <c r="B40">
        <f t="shared" si="25"/>
        <v>1770</v>
      </c>
      <c r="C40" s="10">
        <f t="shared" ref="C40:C46" si="35">$Q$3/($Q$5*100)*EXP(A40/($Q$5))</f>
        <v>1.4572210579352866E-3</v>
      </c>
      <c r="D40">
        <f t="shared" si="2"/>
        <v>1323000</v>
      </c>
      <c r="E40" s="11">
        <f t="shared" si="27"/>
        <v>8219.9525878724835</v>
      </c>
      <c r="F40" s="16">
        <f t="shared" ref="F40:F46" si="36">C40*D40*$Q$4</f>
        <v>3855.8069192967682</v>
      </c>
      <c r="G40" s="15">
        <v>160</v>
      </c>
      <c r="H40" s="16">
        <f t="shared" ref="H40:H46" si="37">G40+F40</f>
        <v>4015.8069192967682</v>
      </c>
      <c r="I40">
        <f>H40/$Q$7</f>
        <v>38.007599228612769</v>
      </c>
      <c r="J40" s="10">
        <f>($Q$7/3*10^-8)/(($C$12*$Q$4))*LN(2*SQRT(I40^2-1)+I40)</f>
        <v>6.761377317313161E-4</v>
      </c>
      <c r="K40" s="10">
        <f>($Q$7/3*10^-8)/(($C$12*$Q$4))*LN(2*SQRT((1.5)^2-1)+(1.5))</f>
        <v>1.8816317394061425E-4</v>
      </c>
      <c r="L40" s="10">
        <f t="shared" ref="L40:L46" si="38">J40-K40</f>
        <v>4.8797455779070182E-4</v>
      </c>
      <c r="M40" s="10"/>
      <c r="N40" s="10"/>
    </row>
    <row r="41" spans="1:16">
      <c r="A41">
        <v>1500</v>
      </c>
      <c r="B41">
        <f t="shared" si="25"/>
        <v>1820</v>
      </c>
      <c r="C41" s="10">
        <f t="shared" si="35"/>
        <v>1.465920859383407E-3</v>
      </c>
      <c r="D41">
        <f t="shared" si="2"/>
        <v>1318000</v>
      </c>
      <c r="E41" s="11">
        <f t="shared" si="27"/>
        <v>8269.026786353239</v>
      </c>
      <c r="F41" s="16">
        <f t="shared" si="36"/>
        <v>3864.167385334661</v>
      </c>
      <c r="G41" s="15">
        <v>160</v>
      </c>
      <c r="H41" s="16">
        <f t="shared" si="37"/>
        <v>4024.167385334661</v>
      </c>
      <c r="I41">
        <f>H41/$Q$7</f>
        <v>38.086726848271411</v>
      </c>
      <c r="J41" s="10">
        <f>($Q$7/3*10^-8)/(($C$12*$Q$4))*LN(2*SQRT(I41^2-1)+I41)</f>
        <v>6.7643477120512196E-4</v>
      </c>
      <c r="K41" s="10">
        <f>($Q$7/3*10^-8)/(($C$12*$Q$4))*LN(2*SQRT((1.5)^2-1)+(1.5))</f>
        <v>1.8816317394061425E-4</v>
      </c>
      <c r="L41" s="10">
        <f t="shared" si="38"/>
        <v>4.8827159726450768E-4</v>
      </c>
      <c r="M41" s="10"/>
      <c r="N41" s="10"/>
    </row>
    <row r="42" spans="1:16">
      <c r="A42">
        <v>1550</v>
      </c>
      <c r="B42">
        <f t="shared" si="25"/>
        <v>1870</v>
      </c>
      <c r="C42" s="10">
        <f t="shared" si="35"/>
        <v>1.4746725997908392E-3</v>
      </c>
      <c r="D42">
        <f t="shared" si="2"/>
        <v>1313000</v>
      </c>
      <c r="E42" s="11">
        <f t="shared" si="27"/>
        <v>8318.3939642558089</v>
      </c>
      <c r="F42" s="16">
        <f t="shared" si="36"/>
        <v>3872.4902470507436</v>
      </c>
      <c r="G42" s="15">
        <v>160</v>
      </c>
      <c r="H42" s="16">
        <f t="shared" si="37"/>
        <v>4032.4902470507436</v>
      </c>
      <c r="I42">
        <f>H42/$Q$7</f>
        <v>38.165498561876468</v>
      </c>
      <c r="J42" s="10">
        <f>($Q$7/3*10^-8)/(($C$12*$Q$4))*LN(2*SQRT(I42^2-1)+I42)</f>
        <v>6.7672986174078858E-4</v>
      </c>
      <c r="K42" s="10">
        <f>($Q$7/3*10^-8)/(($C$12*$Q$4))*LN(2*SQRT((1.5)^2-1)+(1.5))</f>
        <v>1.8816317394061425E-4</v>
      </c>
      <c r="L42" s="10">
        <f t="shared" si="38"/>
        <v>4.885666878001743E-4</v>
      </c>
      <c r="M42" s="10"/>
      <c r="N42" s="10"/>
    </row>
    <row r="43" spans="1:16">
      <c r="A43">
        <v>1600</v>
      </c>
      <c r="B43">
        <f t="shared" si="25"/>
        <v>1920</v>
      </c>
      <c r="C43" s="10">
        <f t="shared" si="35"/>
        <v>1.4834765892400043E-3</v>
      </c>
      <c r="D43">
        <f t="shared" si="2"/>
        <v>1308000</v>
      </c>
      <c r="E43" s="11">
        <f t="shared" si="27"/>
        <v>8368.0558707058863</v>
      </c>
      <c r="F43" s="16">
        <f t="shared" si="36"/>
        <v>3880.7747574518512</v>
      </c>
      <c r="G43" s="15">
        <v>160</v>
      </c>
      <c r="H43" s="16">
        <f t="shared" si="37"/>
        <v>4040.7747574518512</v>
      </c>
      <c r="I43">
        <f>H43/$Q$7</f>
        <v>38.243907299512117</v>
      </c>
      <c r="J43" s="10">
        <f>($Q$7/3*10^-8)/(($C$12*$Q$4))*LN(2*SQRT(I43^2-1)+I43)</f>
        <v>6.7702298773185019E-4</v>
      </c>
      <c r="K43" s="10">
        <f>($Q$7/3*10^-8)/(($C$12*$Q$4))*LN(2*SQRT((1.5)^2-1)+(1.5))</f>
        <v>1.8816317394061425E-4</v>
      </c>
      <c r="L43" s="10">
        <f t="shared" si="38"/>
        <v>4.8885981379123591E-4</v>
      </c>
      <c r="M43" s="10"/>
      <c r="N43" s="10"/>
    </row>
    <row r="44" spans="1:16">
      <c r="A44">
        <v>1650</v>
      </c>
      <c r="B44">
        <f t="shared" si="25"/>
        <v>1970</v>
      </c>
      <c r="C44" s="10">
        <f t="shared" si="35"/>
        <v>1.4923331396645562E-3</v>
      </c>
      <c r="D44">
        <f t="shared" si="2"/>
        <v>1303000</v>
      </c>
      <c r="E44" s="11">
        <f t="shared" si="27"/>
        <v>8418.0142652716822</v>
      </c>
      <c r="F44" s="16">
        <f t="shared" si="36"/>
        <v>3889.0201619658333</v>
      </c>
      <c r="G44" s="15">
        <v>160</v>
      </c>
      <c r="H44" s="16">
        <f t="shared" si="37"/>
        <v>4049.0201619658333</v>
      </c>
      <c r="I44">
        <f>H44/$Q$7</f>
        <v>38.321945919531252</v>
      </c>
      <c r="J44" s="10">
        <f>($Q$7/3*10^-8)/(($C$12*$Q$4))*LN(2*SQRT(I44^2-1)+I44)</f>
        <v>6.7731413339908739E-4</v>
      </c>
      <c r="K44" s="10">
        <f>($Q$7/3*10^-8)/(($C$12*$Q$4))*LN(2*SQRT((1.5)^2-1)+(1.5))</f>
        <v>1.8816317394061425E-4</v>
      </c>
      <c r="L44" s="10">
        <f t="shared" si="38"/>
        <v>4.8915095945847311E-4</v>
      </c>
      <c r="M44" s="10"/>
      <c r="N44" s="10"/>
    </row>
    <row r="45" spans="1:16">
      <c r="A45">
        <v>1700</v>
      </c>
      <c r="B45">
        <f t="shared" si="25"/>
        <v>2020</v>
      </c>
      <c r="C45" s="10">
        <f t="shared" si="35"/>
        <v>1.5012425648604332E-3</v>
      </c>
      <c r="D45">
        <f t="shared" si="2"/>
        <v>1298000</v>
      </c>
      <c r="E45" s="11">
        <f t="shared" si="27"/>
        <v>8468.2709180262573</v>
      </c>
      <c r="F45" s="16">
        <f t="shared" si="36"/>
        <v>3897.2256983776847</v>
      </c>
      <c r="G45" s="15">
        <v>160</v>
      </c>
      <c r="H45" s="16">
        <f t="shared" si="37"/>
        <v>4057.2256983776847</v>
      </c>
      <c r="I45">
        <f>H45/$Q$7</f>
        <v>38.399607207950979</v>
      </c>
      <c r="J45" s="10">
        <f>($Q$7/3*10^-8)/(($C$12*$Q$4))*LN(2*SQRT(I45^2-1)+I45)</f>
        <v>6.7760328278786499E-4</v>
      </c>
      <c r="K45" s="10">
        <f>($Q$7/3*10^-8)/(($C$12*$Q$4))*LN(2*SQRT((1.5)^2-1)+(1.5))</f>
        <v>1.8816317394061425E-4</v>
      </c>
      <c r="L45" s="10">
        <f t="shared" si="38"/>
        <v>4.8944010884725071E-4</v>
      </c>
      <c r="M45" s="10"/>
      <c r="N45" s="10"/>
    </row>
    <row r="46" spans="1:16">
      <c r="A46">
        <v>1750</v>
      </c>
      <c r="B46">
        <f t="shared" si="25"/>
        <v>2070</v>
      </c>
      <c r="C46" s="10">
        <f t="shared" si="35"/>
        <v>1.5102051804969775E-3</v>
      </c>
      <c r="D46">
        <f t="shared" si="2"/>
        <v>1293000</v>
      </c>
      <c r="E46" s="11">
        <f t="shared" si="27"/>
        <v>8518.8276096102381</v>
      </c>
      <c r="F46" s="16">
        <f t="shared" si="36"/>
        <v>3905.390596765184</v>
      </c>
      <c r="G46" s="15">
        <v>160</v>
      </c>
      <c r="H46" s="16">
        <f t="shared" si="37"/>
        <v>4065.390596765184</v>
      </c>
      <c r="I46">
        <f>H46/$Q$7</f>
        <v>38.476883877843456</v>
      </c>
      <c r="J46" s="10">
        <f>($Q$7/3*10^-8)/(($C$12*$Q$4))*LN(2*SQRT(I46^2-1)+I46)</f>
        <v>6.7789041976542034E-4</v>
      </c>
      <c r="K46" s="10">
        <f>($Q$7/3*10^-8)/(($C$12*$Q$4))*LN(2*SQRT((1.5)^2-1)+(1.5))</f>
        <v>1.8816317394061425E-4</v>
      </c>
      <c r="L46" s="10">
        <f t="shared" si="38"/>
        <v>4.8972724582480606E-4</v>
      </c>
      <c r="M46" s="10"/>
      <c r="N46" s="10"/>
    </row>
    <row r="47" spans="1:16">
      <c r="A47">
        <v>1800</v>
      </c>
      <c r="B47">
        <f>320+A47</f>
        <v>2120</v>
      </c>
      <c r="C47" s="10">
        <f>$Q$3/($Q$5*100)*EXP(A47/($Q$5))</f>
        <v>1.5192213041281184E-3</v>
      </c>
      <c r="D47">
        <f t="shared" si="2"/>
        <v>1288000</v>
      </c>
      <c r="E47" s="11">
        <f t="shared" si="27"/>
        <v>8569.6861312949186</v>
      </c>
      <c r="F47" s="16">
        <f>C47*D47*$Q$4</f>
        <v>3913.5140794340327</v>
      </c>
      <c r="G47" s="15">
        <v>160</v>
      </c>
      <c r="H47" s="16">
        <f>G47+F47</f>
        <v>4073.5140794340327</v>
      </c>
      <c r="I47">
        <f>H47/$Q$7</f>
        <v>38.553768568722035</v>
      </c>
      <c r="J47" s="10">
        <f>($Q$7/3*10^-8)/(($C$12*$Q$4))*LN(2*SQRT(I47^2-1)+I47)</f>
        <v>6.7817552801809739E-4</v>
      </c>
      <c r="K47" s="10">
        <f>($Q$7/3*10^-8)/(($C$12*$Q$4))*LN(2*SQRT((1.5)^2-1)+(1.5))</f>
        <v>1.8816317394061425E-4</v>
      </c>
      <c r="L47" s="10">
        <f>J47-K47</f>
        <v>4.9001235407748311E-4</v>
      </c>
      <c r="M47" s="10"/>
      <c r="N47" s="10"/>
    </row>
    <row r="48" spans="1:16">
      <c r="A48">
        <v>1850</v>
      </c>
      <c r="B48">
        <f t="shared" si="25"/>
        <v>2170</v>
      </c>
      <c r="C48" s="10">
        <f t="shared" ref="C48:C54" si="39">$Q$3/($Q$5*100)*EXP(A48/($Q$5))</f>
        <v>1.5282912552036234E-3</v>
      </c>
      <c r="D48">
        <f t="shared" si="2"/>
        <v>1283000</v>
      </c>
      <c r="E48" s="11">
        <f t="shared" si="27"/>
        <v>8620.8482850457094</v>
      </c>
      <c r="F48" s="16">
        <f t="shared" ref="F48:F54" si="40">C48*D48*$Q$4</f>
        <v>3921.5953608524978</v>
      </c>
      <c r="G48" s="15">
        <v>160</v>
      </c>
      <c r="H48" s="16">
        <f t="shared" ref="H48:H54" si="41">G48+F48</f>
        <v>4081.5953608524978</v>
      </c>
      <c r="I48">
        <f>H48/$Q$7</f>
        <v>38.630253845922674</v>
      </c>
      <c r="J48" s="10">
        <f>($Q$7/3*10^-8)/(($C$12*$Q$4))*LN(2*SQRT(I48^2-1)+I48)</f>
        <v>6.7845859104853049E-4</v>
      </c>
      <c r="K48" s="10">
        <f>($Q$7/3*10^-8)/(($C$12*$Q$4))*LN(2*SQRT((1.5)^2-1)+(1.5))</f>
        <v>1.8816317394061425E-4</v>
      </c>
      <c r="L48" s="10">
        <f t="shared" ref="L48:L54" si="42">J48-K48</f>
        <v>4.9029541710791621E-4</v>
      </c>
      <c r="M48" s="10"/>
      <c r="N48" s="10"/>
    </row>
    <row r="49" spans="1:14">
      <c r="A49">
        <v>1900</v>
      </c>
      <c r="B49">
        <f t="shared" si="25"/>
        <v>2220</v>
      </c>
      <c r="C49" s="10">
        <f t="shared" si="39"/>
        <v>1.5374153550804181E-3</v>
      </c>
      <c r="D49">
        <f t="shared" si="2"/>
        <v>1278000</v>
      </c>
      <c r="E49" s="11">
        <f t="shared" si="27"/>
        <v>8672.3158835859958</v>
      </c>
      <c r="F49" s="16">
        <f t="shared" si="40"/>
        <v>3929.6336475855487</v>
      </c>
      <c r="G49" s="15">
        <v>160</v>
      </c>
      <c r="H49" s="16">
        <f t="shared" si="41"/>
        <v>4089.6336475855487</v>
      </c>
      <c r="I49">
        <f>H49/$Q$7</f>
        <v>38.706332199980586</v>
      </c>
      <c r="J49" s="10">
        <f>($Q$7/3*10^-8)/(($C$12*$Q$4))*LN(2*SQRT(I49^2-1)+I49)</f>
        <v>6.7873959217277168E-4</v>
      </c>
      <c r="K49" s="10">
        <f>($Q$7/3*10^-8)/(($C$12*$Q$4))*LN(2*SQRT((1.5)^2-1)+(1.5))</f>
        <v>1.8816317394061425E-4</v>
      </c>
      <c r="L49" s="10">
        <f t="shared" si="42"/>
        <v>4.905764182321574E-4</v>
      </c>
      <c r="M49" s="10"/>
      <c r="N49" s="10"/>
    </row>
    <row r="50" spans="1:14">
      <c r="A50">
        <v>1950</v>
      </c>
      <c r="B50">
        <f t="shared" si="25"/>
        <v>2270</v>
      </c>
      <c r="C50" s="10">
        <f t="shared" si="39"/>
        <v>1.5465939270339704E-3</v>
      </c>
      <c r="D50">
        <f t="shared" si="2"/>
        <v>1273000</v>
      </c>
      <c r="E50" s="11">
        <f t="shared" si="27"/>
        <v>8724.0907504613606</v>
      </c>
      <c r="F50" s="16">
        <f t="shared" si="40"/>
        <v>3937.6281382284888</v>
      </c>
      <c r="G50" s="15">
        <v>160</v>
      </c>
      <c r="H50" s="16">
        <f t="shared" si="41"/>
        <v>4097.6281382284888</v>
      </c>
      <c r="I50">
        <f>H50/$Q$7</f>
        <v>38.781996046002092</v>
      </c>
      <c r="J50" s="10">
        <f>($Q$7/3*10^-8)/(($C$12*$Q$4))*LN(2*SQRT(I50^2-1)+I50)</f>
        <v>6.7901851451736305E-4</v>
      </c>
      <c r="K50" s="10">
        <f>($Q$7/3*10^-8)/(($C$12*$Q$4))*LN(2*SQRT((1.5)^2-1)+(1.5))</f>
        <v>1.8816317394061425E-4</v>
      </c>
      <c r="L50" s="10">
        <f t="shared" si="42"/>
        <v>4.9085534057674877E-4</v>
      </c>
      <c r="M50" s="10"/>
      <c r="N50" s="10"/>
    </row>
    <row r="51" spans="1:14">
      <c r="A51">
        <v>2000</v>
      </c>
      <c r="B51">
        <f t="shared" si="25"/>
        <v>2320</v>
      </c>
      <c r="C51" s="10">
        <f t="shared" si="39"/>
        <v>1.5558272962697462E-3</v>
      </c>
      <c r="D51">
        <f t="shared" si="2"/>
        <v>1268000</v>
      </c>
      <c r="E51" s="11">
        <f t="shared" si="27"/>
        <v>8776.1747201041926</v>
      </c>
      <c r="F51" s="16">
        <f t="shared" si="40"/>
        <v>3945.5780233400765</v>
      </c>
      <c r="G51" s="15">
        <v>160</v>
      </c>
      <c r="H51" s="16">
        <f t="shared" si="41"/>
        <v>4105.5780233400765</v>
      </c>
      <c r="I51">
        <f>H51/$Q$7</f>
        <v>38.857237723031638</v>
      </c>
      <c r="J51" s="10">
        <f>($Q$7/3*10^-8)/(($C$12*$Q$4))*LN(2*SQRT(I51^2-1)+I51)</f>
        <v>6.7929534101635134E-4</v>
      </c>
      <c r="K51" s="10">
        <f>($Q$7/3*10^-8)/(($C$12*$Q$4))*LN(2*SQRT((1.5)^2-1)+(1.5))</f>
        <v>1.8816317394061425E-4</v>
      </c>
      <c r="L51" s="10">
        <f t="shared" si="42"/>
        <v>4.9113216707573706E-4</v>
      </c>
      <c r="M51" s="10"/>
      <c r="N51" s="10"/>
    </row>
    <row r="52" spans="1:14">
      <c r="A52">
        <v>2050</v>
      </c>
      <c r="B52">
        <f t="shared" si="25"/>
        <v>2370</v>
      </c>
      <c r="C52" s="10">
        <f t="shared" si="39"/>
        <v>1.5651157899347296E-3</v>
      </c>
      <c r="D52">
        <f t="shared" si="2"/>
        <v>1263000</v>
      </c>
      <c r="E52" s="11">
        <f t="shared" si="27"/>
        <v>8828.5696378986813</v>
      </c>
      <c r="F52" s="16">
        <f t="shared" si="40"/>
        <v>3953.482485375127</v>
      </c>
      <c r="G52" s="15">
        <v>160</v>
      </c>
      <c r="H52" s="16">
        <f t="shared" si="41"/>
        <v>4113.482485375127</v>
      </c>
      <c r="I52">
        <f>H52/$Q$7</f>
        <v>38.932049493413913</v>
      </c>
      <c r="J52" s="10">
        <f>($Q$7/3*10^-8)/(($C$12*$Q$4))*LN(2*SQRT(I52^2-1)+I52)</f>
        <v>6.7957005440824603E-4</v>
      </c>
      <c r="K52" s="10">
        <f>($Q$7/3*10^-8)/(($C$12*$Q$4))*LN(2*SQRT((1.5)^2-1)+(1.5))</f>
        <v>1.8816317394061425E-4</v>
      </c>
      <c r="L52" s="10">
        <f t="shared" si="42"/>
        <v>4.9140688046763175E-4</v>
      </c>
      <c r="M52" s="10"/>
      <c r="N52" s="10"/>
    </row>
    <row r="53" spans="1:14">
      <c r="A53">
        <v>2100</v>
      </c>
      <c r="B53">
        <f t="shared" si="25"/>
        <v>2420</v>
      </c>
      <c r="C53" s="10">
        <f t="shared" si="39"/>
        <v>1.5744597371290163E-3</v>
      </c>
      <c r="D53">
        <f t="shared" si="2"/>
        <v>1258000</v>
      </c>
      <c r="E53" s="11">
        <f t="shared" si="27"/>
        <v>8881.2773602462075</v>
      </c>
      <c r="F53" s="16">
        <f t="shared" si="40"/>
        <v>3961.3406986166051</v>
      </c>
      <c r="G53" s="15">
        <v>160</v>
      </c>
      <c r="H53" s="16">
        <f t="shared" si="41"/>
        <v>4121.3406986166046</v>
      </c>
      <c r="I53">
        <f>H53/$Q$7</f>
        <v>39.006423542151133</v>
      </c>
      <c r="J53" s="10">
        <f>($Q$7/3*10^-8)/(($C$12*$Q$4))*LN(2*SQRT(I53^2-1)+I53)</f>
        <v>6.7984263723291569E-4</v>
      </c>
      <c r="K53" s="10">
        <f>($Q$7/3*10^-8)/(($C$12*$Q$4))*LN(2*SQRT((1.5)^2-1)+(1.5))</f>
        <v>1.8816317394061425E-4</v>
      </c>
      <c r="L53" s="10">
        <f t="shared" si="42"/>
        <v>4.9167946329230141E-4</v>
      </c>
      <c r="M53" s="10"/>
      <c r="N53" s="10"/>
    </row>
    <row r="54" spans="1:14">
      <c r="A54">
        <v>2150</v>
      </c>
      <c r="B54">
        <f t="shared" si="25"/>
        <v>2470</v>
      </c>
      <c r="C54" s="10">
        <f t="shared" si="39"/>
        <v>1.5838594689174725E-3</v>
      </c>
      <c r="D54">
        <f t="shared" si="2"/>
        <v>1253000</v>
      </c>
      <c r="E54" s="11">
        <f t="shared" si="27"/>
        <v>8934.299754631109</v>
      </c>
      <c r="F54" s="16">
        <f t="shared" si="40"/>
        <v>3969.1518291071861</v>
      </c>
      <c r="G54" s="15">
        <v>160</v>
      </c>
      <c r="H54" s="16">
        <f t="shared" si="41"/>
        <v>4129.1518291071861</v>
      </c>
      <c r="I54">
        <f>H54/$Q$7</f>
        <v>39.080351976255336</v>
      </c>
      <c r="J54" s="10">
        <f>($Q$7/3*10^-8)/(($C$12*$Q$4))*LN(2*SQRT(I54^2-1)+I54)</f>
        <v>6.8011307182842405E-4</v>
      </c>
      <c r="K54" s="10">
        <f>($Q$7/3*10^-8)/(($C$12*$Q$4))*LN(2*SQRT((1.5)^2-1)+(1.5))</f>
        <v>1.8816317394061425E-4</v>
      </c>
      <c r="L54" s="10">
        <f t="shared" si="42"/>
        <v>4.9194989788780977E-4</v>
      </c>
      <c r="M54" s="10"/>
      <c r="N54" s="10"/>
    </row>
    <row r="55" spans="1:14">
      <c r="A55">
        <v>2200</v>
      </c>
      <c r="B55">
        <f>320+A55</f>
        <v>2520</v>
      </c>
      <c r="C55" s="10">
        <f>$Q$3/($Q$5*100)*EXP(A55/($Q$5))</f>
        <v>1.593315318341465E-3</v>
      </c>
      <c r="D55">
        <f t="shared" si="2"/>
        <v>1248000</v>
      </c>
      <c r="E55" s="11">
        <f t="shared" si="27"/>
        <v>8987.6386996868496</v>
      </c>
      <c r="F55" s="16">
        <f>C55*D55*$Q$4</f>
        <v>3976.9150345802968</v>
      </c>
      <c r="G55" s="15">
        <v>160</v>
      </c>
      <c r="H55" s="16">
        <f>G55+F55</f>
        <v>4136.9150345802973</v>
      </c>
      <c r="I55">
        <f>H55/$Q$7</f>
        <v>39.153826824095638</v>
      </c>
      <c r="J55" s="10">
        <f>($Q$7/3*10^-8)/(($C$12*$Q$4))*LN(2*SQRT(I55^2-1)+I55)</f>
        <v>6.8038134032780433E-4</v>
      </c>
      <c r="K55" s="10">
        <f>($Q$7/3*10^-8)/(($C$12*$Q$4))*LN(2*SQRT((1.5)^2-1)+(1.5))</f>
        <v>1.8816317394061425E-4</v>
      </c>
      <c r="L55" s="10">
        <f>J55-K55</f>
        <v>4.9221816638719005E-4</v>
      </c>
      <c r="M55" s="10"/>
      <c r="N55" s="10"/>
    </row>
    <row r="56" spans="1:14">
      <c r="A56">
        <v>2250</v>
      </c>
      <c r="B56">
        <f t="shared" si="25"/>
        <v>2570</v>
      </c>
      <c r="C56" s="10">
        <f t="shared" ref="C56:C57" si="43">$Q$3/($Q$5*100)*EXP(A56/($Q$5))</f>
        <v>1.6028276204306615E-3</v>
      </c>
      <c r="D56">
        <f t="shared" si="2"/>
        <v>1243000</v>
      </c>
      <c r="E56" s="11">
        <f t="shared" si="27"/>
        <v>9041.2960852625856</v>
      </c>
      <c r="F56" s="16">
        <f t="shared" ref="F56:F57" si="44">C56*D56*$Q$4</f>
        <v>3984.6294643906244</v>
      </c>
      <c r="G56" s="15">
        <v>160</v>
      </c>
      <c r="H56" s="16">
        <f t="shared" ref="H56:H57" si="45">G56+F56</f>
        <v>4144.629464390624</v>
      </c>
      <c r="I56">
        <f>H56/$Q$7</f>
        <v>39.226840034740619</v>
      </c>
      <c r="J56" s="10">
        <f>($Q$7/3*10^-8)/(($C$12*$Q$4))*LN(2*SQRT(I56^2-1)+I56)</f>
        <v>6.8064742465576763E-4</v>
      </c>
      <c r="K56" s="10">
        <f>($Q$7/3*10^-8)/(($C$12*$Q$4))*LN(2*SQRT((1.5)^2-1)+(1.5))</f>
        <v>1.8816317394061425E-4</v>
      </c>
      <c r="L56" s="10">
        <f t="shared" ref="L56:L57" si="46">J56-K56</f>
        <v>4.9248425071515335E-4</v>
      </c>
      <c r="M56" s="10"/>
      <c r="N56" s="10"/>
    </row>
    <row r="57" spans="1:14">
      <c r="A57">
        <v>2300</v>
      </c>
      <c r="B57">
        <f t="shared" si="25"/>
        <v>2620</v>
      </c>
      <c r="C57" s="10">
        <f t="shared" si="43"/>
        <v>1.6123967122149015E-3</v>
      </c>
      <c r="D57">
        <f t="shared" si="2"/>
        <v>1238000</v>
      </c>
      <c r="E57" s="11">
        <f t="shared" si="27"/>
        <v>9095.2738124901225</v>
      </c>
      <c r="F57" s="16">
        <f t="shared" si="44"/>
        <v>3992.294259444096</v>
      </c>
      <c r="G57" s="15">
        <v>160</v>
      </c>
      <c r="H57" s="16">
        <f t="shared" si="45"/>
        <v>4152.2942594440956</v>
      </c>
      <c r="I57">
        <f>H57/$Q$7</f>
        <v>39.299383477295571</v>
      </c>
      <c r="J57" s="10">
        <f>($Q$7/3*10^-8)/(($C$12*$Q$4))*LN(2*SQRT(I57^2-1)+I57)</f>
        <v>6.809113065253475E-4</v>
      </c>
      <c r="K57" s="10">
        <f>($Q$7/3*10^-8)/(($C$12*$Q$4))*LN(2*SQRT((1.5)^2-1)+(1.5))</f>
        <v>1.8816317394061425E-4</v>
      </c>
      <c r="L57" s="10">
        <f t="shared" si="46"/>
        <v>4.9274813258473322E-4</v>
      </c>
      <c r="M57" s="10"/>
      <c r="N57" s="10"/>
    </row>
    <row r="58" spans="1:14">
      <c r="C58" s="10"/>
      <c r="E58" s="11"/>
      <c r="F58" s="16"/>
      <c r="G58" s="15"/>
      <c r="H58" s="16"/>
      <c r="J58" s="10"/>
      <c r="K58" s="10"/>
      <c r="L58" s="10"/>
      <c r="M58" s="10"/>
      <c r="N58" s="10"/>
    </row>
    <row r="59" spans="1:14">
      <c r="C59" s="10"/>
      <c r="E59" s="11"/>
      <c r="F59" s="16"/>
      <c r="G59" s="15"/>
      <c r="H59" s="16"/>
      <c r="J59" s="10"/>
      <c r="K59" s="10"/>
      <c r="L59" s="10"/>
      <c r="M59" s="10"/>
      <c r="N59" s="10"/>
    </row>
    <row r="60" spans="1:14">
      <c r="C60" s="10"/>
      <c r="E60" s="11"/>
      <c r="F60" s="16"/>
      <c r="G60" s="15"/>
      <c r="H60" s="16"/>
      <c r="J60" s="10"/>
      <c r="K60" s="10"/>
      <c r="L60" s="10"/>
      <c r="M60" s="10"/>
      <c r="N60" s="10"/>
    </row>
    <row r="61" spans="1:14">
      <c r="C61" s="10"/>
      <c r="E61" s="11"/>
      <c r="F61" s="16"/>
      <c r="G61" s="15"/>
      <c r="H61" s="16"/>
      <c r="J61" s="10"/>
      <c r="K61" s="10"/>
      <c r="L61" s="10"/>
      <c r="M61" s="10"/>
      <c r="N61" s="10"/>
    </row>
    <row r="62" spans="1:14">
      <c r="C62" s="10"/>
      <c r="E62" s="11"/>
      <c r="F62" s="16"/>
      <c r="G62" s="15"/>
      <c r="H62" s="16"/>
      <c r="J62" s="10"/>
      <c r="K62" s="10"/>
      <c r="L62" s="10"/>
      <c r="M62" s="10"/>
      <c r="N62" s="10"/>
    </row>
    <row r="63" spans="1:14">
      <c r="C63" s="10"/>
      <c r="E63" s="11"/>
      <c r="F63" s="16"/>
      <c r="G63" s="15"/>
      <c r="H63" s="16"/>
      <c r="J63" s="10"/>
      <c r="K63" s="10"/>
      <c r="L63" s="10"/>
      <c r="M63" s="10"/>
      <c r="N63" s="10"/>
    </row>
    <row r="64" spans="1:14">
      <c r="C64" s="10"/>
      <c r="E64" s="11"/>
      <c r="F64" s="16"/>
      <c r="G64" s="15"/>
      <c r="H64" s="16"/>
      <c r="J64" s="10"/>
      <c r="K64" s="10"/>
      <c r="L64" s="10"/>
      <c r="M64" s="10"/>
      <c r="N64" s="10"/>
    </row>
    <row r="65" spans="3:14">
      <c r="C65" s="10"/>
      <c r="E65" s="11"/>
      <c r="F65" s="16"/>
      <c r="G65" s="15"/>
      <c r="H65" s="16"/>
      <c r="J65" s="10"/>
      <c r="K65" s="10"/>
      <c r="L65" s="10"/>
      <c r="M65" s="10"/>
      <c r="N65" s="10"/>
    </row>
    <row r="66" spans="3:14">
      <c r="C66" s="10"/>
      <c r="E66" s="11"/>
      <c r="F66" s="16"/>
      <c r="G66" s="15"/>
      <c r="H66" s="16"/>
      <c r="J66" s="10"/>
      <c r="K66" s="10"/>
      <c r="L66" s="10"/>
      <c r="M66" s="10"/>
      <c r="N66" s="10"/>
    </row>
    <row r="67" spans="3:14">
      <c r="C67" s="10"/>
      <c r="E67" s="11"/>
      <c r="F67" s="16"/>
      <c r="G67" s="15"/>
      <c r="H67" s="16"/>
      <c r="J67" s="10"/>
      <c r="K67" s="10"/>
      <c r="L67" s="10"/>
      <c r="M67" s="10"/>
      <c r="N67" s="10"/>
    </row>
    <row r="68" spans="3:14">
      <c r="C68" s="10"/>
      <c r="E68" s="11"/>
      <c r="F68" s="16"/>
      <c r="G68" s="15"/>
      <c r="H68" s="16"/>
      <c r="J68" s="10"/>
      <c r="K68" s="10"/>
      <c r="L68" s="10"/>
      <c r="M68" s="10"/>
      <c r="N68" s="10"/>
    </row>
    <row r="69" spans="3:14">
      <c r="C69" s="10"/>
      <c r="E69" s="11"/>
      <c r="F69" s="16"/>
      <c r="G69" s="15"/>
      <c r="H69" s="16"/>
      <c r="J69" s="10"/>
      <c r="K69" s="10"/>
      <c r="L69" s="10"/>
      <c r="M69" s="10"/>
      <c r="N69" s="10"/>
    </row>
    <row r="70" spans="3:14">
      <c r="C70" s="10"/>
      <c r="E70" s="11"/>
      <c r="F70" s="16"/>
      <c r="G70" s="15"/>
      <c r="H70" s="16"/>
      <c r="J70" s="10"/>
      <c r="K70" s="10"/>
      <c r="L70" s="10"/>
      <c r="M70" s="10"/>
      <c r="N70" s="10"/>
    </row>
    <row r="71" spans="3:14">
      <c r="C71" s="10"/>
      <c r="E71" s="11"/>
      <c r="F71" s="16"/>
      <c r="G71" s="15"/>
      <c r="H71" s="16"/>
      <c r="J71" s="10"/>
      <c r="K71" s="10"/>
      <c r="L71" s="10"/>
      <c r="M71" s="10"/>
      <c r="N71" s="10"/>
    </row>
    <row r="72" spans="3:14">
      <c r="C72" s="10"/>
      <c r="E72" s="11"/>
      <c r="F72" s="16"/>
      <c r="G72" s="15"/>
      <c r="H72" s="16"/>
      <c r="J72" s="10"/>
      <c r="K72" s="10"/>
      <c r="L72" s="10"/>
      <c r="M72" s="10"/>
      <c r="N72" s="10"/>
    </row>
    <row r="73" spans="3:14">
      <c r="C73" s="10"/>
      <c r="E73" s="11"/>
      <c r="F73" s="16"/>
      <c r="G73" s="15"/>
      <c r="H73" s="16"/>
      <c r="J73" s="10"/>
      <c r="K73" s="10"/>
      <c r="L73" s="10"/>
      <c r="M73" s="10"/>
      <c r="N73" s="10"/>
    </row>
    <row r="74" spans="3:14">
      <c r="C74" s="10"/>
      <c r="E74" s="11"/>
      <c r="F74" s="16"/>
      <c r="G74" s="15"/>
      <c r="H74" s="16"/>
      <c r="J74" s="10"/>
      <c r="K74" s="10"/>
      <c r="L74" s="10"/>
      <c r="M74" s="10"/>
      <c r="N74" s="10"/>
    </row>
    <row r="75" spans="3:14">
      <c r="C75" s="10"/>
      <c r="E75" s="11"/>
      <c r="F75" s="16"/>
      <c r="G75" s="15"/>
      <c r="H75" s="16"/>
      <c r="J75" s="10"/>
      <c r="K75" s="10"/>
      <c r="L75" s="10"/>
      <c r="M75" s="10"/>
      <c r="N75" s="10"/>
    </row>
    <row r="76" spans="3:14">
      <c r="C76" s="10"/>
      <c r="E76" s="11"/>
      <c r="F76" s="16"/>
      <c r="G76" s="15"/>
      <c r="H76" s="16"/>
      <c r="J76" s="10"/>
      <c r="K76" s="10"/>
      <c r="L76" s="10"/>
      <c r="M76" s="10"/>
      <c r="N76" s="10"/>
    </row>
    <row r="77" spans="3:14">
      <c r="C77" s="10"/>
      <c r="E77" s="11"/>
      <c r="F77" s="16"/>
      <c r="G77" s="15"/>
      <c r="H77" s="16"/>
      <c r="J77" s="10"/>
      <c r="K77" s="10"/>
      <c r="L77" s="10"/>
      <c r="M77" s="10"/>
      <c r="N77" s="10"/>
    </row>
    <row r="78" spans="3:14">
      <c r="C78" s="10"/>
      <c r="E78" s="11"/>
      <c r="F78" s="16"/>
      <c r="G78" s="15"/>
      <c r="H78" s="16"/>
      <c r="J78" s="10"/>
      <c r="K78" s="10"/>
      <c r="L78" s="10"/>
      <c r="M78" s="10"/>
      <c r="N78" s="10"/>
    </row>
    <row r="79" spans="3:14">
      <c r="C79" s="10"/>
      <c r="E79" s="11"/>
      <c r="F79" s="16"/>
      <c r="G79" s="15"/>
      <c r="H79" s="16"/>
      <c r="J79" s="10"/>
      <c r="K79" s="10"/>
      <c r="L79" s="10"/>
      <c r="M79" s="10"/>
      <c r="N79" s="10"/>
    </row>
    <row r="80" spans="3:14">
      <c r="C80" s="10"/>
      <c r="E80" s="11"/>
      <c r="F80" s="16"/>
      <c r="G80" s="15"/>
      <c r="H80" s="16"/>
      <c r="J80" s="10"/>
      <c r="K80" s="10"/>
      <c r="L80" s="10"/>
      <c r="M80" s="10"/>
      <c r="N80" s="10"/>
    </row>
    <row r="81" spans="3:14">
      <c r="C81" s="10"/>
      <c r="E81" s="11"/>
      <c r="F81" s="16"/>
      <c r="G81" s="15"/>
      <c r="H81" s="16"/>
      <c r="J81" s="10"/>
      <c r="K81" s="10"/>
      <c r="L81" s="10"/>
      <c r="M81" s="10"/>
      <c r="N81" s="10"/>
    </row>
    <row r="82" spans="3:14">
      <c r="C82" s="10"/>
      <c r="E82" s="11"/>
      <c r="F82" s="16"/>
      <c r="G82" s="15"/>
      <c r="H82" s="16"/>
      <c r="J82" s="10"/>
      <c r="K82" s="10"/>
      <c r="L82" s="10"/>
      <c r="M82" s="10"/>
      <c r="N82" s="10"/>
    </row>
    <row r="83" spans="3:14">
      <c r="C83" s="10"/>
      <c r="E83" s="11"/>
      <c r="F83" s="16"/>
      <c r="G83" s="15"/>
      <c r="H83" s="16"/>
      <c r="J83" s="10"/>
      <c r="K83" s="10"/>
      <c r="L83" s="10"/>
      <c r="M83" s="10"/>
      <c r="N83" s="10"/>
    </row>
    <row r="84" spans="3:14">
      <c r="C84" s="10"/>
      <c r="E84" s="11"/>
      <c r="F84" s="16"/>
      <c r="G84" s="15"/>
      <c r="H84" s="16"/>
      <c r="J84" s="10"/>
      <c r="K84" s="10"/>
      <c r="L84" s="10"/>
      <c r="M84" s="10"/>
      <c r="N84" s="10"/>
    </row>
    <row r="85" spans="3:14">
      <c r="C85" s="10"/>
      <c r="E85" s="11"/>
      <c r="F85" s="16"/>
      <c r="G85" s="15"/>
      <c r="H85" s="16"/>
      <c r="J85" s="10"/>
      <c r="K85" s="10"/>
      <c r="L85" s="10"/>
      <c r="M85" s="10"/>
      <c r="N85" s="10"/>
    </row>
    <row r="86" spans="3:14">
      <c r="C86" s="10"/>
      <c r="E86" s="11"/>
      <c r="F86" s="16"/>
      <c r="G86" s="15"/>
      <c r="H86" s="16"/>
      <c r="J86" s="10"/>
      <c r="K86" s="10"/>
      <c r="L86" s="10"/>
      <c r="M86" s="10"/>
      <c r="N86" s="10"/>
    </row>
    <row r="87" spans="3:14">
      <c r="C87" s="10"/>
      <c r="E87" s="11"/>
      <c r="F87" s="16"/>
      <c r="G87" s="15"/>
      <c r="H87" s="16"/>
      <c r="J87" s="10"/>
      <c r="K87" s="10"/>
      <c r="L87" s="10"/>
      <c r="M87" s="10"/>
      <c r="N87" s="10"/>
    </row>
    <row r="88" spans="3:14">
      <c r="C88" s="10"/>
      <c r="E88" s="11"/>
      <c r="F88" s="16"/>
      <c r="G88" s="15"/>
      <c r="H88" s="16"/>
      <c r="J88" s="10"/>
      <c r="K88" s="10"/>
      <c r="L88" s="10"/>
      <c r="M88" s="10"/>
      <c r="N88" s="10"/>
    </row>
    <row r="89" spans="3:14">
      <c r="C89" s="10"/>
      <c r="E89" s="11"/>
      <c r="F89" s="16"/>
      <c r="G89" s="15"/>
      <c r="H89" s="16"/>
      <c r="J89" s="10"/>
      <c r="K89" s="10"/>
      <c r="L89" s="10"/>
      <c r="M89" s="10"/>
      <c r="N89" s="10"/>
    </row>
    <row r="90" spans="3:14">
      <c r="C90" s="10"/>
      <c r="E90" s="11"/>
      <c r="F90" s="16"/>
      <c r="G90" s="15"/>
      <c r="H90" s="16"/>
      <c r="J90" s="10"/>
      <c r="K90" s="10"/>
      <c r="L90" s="10"/>
      <c r="M90" s="10"/>
      <c r="N90" s="10"/>
    </row>
    <row r="91" spans="3:14">
      <c r="C91" s="10"/>
      <c r="E91" s="11"/>
      <c r="F91" s="16"/>
      <c r="G91" s="15"/>
      <c r="H91" s="16"/>
      <c r="J91" s="10"/>
      <c r="K91" s="10"/>
      <c r="L91" s="10"/>
      <c r="M91" s="10"/>
      <c r="N91" s="10"/>
    </row>
    <row r="92" spans="3:14">
      <c r="C92" s="10"/>
      <c r="E92" s="11"/>
      <c r="F92" s="16"/>
      <c r="G92" s="15"/>
      <c r="H92" s="16"/>
      <c r="J92" s="10"/>
      <c r="K92" s="10"/>
      <c r="L92" s="10"/>
      <c r="M92" s="10"/>
      <c r="N92" s="10"/>
    </row>
    <row r="93" spans="3:14">
      <c r="C93" s="10"/>
      <c r="E93" s="11"/>
      <c r="F93" s="16"/>
      <c r="G93" s="15"/>
      <c r="H93" s="16"/>
      <c r="J93" s="10"/>
      <c r="K93" s="10"/>
      <c r="L93" s="10"/>
      <c r="M93" s="10"/>
      <c r="N93" s="10"/>
    </row>
    <row r="94" spans="3:14">
      <c r="C94" s="10"/>
      <c r="E94" s="11"/>
      <c r="F94" s="16"/>
      <c r="G94" s="15"/>
      <c r="H94" s="16"/>
      <c r="J94" s="10"/>
      <c r="K94" s="10"/>
      <c r="L94" s="10"/>
      <c r="M94" s="10"/>
      <c r="N94" s="10"/>
    </row>
    <row r="95" spans="3:14">
      <c r="C95" s="10"/>
      <c r="E95" s="11"/>
      <c r="F95" s="16"/>
      <c r="G95" s="15"/>
      <c r="H95" s="16"/>
      <c r="J95" s="10"/>
      <c r="K95" s="10"/>
      <c r="L95" s="10"/>
      <c r="M95" s="10"/>
      <c r="N95" s="10"/>
    </row>
    <row r="96" spans="3:14">
      <c r="C96" s="10"/>
      <c r="E96" s="11"/>
      <c r="F96" s="16"/>
      <c r="G96" s="15"/>
      <c r="H96" s="16"/>
      <c r="J96" s="10"/>
      <c r="K96" s="10"/>
      <c r="L96" s="10"/>
      <c r="M96" s="10"/>
      <c r="N96" s="10"/>
    </row>
    <row r="97" spans="1:14">
      <c r="C97" s="10"/>
      <c r="E97" s="11"/>
      <c r="F97" s="16"/>
      <c r="G97" s="15"/>
      <c r="H97" s="16"/>
      <c r="J97" s="10"/>
      <c r="K97" s="10"/>
      <c r="L97" s="10"/>
      <c r="M97" s="10"/>
      <c r="N97" s="10"/>
    </row>
    <row r="98" spans="1:14">
      <c r="C98" s="10"/>
      <c r="E98" s="11"/>
      <c r="F98" s="16"/>
      <c r="G98" s="15"/>
      <c r="H98" s="16"/>
      <c r="J98" s="10"/>
      <c r="K98" s="10"/>
      <c r="L98" s="10"/>
      <c r="M98" s="10"/>
      <c r="N98" s="10"/>
    </row>
    <row r="99" spans="1:14">
      <c r="C99" s="10"/>
      <c r="E99" s="11"/>
      <c r="F99" s="16"/>
      <c r="G99" s="15"/>
      <c r="H99" s="16"/>
      <c r="J99" s="10"/>
      <c r="K99" s="10"/>
      <c r="L99" s="10"/>
      <c r="M99" s="10"/>
      <c r="N99" s="10"/>
    </row>
    <row r="100" spans="1:14">
      <c r="C100" s="10"/>
      <c r="E100" s="11"/>
      <c r="F100" s="16"/>
      <c r="G100" s="15"/>
      <c r="H100" s="16"/>
      <c r="J100" s="10"/>
      <c r="K100" s="10"/>
      <c r="L100" s="10"/>
      <c r="M100" s="10"/>
      <c r="N100" s="10"/>
    </row>
    <row r="101" spans="1:14">
      <c r="C101" s="10"/>
      <c r="E101" s="11"/>
      <c r="F101" s="16"/>
      <c r="G101" s="15"/>
      <c r="H101" s="16"/>
      <c r="J101" s="10"/>
      <c r="K101" s="10"/>
      <c r="L101" s="10"/>
      <c r="M101" s="10"/>
      <c r="N101" s="10"/>
    </row>
    <row r="102" spans="1:14">
      <c r="C102" s="10"/>
      <c r="E102" s="11"/>
      <c r="F102" s="16"/>
      <c r="G102" s="15"/>
      <c r="H102" s="16"/>
      <c r="J102" s="10"/>
      <c r="K102" s="10"/>
      <c r="L102" s="10"/>
      <c r="M102" s="10"/>
      <c r="N102" s="10"/>
    </row>
    <row r="103" spans="1:14">
      <c r="C103" s="10"/>
      <c r="E103" s="11"/>
      <c r="F103" s="16"/>
      <c r="G103" s="15"/>
      <c r="H103" s="16"/>
      <c r="J103" s="10"/>
      <c r="K103" s="10"/>
      <c r="L103" s="10"/>
      <c r="M103" s="10"/>
      <c r="N103" s="10"/>
    </row>
    <row r="104" spans="1:14">
      <c r="C104" s="10"/>
      <c r="E104" s="11"/>
      <c r="F104" s="16"/>
      <c r="G104" s="15"/>
      <c r="H104" s="16"/>
      <c r="J104" s="10"/>
      <c r="K104" s="10"/>
      <c r="L104" s="10"/>
      <c r="M104" s="10"/>
      <c r="N104" s="10"/>
    </row>
    <row r="105" spans="1:14">
      <c r="C105" s="10"/>
      <c r="E105" s="11"/>
      <c r="F105" s="16"/>
      <c r="G105" s="15"/>
      <c r="H105" s="16"/>
      <c r="J105" s="10"/>
      <c r="K105" s="10"/>
      <c r="L105" s="10"/>
      <c r="M105" s="10"/>
      <c r="N105" s="10"/>
    </row>
    <row r="106" spans="1:14">
      <c r="C106" s="10"/>
      <c r="E106" s="11"/>
      <c r="F106" s="16"/>
      <c r="G106" s="15"/>
      <c r="H106" s="16"/>
      <c r="J106" s="10"/>
      <c r="K106" s="10"/>
      <c r="L106" s="10"/>
      <c r="M106" s="10"/>
      <c r="N106" s="10"/>
    </row>
    <row r="107" spans="1:14">
      <c r="C107" s="10"/>
      <c r="E107" s="11"/>
      <c r="F107" s="16"/>
      <c r="G107" s="15"/>
      <c r="H107" s="16"/>
      <c r="J107" s="10"/>
      <c r="K107" s="10"/>
      <c r="L107" s="10"/>
      <c r="M107" s="10"/>
      <c r="N107" s="10"/>
    </row>
    <row r="108" spans="1:14">
      <c r="C108" s="10"/>
      <c r="E108" s="11"/>
      <c r="F108" s="16"/>
      <c r="G108" s="15"/>
      <c r="H108" s="16"/>
      <c r="J108" s="10"/>
      <c r="K108" s="10"/>
      <c r="L108" s="10"/>
      <c r="M108" s="10"/>
      <c r="N108" s="10"/>
    </row>
    <row r="109" spans="1:14">
      <c r="C109" s="10"/>
      <c r="E109" s="11"/>
      <c r="F109" s="16"/>
      <c r="G109" s="15"/>
      <c r="H109" s="16"/>
      <c r="J109" s="10"/>
      <c r="K109" s="10"/>
      <c r="L109" s="10"/>
      <c r="M109" s="10"/>
      <c r="N109" s="10"/>
    </row>
    <row r="110" spans="1:14">
      <c r="A110">
        <v>435</v>
      </c>
      <c r="B110">
        <f t="shared" ref="B110" si="47">320+A110</f>
        <v>755</v>
      </c>
      <c r="C110" s="10">
        <f>$Q$3/($Q$5*100)*EXP(A110/($Q$5))</f>
        <v>1.2913625531221138E-3</v>
      </c>
      <c r="D110">
        <f t="shared" ref="D110" si="48">15*10^6-B110*100</f>
        <v>14924500</v>
      </c>
      <c r="E110" s="11">
        <f>C110/($Q$8/(2.98*10^8))</f>
        <v>7284.3710997821254</v>
      </c>
      <c r="F110" s="16">
        <f>C110*D110*$Q$4</f>
        <v>38545.880848141976</v>
      </c>
      <c r="G110" s="15">
        <v>245</v>
      </c>
      <c r="H110" s="16">
        <f t="shared" ref="H110" si="49">G110+F110</f>
        <v>38790.880848141976</v>
      </c>
      <c r="I110">
        <f>H110/$Q$7</f>
        <v>367.13624002102989</v>
      </c>
      <c r="J110" s="10">
        <f>($Q$7/3*10^-8)/(($C$12*$Q$4))*LN(2*SQRT(I110^2-1)+I110)</f>
        <v>9.9994359864472916E-4</v>
      </c>
      <c r="K110" s="10">
        <f>($Q$7/3*10^-8)/(($C$12*$Q$4))*LN(2*SQRT((1.5)^2-1)+(1.5))</f>
        <v>1.8816317394061425E-4</v>
      </c>
      <c r="L110" s="10">
        <f t="shared" ref="L110" si="50">J110-K110</f>
        <v>8.1178042470411488E-4</v>
      </c>
      <c r="M110" s="10"/>
      <c r="N110" s="10"/>
    </row>
  </sheetData>
  <mergeCells count="1">
    <mergeCell ref="J8:M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8:B20"/>
  <sheetViews>
    <sheetView topLeftCell="A18" workbookViewId="0">
      <selection activeCell="B19" sqref="B19"/>
    </sheetView>
  </sheetViews>
  <sheetFormatPr defaultRowHeight="15"/>
  <sheetData>
    <row r="18" spans="2:2">
      <c r="B18" s="7"/>
    </row>
    <row r="19" spans="2:2">
      <c r="B19" s="7" t="s">
        <v>21</v>
      </c>
    </row>
    <row r="20" spans="2:2">
      <c r="B20" s="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2012-06-14T13:43:11Z</dcterms:created>
  <dcterms:modified xsi:type="dcterms:W3CDTF">2012-06-19T20:27:07Z</dcterms:modified>
</cp:coreProperties>
</file>