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mber List" sheetId="1" r:id="rId3"/>
    <sheet state="visible" name="Invoice ClientIds" sheetId="2" r:id="rId4"/>
    <sheet state="visible" name="Guest Fees Recon" sheetId="3" r:id="rId5"/>
    <sheet state="visible" name="Jan" sheetId="4" r:id="rId6"/>
    <sheet state="visible" name="Jan Att" sheetId="5" r:id="rId7"/>
    <sheet state="visible" name="Feb" sheetId="6" r:id="rId8"/>
    <sheet state="visible" name="Feb Att" sheetId="7" r:id="rId9"/>
    <sheet state="visible" name="Mar" sheetId="8" r:id="rId10"/>
    <sheet state="visible" name="Mar Att" sheetId="9" r:id="rId11"/>
    <sheet state="visible" name="Apr" sheetId="10" r:id="rId12"/>
    <sheet state="visible" name="Apr Att" sheetId="11" r:id="rId13"/>
    <sheet state="visible" name="Attendance" sheetId="12" r:id="rId14"/>
    <sheet state="visible" name="May" sheetId="13" r:id="rId15"/>
    <sheet state="visible" name="May Att" sheetId="14" r:id="rId16"/>
    <sheet state="visible" name="Summary Sheet" sheetId="15"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
      <text>
        <t xml:space="preserve">Responder updated this value.</t>
      </text>
    </comment>
    <comment authorId="0" ref="E8">
      <text>
        <t xml:space="preserve">Responder updated this value.</t>
      </text>
    </comment>
    <comment authorId="0" ref="E10">
      <text>
        <t xml:space="preserve">Responder updated this value.</t>
      </text>
    </comment>
    <comment authorId="0" ref="E12">
      <text>
        <t xml:space="preserve">Responder updated this value.</t>
      </text>
    </comment>
    <comment authorId="0" ref="E17">
      <text>
        <t xml:space="preserve">Responder updated this value.</t>
      </text>
    </comment>
    <comment authorId="0" ref="F17">
      <text>
        <t xml:space="preserve">Responder updated this value.</t>
      </text>
    </comment>
    <comment authorId="0" ref="G17">
      <text>
        <t xml:space="preserve">Responder updated this value.</t>
      </text>
    </comment>
    <comment authorId="0" ref="D18">
      <text>
        <t xml:space="preserve">Responder updated this value.</t>
      </text>
    </comment>
    <comment authorId="0" ref="E18">
      <text>
        <t xml:space="preserve">Responder updated this value.</t>
      </text>
    </comment>
    <comment authorId="0" ref="F18">
      <text>
        <t xml:space="preserve">Responder updated this value.</t>
      </text>
    </comment>
    <comment authorId="0" ref="G18">
      <text>
        <t xml:space="preserve">Responder updated this value.</t>
      </text>
    </comment>
    <comment authorId="0" ref="B19">
      <text>
        <t xml:space="preserve">Responder updated this value.</t>
      </text>
    </comment>
    <comment authorId="0" ref="F19">
      <text>
        <t xml:space="preserve">Responder updated this value.</t>
      </text>
    </comment>
    <comment authorId="0" ref="G19">
      <text>
        <t xml:space="preserve">Responder updated this value.</t>
      </text>
    </comment>
    <comment authorId="0" ref="E20">
      <text>
        <t xml:space="preserve">Responder updated this value.</t>
      </text>
    </comment>
    <comment authorId="0" ref="G20">
      <text>
        <t xml:space="preserve">Responder updated this value.</t>
      </text>
    </comment>
    <comment authorId="0" ref="B22">
      <text>
        <t xml:space="preserve">Responder updated this value.</t>
      </text>
    </comment>
    <comment authorId="0" ref="F22">
      <text>
        <t xml:space="preserve">Responder updated this value.</t>
      </text>
    </comment>
  </commentList>
</comments>
</file>

<file path=xl/sharedStrings.xml><?xml version="1.0" encoding="utf-8"?>
<sst xmlns="http://schemas.openxmlformats.org/spreadsheetml/2006/main" count="3628" uniqueCount="640">
  <si>
    <t>Amount</t>
  </si>
  <si>
    <t>ClientId</t>
  </si>
  <si>
    <t>Collection Date</t>
  </si>
  <si>
    <t>Email</t>
  </si>
  <si>
    <t>Full Name</t>
  </si>
  <si>
    <t>Name</t>
  </si>
  <si>
    <t>Invoice</t>
  </si>
  <si>
    <t>Nov Week 1</t>
  </si>
  <si>
    <t xml:space="preserve">Paid </t>
  </si>
  <si>
    <t>Nov Week 4</t>
  </si>
  <si>
    <t>Client Id</t>
  </si>
  <si>
    <t>Junior</t>
  </si>
  <si>
    <t>Dec Week 1</t>
  </si>
  <si>
    <t>Dec Week 2</t>
  </si>
  <si>
    <t>Paid</t>
  </si>
  <si>
    <t>Dec Week 3</t>
  </si>
  <si>
    <t>Chez</t>
  </si>
  <si>
    <t>1</t>
  </si>
  <si>
    <t>Adriano</t>
  </si>
  <si>
    <t>ab_guanco@hotmail.com</t>
  </si>
  <si>
    <t>dar_pediaheart@yahoo.com</t>
  </si>
  <si>
    <t>Abbie Castillo</t>
  </si>
  <si>
    <t>Jan Week 1</t>
  </si>
  <si>
    <t>Deposit 300 + 1923</t>
  </si>
  <si>
    <t>Jan Week 2</t>
  </si>
  <si>
    <t>2</t>
  </si>
  <si>
    <t>Jan Week 3</t>
  </si>
  <si>
    <t>Jan Week 4</t>
  </si>
  <si>
    <t>Y</t>
  </si>
  <si>
    <t>Feb Week 1</t>
  </si>
  <si>
    <t>alsaulon@hotmail.com</t>
  </si>
  <si>
    <t>Feb Week 2</t>
  </si>
  <si>
    <t>Feb Week 3</t>
  </si>
  <si>
    <t>Mar Week 1</t>
  </si>
  <si>
    <t>Al Saulon</t>
  </si>
  <si>
    <t>Mar Week 2</t>
  </si>
  <si>
    <t>Paulo</t>
  </si>
  <si>
    <t>3</t>
  </si>
  <si>
    <t>alpereg@yahoo.com</t>
  </si>
  <si>
    <t>Alden Peregrino</t>
  </si>
  <si>
    <t>4</t>
  </si>
  <si>
    <t>lanpee2011@gmail.com</t>
  </si>
  <si>
    <t>Allan Puente</t>
  </si>
  <si>
    <t>5</t>
  </si>
  <si>
    <t>bong_pilapil@yahoo.com</t>
  </si>
  <si>
    <t>Bong Pilapil</t>
  </si>
  <si>
    <t>6</t>
  </si>
  <si>
    <t>bonnie.javier@iag.com.au</t>
  </si>
  <si>
    <t>Bonnie Javier</t>
  </si>
  <si>
    <t>7</t>
  </si>
  <si>
    <t>chrisjjyatco@yahoo.com</t>
  </si>
  <si>
    <t>Chris Yatco</t>
  </si>
  <si>
    <t>8</t>
  </si>
  <si>
    <t>Dar Adriano</t>
  </si>
  <si>
    <t>9</t>
  </si>
  <si>
    <t>fernando.vega@nsn.com</t>
  </si>
  <si>
    <t>Ding Vega</t>
  </si>
  <si>
    <t>10</t>
  </si>
  <si>
    <t>ebguiwo@hotmail.com</t>
  </si>
  <si>
    <t>Efren Guiwo</t>
  </si>
  <si>
    <t>Kim</t>
  </si>
  <si>
    <t>11</t>
  </si>
  <si>
    <t>ferdie.say@gmail.com</t>
  </si>
  <si>
    <t>Ferdie Say</t>
  </si>
  <si>
    <t>Total UNPAID</t>
  </si>
  <si>
    <t>12</t>
  </si>
  <si>
    <t>15 Mar Deposit</t>
  </si>
  <si>
    <t>gloriaaraullo@eaton.com</t>
  </si>
  <si>
    <t>Gloria Araullo</t>
  </si>
  <si>
    <t>13</t>
  </si>
  <si>
    <t>ian_fernandez1973@yahoo.com</t>
  </si>
  <si>
    <t>Ian Fernandez</t>
  </si>
  <si>
    <t>14</t>
  </si>
  <si>
    <t>jprzjr.pub@gmail.com</t>
  </si>
  <si>
    <t>Jon Perez</t>
  </si>
  <si>
    <t xml:space="preserve">Kyle </t>
  </si>
  <si>
    <t>15</t>
  </si>
  <si>
    <t>jhoime@yahoo.com</t>
  </si>
  <si>
    <t>Jonathan De Guzman</t>
  </si>
  <si>
    <t>16</t>
  </si>
  <si>
    <t>junrey@gmail.com</t>
  </si>
  <si>
    <t>Jun Rey</t>
  </si>
  <si>
    <t>17</t>
  </si>
  <si>
    <t>mykhymme@yahoo.com</t>
  </si>
  <si>
    <t>Kim Eata - Castaneda</t>
  </si>
  <si>
    <t>Missing - Remitted To bank 15 March</t>
  </si>
  <si>
    <t>18</t>
  </si>
  <si>
    <t>lorraine.nacua@gmail.com</t>
  </si>
  <si>
    <t>Dar</t>
  </si>
  <si>
    <t>Lorraine Nacua</t>
  </si>
  <si>
    <t>19</t>
  </si>
  <si>
    <t>agathasalac@hotmail.com</t>
  </si>
  <si>
    <t>Gay Salac</t>
  </si>
  <si>
    <t>20</t>
  </si>
  <si>
    <t>egram.rillera@gmail.com</t>
  </si>
  <si>
    <t>Marianne Rillera</t>
  </si>
  <si>
    <t>21</t>
  </si>
  <si>
    <t>Majan</t>
  </si>
  <si>
    <t>m.dasco@gmail.com</t>
  </si>
  <si>
    <t>Almazan</t>
  </si>
  <si>
    <t>Mark Dasco</t>
  </si>
  <si>
    <t>22</t>
  </si>
  <si>
    <t>marvina@circuitwise.com.au</t>
  </si>
  <si>
    <t>Marvin Araullo</t>
  </si>
  <si>
    <t>nievesalmazan@ymail.com</t>
  </si>
  <si>
    <t>24</t>
  </si>
  <si>
    <t>docmayk@yahoo.com</t>
  </si>
  <si>
    <t>Mike Avellana</t>
  </si>
  <si>
    <t>25</t>
  </si>
  <si>
    <t>mj_t_galang@yahoo.com</t>
  </si>
  <si>
    <t>Mj Galang</t>
  </si>
  <si>
    <t>26</t>
  </si>
  <si>
    <t>ocinlaer@yahoo.com</t>
  </si>
  <si>
    <t>Nick Real</t>
  </si>
  <si>
    <t>27</t>
  </si>
  <si>
    <t>normanvr@yahoo.com</t>
  </si>
  <si>
    <t>Norman Rimando</t>
  </si>
  <si>
    <t>28</t>
  </si>
  <si>
    <t>paolo_triunfante@yahoo.com</t>
  </si>
  <si>
    <t>Paolo Triunfante</t>
  </si>
  <si>
    <t>29</t>
  </si>
  <si>
    <t xml:space="preserve"> NetBank Filbcs Guest Fees</t>
  </si>
  <si>
    <t>chel_arroyo@hotmail.com</t>
  </si>
  <si>
    <t>Rachelle Arroyo</t>
  </si>
  <si>
    <t>30</t>
  </si>
  <si>
    <t>reggie5natividad@yahoo.com.au</t>
  </si>
  <si>
    <t>Reggie Natividad</t>
  </si>
  <si>
    <t>31</t>
  </si>
  <si>
    <t>reiner.nalzaro@nokia.com</t>
  </si>
  <si>
    <t>Reiner Nalzaro</t>
  </si>
  <si>
    <t>32</t>
  </si>
  <si>
    <t>amadorberalde@yahoo.com</t>
  </si>
  <si>
    <t>Ruel Beralde</t>
  </si>
  <si>
    <t>33</t>
  </si>
  <si>
    <t>Ruth Almazan</t>
  </si>
  <si>
    <t>Ruth</t>
  </si>
  <si>
    <t>34</t>
  </si>
  <si>
    <t>narvaiza1@hotmail.com</t>
  </si>
  <si>
    <t>Sal Narvaiza</t>
  </si>
  <si>
    <t>35</t>
  </si>
  <si>
    <t>terry_pangilinan@yahoo.com</t>
  </si>
  <si>
    <t>Terry Pangilinan</t>
  </si>
  <si>
    <t>36</t>
  </si>
  <si>
    <t>tisya63@yahoo.com.au</t>
  </si>
  <si>
    <t>Tess Macaraeg</t>
  </si>
  <si>
    <t>37</t>
  </si>
  <si>
    <t>kcastil1@its.jnj.com</t>
  </si>
  <si>
    <t>Tina Castillo</t>
  </si>
  <si>
    <t>38</t>
  </si>
  <si>
    <t>zelenzo@y7mail.com</t>
  </si>
  <si>
    <t>Deposits</t>
  </si>
  <si>
    <t>Dasco Invoices</t>
  </si>
  <si>
    <t>Gloria</t>
  </si>
  <si>
    <t>Araullo</t>
  </si>
  <si>
    <t>West Cruz </t>
  </si>
  <si>
    <t>39</t>
  </si>
  <si>
    <t>joy_valena@yahoo.com</t>
  </si>
  <si>
    <t>Joy Valena</t>
  </si>
  <si>
    <t>40</t>
  </si>
  <si>
    <t>life92@gmail.com</t>
  </si>
  <si>
    <t>Jonathan Tolentino</t>
  </si>
  <si>
    <t>41</t>
  </si>
  <si>
    <t>antonioma@live.com.au</t>
  </si>
  <si>
    <t>Antonio Ma</t>
  </si>
  <si>
    <t>42</t>
  </si>
  <si>
    <t>audreylhkoh@gmail.com</t>
  </si>
  <si>
    <t>Audrey Priest</t>
  </si>
  <si>
    <t>Issue Date</t>
  </si>
  <si>
    <t>Paid Date</t>
  </si>
  <si>
    <t>Invoice Number</t>
  </si>
  <si>
    <t>43</t>
  </si>
  <si>
    <t>onat_mendoza@yahoo.com</t>
  </si>
  <si>
    <t>NOT PAID</t>
  </si>
  <si>
    <t>Ronaldo Mendoza</t>
  </si>
  <si>
    <t>Total  Via Invoice</t>
  </si>
  <si>
    <t>Tina</t>
  </si>
  <si>
    <t>Castillo</t>
  </si>
  <si>
    <t>44</t>
  </si>
  <si>
    <t>jeansen1128@yahoo.com.au</t>
  </si>
  <si>
    <t>Jensen Dela Pena</t>
  </si>
  <si>
    <t>45</t>
  </si>
  <si>
    <t>dmsantam@gmail.com</t>
  </si>
  <si>
    <t>Daniel Santamaria</t>
  </si>
  <si>
    <t>46</t>
  </si>
  <si>
    <t>maritoni.mesina@oracle.com</t>
  </si>
  <si>
    <t>Maritoni Mesina</t>
  </si>
  <si>
    <t>47</t>
  </si>
  <si>
    <t>dakila.ibarra@gmail.com</t>
  </si>
  <si>
    <t>Dakila Ibarra</t>
  </si>
  <si>
    <t>48</t>
  </si>
  <si>
    <t>dennis_guda@yahoo.com</t>
  </si>
  <si>
    <t>Total Via Deposits</t>
  </si>
  <si>
    <t>Dennis Guda</t>
  </si>
  <si>
    <t>Racquel</t>
  </si>
  <si>
    <t>Cruz</t>
  </si>
  <si>
    <t>49</t>
  </si>
  <si>
    <t>an2ny_ber2men@hotmail.com</t>
  </si>
  <si>
    <t>Anthony Bertumen</t>
  </si>
  <si>
    <t>50</t>
  </si>
  <si>
    <t>joiemike@yahoo.com</t>
  </si>
  <si>
    <t>Michael Yu</t>
  </si>
  <si>
    <t>51</t>
  </si>
  <si>
    <t>sharon.decena76@gmail.com</t>
  </si>
  <si>
    <t>Sharon Decena</t>
  </si>
  <si>
    <t>52</t>
  </si>
  <si>
    <t>francerfortu@yahoo.com</t>
  </si>
  <si>
    <t>France Fortu</t>
  </si>
  <si>
    <t>53</t>
  </si>
  <si>
    <t>marz_daniel05@yahoo.com</t>
  </si>
  <si>
    <t>Daniel Marcellano</t>
  </si>
  <si>
    <t>Total Remitted to Bank</t>
  </si>
  <si>
    <t>54</t>
  </si>
  <si>
    <t>leavellana@gmail.com</t>
  </si>
  <si>
    <t>Lea Bottomley</t>
  </si>
  <si>
    <t>55</t>
  </si>
  <si>
    <t>allison88.yang@gmail.com</t>
  </si>
  <si>
    <t>Allison Yang</t>
  </si>
  <si>
    <t>56</t>
  </si>
  <si>
    <t>West</t>
  </si>
  <si>
    <t>christine.tu@hotmail.com</t>
  </si>
  <si>
    <t>Christine Tu</t>
  </si>
  <si>
    <t>Cruz </t>
  </si>
  <si>
    <t>57</t>
  </si>
  <si>
    <t xml:space="preserve">rajelumapguid@yahoo.com </t>
  </si>
  <si>
    <t>Raje Lumapguid</t>
  </si>
  <si>
    <t>58</t>
  </si>
  <si>
    <t>cliff_ho2@yahoo.com</t>
  </si>
  <si>
    <t>Cliff Ho</t>
  </si>
  <si>
    <t>59</t>
  </si>
  <si>
    <t>fredtupaz@hotmail.com</t>
  </si>
  <si>
    <t>Wilfred Tupaz</t>
  </si>
  <si>
    <t>60</t>
  </si>
  <si>
    <t>hsadoreno@gmail.com</t>
  </si>
  <si>
    <t>Hubert Adoreno</t>
  </si>
  <si>
    <t>61</t>
  </si>
  <si>
    <t>poldre22@yahoo.com</t>
  </si>
  <si>
    <t>Andrei Emata</t>
  </si>
  <si>
    <t>62</t>
  </si>
  <si>
    <t>karlmordeno@yahoo.com</t>
  </si>
  <si>
    <t>Karl Mordeno</t>
  </si>
  <si>
    <t>63</t>
  </si>
  <si>
    <t>asali@doh.health.nsw.gov.au</t>
  </si>
  <si>
    <t>Mark</t>
  </si>
  <si>
    <t>Archie Salinas</t>
  </si>
  <si>
    <t>Dasco</t>
  </si>
  <si>
    <t>65</t>
  </si>
  <si>
    <t>karugkog@yahoo.com</t>
  </si>
  <si>
    <t>Jackie Suministrado</t>
  </si>
  <si>
    <t>64</t>
  </si>
  <si>
    <t>lgvillamar@gmail.com</t>
  </si>
  <si>
    <t>Lemuel Villamar</t>
  </si>
  <si>
    <t>66</t>
  </si>
  <si>
    <t>orlybarrun@yahoo.com</t>
  </si>
  <si>
    <t>Orly Barrun</t>
  </si>
  <si>
    <t>67</t>
  </si>
  <si>
    <t>alexmarundan@yahoo.com</t>
  </si>
  <si>
    <t>Alex Marundan</t>
  </si>
  <si>
    <t>68</t>
  </si>
  <si>
    <t>mark.canillo@yahoo.com</t>
  </si>
  <si>
    <t>Mark Canillo</t>
  </si>
  <si>
    <t>69</t>
  </si>
  <si>
    <t>oli_meneses38@yahoo.com</t>
  </si>
  <si>
    <t>Oliver Meneses</t>
  </si>
  <si>
    <t>Roldan</t>
  </si>
  <si>
    <t>Discaya</t>
  </si>
  <si>
    <t>rady3366@yahoo.com.au</t>
  </si>
  <si>
    <t>70</t>
  </si>
  <si>
    <t>hstk2009@hotmail.com</t>
  </si>
  <si>
    <t>Harry Kim</t>
  </si>
  <si>
    <t>71</t>
  </si>
  <si>
    <t>mikayored@yahoo.com.au</t>
  </si>
  <si>
    <t>Michael Savari</t>
  </si>
  <si>
    <t>72</t>
  </si>
  <si>
    <t>joselgarcia7777@gmail.com</t>
  </si>
  <si>
    <t>Josel Garcia</t>
  </si>
  <si>
    <t>Jonathan</t>
  </si>
  <si>
    <t>De Guzman</t>
  </si>
  <si>
    <t>73</t>
  </si>
  <si>
    <t>gkarthikicon@gmail.com</t>
  </si>
  <si>
    <t>Karthik Guntupalli</t>
  </si>
  <si>
    <t>74</t>
  </si>
  <si>
    <t>phramick@gmail.com</t>
  </si>
  <si>
    <t>Mickey Ratanapanyo</t>
  </si>
  <si>
    <t>75</t>
  </si>
  <si>
    <t>cnmagayaga@yahoo.com</t>
  </si>
  <si>
    <t>Chris Baron</t>
  </si>
  <si>
    <t>76</t>
  </si>
  <si>
    <t>leo.villanueva@ymail.com</t>
  </si>
  <si>
    <t>Leo Villanueva</t>
  </si>
  <si>
    <t>77</t>
  </si>
  <si>
    <t>conrado.cajes@bigpond.com</t>
  </si>
  <si>
    <t>Conrado Cajes</t>
  </si>
  <si>
    <t>Ime</t>
  </si>
  <si>
    <t>1e8ef7fe-5922-4927-8471-70cab702e874</t>
  </si>
  <si>
    <t>Roldan Discaya</t>
  </si>
  <si>
    <t>e7de831f-d2aa-4e7a-b94c-36977657934d</t>
  </si>
  <si>
    <t>christinenalzaro967@gmail.com</t>
  </si>
  <si>
    <t>Reinhardt Nalzaro</t>
  </si>
  <si>
    <t>Josel</t>
  </si>
  <si>
    <t>Garcia</t>
  </si>
  <si>
    <t>d82e7614-b40a-46ae-a48b-143c809bca66</t>
  </si>
  <si>
    <t>akumargenid@gmail.com</t>
  </si>
  <si>
    <t>Aashish Kumar</t>
  </si>
  <si>
    <t>5d744242-e398-4705-b209-5c1d3de276bd</t>
  </si>
  <si>
    <t>rohith009@icloud.com</t>
  </si>
  <si>
    <t>Rohith Krishna</t>
  </si>
  <si>
    <t>d03b3e08-1f8e-489e-a104-04f382902878</t>
  </si>
  <si>
    <t>oct32b@gmail.com</t>
  </si>
  <si>
    <t>Rinaldi Roque</t>
  </si>
  <si>
    <t>Aileen</t>
  </si>
  <si>
    <t>27e08fe4-d057-4932-b633-7cfbf4b5a83a</t>
  </si>
  <si>
    <t>vickygeni@gmail.com</t>
  </si>
  <si>
    <t>Vikram Murthi</t>
  </si>
  <si>
    <t>Jed</t>
  </si>
  <si>
    <t>Aashish</t>
  </si>
  <si>
    <t>Upadhyay</t>
  </si>
  <si>
    <t>Rohith</t>
  </si>
  <si>
    <t>Krishna</t>
  </si>
  <si>
    <t>Glen</t>
  </si>
  <si>
    <t>Macaraeg</t>
  </si>
  <si>
    <t>First Name</t>
  </si>
  <si>
    <t>Surname</t>
  </si>
  <si>
    <t>Invoice Email</t>
  </si>
  <si>
    <t>Due</t>
  </si>
  <si>
    <t>ItemDescription</t>
  </si>
  <si>
    <t>Type</t>
  </si>
  <si>
    <t>Average Weekly Attendance:</t>
  </si>
  <si>
    <t>Week 1</t>
  </si>
  <si>
    <t>Tess</t>
  </si>
  <si>
    <t>ItemQuantity</t>
  </si>
  <si>
    <t>ItemPrice</t>
  </si>
  <si>
    <t>Attendance</t>
  </si>
  <si>
    <t>Week 2</t>
  </si>
  <si>
    <t>Alex</t>
  </si>
  <si>
    <t>Week 3</t>
  </si>
  <si>
    <t>Marundan</t>
  </si>
  <si>
    <t>Week 4</t>
  </si>
  <si>
    <t>Week 5</t>
  </si>
  <si>
    <t>Line Total</t>
  </si>
  <si>
    <t>Full Month</t>
  </si>
  <si>
    <t>Maritoni</t>
  </si>
  <si>
    <t>Mesina</t>
  </si>
  <si>
    <t>Bimbo</t>
  </si>
  <si>
    <t>Vikram</t>
  </si>
  <si>
    <t>Murthi</t>
  </si>
  <si>
    <t>Marlon</t>
  </si>
  <si>
    <t>Nacua</t>
  </si>
  <si>
    <t>Lorraine</t>
  </si>
  <si>
    <t>M</t>
  </si>
  <si>
    <t>Reinhardt</t>
  </si>
  <si>
    <t>Nalzaro</t>
  </si>
  <si>
    <t>Reiner</t>
  </si>
  <si>
    <t>Jess</t>
  </si>
  <si>
    <t>Pangilinan</t>
  </si>
  <si>
    <t>Terry</t>
  </si>
  <si>
    <t>Ceth</t>
  </si>
  <si>
    <t>Nina</t>
  </si>
  <si>
    <t>J</t>
  </si>
  <si>
    <t>Allan</t>
  </si>
  <si>
    <t>Puente</t>
  </si>
  <si>
    <t>Aileen Garcia</t>
  </si>
  <si>
    <t>Rodel</t>
  </si>
  <si>
    <t>Rillera</t>
  </si>
  <si>
    <t>Majan Almazan</t>
  </si>
  <si>
    <t>Kim Adriano</t>
  </si>
  <si>
    <t>Kyle Adriano</t>
  </si>
  <si>
    <t>Aldous</t>
  </si>
  <si>
    <t>Marianne</t>
  </si>
  <si>
    <t>Paulo Adriano</t>
  </si>
  <si>
    <t>Almazan junior guest</t>
  </si>
  <si>
    <t>Rinaldi</t>
  </si>
  <si>
    <t>Bald</t>
  </si>
  <si>
    <t>Roque</t>
  </si>
  <si>
    <t>Racquel Cruz</t>
  </si>
  <si>
    <t>Bimbo Mesina</t>
  </si>
  <si>
    <t>Glen Macaraeg</t>
  </si>
  <si>
    <t>West Cruz</t>
  </si>
  <si>
    <t>Ceth Pangilinan</t>
  </si>
  <si>
    <t>Gay</t>
  </si>
  <si>
    <t>Salac</t>
  </si>
  <si>
    <t>Kyle</t>
  </si>
  <si>
    <t>Charrylou Saulon</t>
  </si>
  <si>
    <t>Jess Pangilinan</t>
  </si>
  <si>
    <t>Chez Adriano</t>
  </si>
  <si>
    <t>Nina Pangilinan</t>
  </si>
  <si>
    <t>Chris</t>
  </si>
  <si>
    <t>Jed Garcia</t>
  </si>
  <si>
    <t>Manny</t>
  </si>
  <si>
    <t>Jade Nacua</t>
  </si>
  <si>
    <t>Manny Salac</t>
  </si>
  <si>
    <t>Dennis</t>
  </si>
  <si>
    <t>Marlon Nacua</t>
  </si>
  <si>
    <t>Lance Villanueva</t>
  </si>
  <si>
    <t>Al</t>
  </si>
  <si>
    <t>Saulon</t>
  </si>
  <si>
    <t>Grey</t>
  </si>
  <si>
    <t>Charrylou</t>
  </si>
  <si>
    <t>Indian blue2</t>
  </si>
  <si>
    <t>Wilfred</t>
  </si>
  <si>
    <t>Tupaz</t>
  </si>
  <si>
    <t>Rodel Rillera</t>
  </si>
  <si>
    <t>Ding</t>
  </si>
  <si>
    <t>Vega</t>
  </si>
  <si>
    <t>Judai Almazan</t>
  </si>
  <si>
    <t>Jodee</t>
  </si>
  <si>
    <t>Leo</t>
  </si>
  <si>
    <t>Villanueva</t>
  </si>
  <si>
    <t>Lance</t>
  </si>
  <si>
    <t>Marivic</t>
  </si>
  <si>
    <t>Rams</t>
  </si>
  <si>
    <t>Miguel araullo</t>
  </si>
  <si>
    <t>Obul</t>
  </si>
  <si>
    <t>Puma socks</t>
  </si>
  <si>
    <t>Ramz</t>
  </si>
  <si>
    <t>Red</t>
  </si>
  <si>
    <t xml:space="preserve">Tall singlet </t>
  </si>
  <si>
    <t>Miguel Araullo</t>
  </si>
  <si>
    <t>Kumar</t>
  </si>
  <si>
    <t>Alden</t>
  </si>
  <si>
    <t>Alden pls bill</t>
  </si>
  <si>
    <t>aldous</t>
  </si>
  <si>
    <t>Aldus</t>
  </si>
  <si>
    <t>amiel</t>
  </si>
  <si>
    <t>Ben</t>
  </si>
  <si>
    <t>Ime De Guzman</t>
  </si>
  <si>
    <t xml:space="preserve">Dennis </t>
  </si>
  <si>
    <t>Emmanuel</t>
  </si>
  <si>
    <t>Guda 1</t>
  </si>
  <si>
    <t>Guda 2</t>
  </si>
  <si>
    <t>Guda 3</t>
  </si>
  <si>
    <t>Henry</t>
  </si>
  <si>
    <t>Indian in red</t>
  </si>
  <si>
    <t>Jodee Vega</t>
  </si>
  <si>
    <t>indie</t>
  </si>
  <si>
    <t>Kevin guo</t>
  </si>
  <si>
    <t xml:space="preserve">Marivic </t>
  </si>
  <si>
    <t>Miguel junior</t>
  </si>
  <si>
    <t>Miguel Araullo pls charge glo</t>
  </si>
  <si>
    <t>Vin tamayo</t>
  </si>
  <si>
    <t>Reagan</t>
  </si>
  <si>
    <t>Guest Fees - 6 Jan</t>
  </si>
  <si>
    <t>AG</t>
  </si>
  <si>
    <t>Guest Fees - 13 Jan</t>
  </si>
  <si>
    <t>Guest Fees - 20 Jan</t>
  </si>
  <si>
    <t>Guest Fees - 27 Jan</t>
  </si>
  <si>
    <t>Guest Fees - Miguel Araullo 13 Jan</t>
  </si>
  <si>
    <t>JG</t>
  </si>
  <si>
    <t>Guest Fees - Miguel Araullo 20 Jan</t>
  </si>
  <si>
    <t>Guest Fees - Junior Guest  20 Jan</t>
  </si>
  <si>
    <t>Wilfred Temporary Suspension</t>
  </si>
  <si>
    <t>MISC</t>
  </si>
  <si>
    <t>Adjustment for Guest Collected Fees</t>
  </si>
  <si>
    <t>Rinalidi</t>
  </si>
  <si>
    <t>Guest Fees - 4 Feb</t>
  </si>
  <si>
    <t>Guest Fees - 11 Feb</t>
  </si>
  <si>
    <t>Jess - Debit for Change Supplied 27 Jan</t>
  </si>
  <si>
    <t>Guest Fees - 19 Feb</t>
  </si>
  <si>
    <t>Previous Overdue - 01896</t>
  </si>
  <si>
    <t>OD</t>
  </si>
  <si>
    <t>Guest Fees - 24 Feb</t>
  </si>
  <si>
    <t>Previous Overdue - 01907</t>
  </si>
  <si>
    <t>Guest Fees - Miguel Araullo 4 Feb</t>
  </si>
  <si>
    <t>Guest Fees - Miguel Araullo 19 Feb</t>
  </si>
  <si>
    <t>Peregrino</t>
  </si>
  <si>
    <t>Previous Overdue - 01895</t>
  </si>
  <si>
    <t>Guest Fees - 3 Mar</t>
  </si>
  <si>
    <t>Previous Overdue - 01911</t>
  </si>
  <si>
    <t>Kim Temporary Suspension</t>
  </si>
  <si>
    <t>Overdue</t>
  </si>
  <si>
    <t>Previous Overdue - 01941</t>
  </si>
  <si>
    <t>Previous Overdue - 01922</t>
  </si>
  <si>
    <t>Previous Overdue - 01925</t>
  </si>
  <si>
    <t>Previous Overdue - 01926</t>
  </si>
  <si>
    <t>Alden bill</t>
  </si>
  <si>
    <t>Fidel</t>
  </si>
  <si>
    <t>Indie 1</t>
  </si>
  <si>
    <t>Indie 2</t>
  </si>
  <si>
    <t>Indie 3</t>
  </si>
  <si>
    <t>Indy 1 in blue</t>
  </si>
  <si>
    <t>Joseph</t>
  </si>
  <si>
    <t xml:space="preserve">Kev +1 jnr, </t>
  </si>
  <si>
    <t>Kevin (jnr) pd 20</t>
  </si>
  <si>
    <t xml:space="preserve">Pinoy 1 = 105 w/ Dasco </t>
  </si>
  <si>
    <t>Miguel</t>
  </si>
  <si>
    <t xml:space="preserve">Miguel Araullo bill Glo </t>
  </si>
  <si>
    <t>Pinoy 1</t>
  </si>
  <si>
    <t>Pinoy 2</t>
  </si>
  <si>
    <t>Vin</t>
  </si>
  <si>
    <t>Pinoy 3</t>
  </si>
  <si>
    <t>Wang</t>
  </si>
  <si>
    <t>Pinoy 4</t>
  </si>
  <si>
    <t>Guest Fees - 10 Mar</t>
  </si>
  <si>
    <t>Guest Fees - 17 Mar</t>
  </si>
  <si>
    <t>Guest Fees - 24 Mar</t>
  </si>
  <si>
    <t>Guest Fees - 31 Mar</t>
  </si>
  <si>
    <t>Guest Fees - Miguel Araullo 3 Mar</t>
  </si>
  <si>
    <t>Guest Fees - Miguel Araullo 24 Mar</t>
  </si>
  <si>
    <t xml:space="preserve">Guest Fees - 17 Mar </t>
  </si>
  <si>
    <t>Dasco Deposit 15 Mar</t>
  </si>
  <si>
    <t>OTHER</t>
  </si>
  <si>
    <t>Court Fees - Training - 1.5 Hours)</t>
  </si>
  <si>
    <t>Previous Overdue - 01982</t>
  </si>
  <si>
    <t>April</t>
  </si>
  <si>
    <t>Previous Overdue - 01987</t>
  </si>
  <si>
    <t>Roxanne Dasco</t>
  </si>
  <si>
    <t>China 1</t>
  </si>
  <si>
    <t>Previous Overdue - 01991</t>
  </si>
  <si>
    <t>Previous Overdue - 01973</t>
  </si>
  <si>
    <t>Previous Overdue - 01980</t>
  </si>
  <si>
    <t>Indie rams</t>
  </si>
  <si>
    <t>Indo 1</t>
  </si>
  <si>
    <t>Jansen</t>
  </si>
  <si>
    <t>Junior jnr</t>
  </si>
  <si>
    <t>Kev jnr</t>
  </si>
  <si>
    <t>Kevin</t>
  </si>
  <si>
    <t>Kevin jnr</t>
  </si>
  <si>
    <t>Rey Rillera</t>
  </si>
  <si>
    <t>Rhia rilleria</t>
  </si>
  <si>
    <t>Timestamp</t>
  </si>
  <si>
    <t>Member Attendance</t>
  </si>
  <si>
    <t>Court x Hours</t>
  </si>
  <si>
    <t>Shuttlecock Tubes Consumed</t>
  </si>
  <si>
    <t>Guest List</t>
  </si>
  <si>
    <t>Other Notes</t>
  </si>
  <si>
    <t>Guest Fees Collected</t>
  </si>
  <si>
    <t>Guest Fees Collected By</t>
  </si>
  <si>
    <t>Guest Fees Collected By [Row 2]</t>
  </si>
  <si>
    <t>Chez Adriano, Dar Adriano, Kim Adriano, Kyle Adriano, Paulo Adriano, Judai Almazan, Majan Almazan, Ruth Almazan, Gloria Araullo, Tina Castillo, Racquel Cruz, West Cruz, Mark Dasco, Roxanne Dasco, Jonathan De Guzman, Ime De Guzman, Roldan Discaya, Aileen Garcia, Jed Garcia, Josel Garcia, Aashish Kumar, Alex Marundan, Glen Macaraeg, Tess Macaraeg, Bimbo Mesina, Maritoni Mesina, Jade Nacua, Marlon Nacua, Lorraine Nacua, Reiner Nalzaro, Reinhardt Nalzaro, Ceth Pangilinan, Jess Pangilinan, Nina Pangilinan, Terry Pangilinan, Allan Puente, Gabrielle Rillera, Marianne Rillera, Rodel Rillera, Gay Salac, Manny Salac, Al Saulon, Charrylou Saulon, Wilfred Tupaz, Ding Vega, Jodee Vega, Leo Villanueva, Lance Villanueva</t>
  </si>
  <si>
    <t>Guest 1</t>
  </si>
  <si>
    <t>Other</t>
  </si>
  <si>
    <t xml:space="preserve">Mark
Dasco
Test
</t>
  </si>
  <si>
    <t>Chez Adriano, Dar Adriano, Kim Adriano, Kyle Adriano, Paulo Adriano, Gloria Araullo, Racquel Cruz, West Cruz, Mark Dasco, Roldan Discaya, Aileen Garcia, Jed Garcia, Josel Garcia, Glen Macaraeg, Tess Macaraeg, Bimbo Mesina, Maritoni Mesina, Jade Nacua, Marlon Nacua, Lorraine Nacua, Reiner Nalzaro, Reinhardt Nalzaro, Gay Salac, Manny Salac, Charrylou Saulon, Ding Vega, Leo Villanueva, Lance Villanueva</t>
  </si>
  <si>
    <t xml:space="preserve">Dennis
Marivic
Rams
Chris
Vikram
</t>
  </si>
  <si>
    <t>Chez Adriano, Dar Adriano, Kim Adriano, Paulo Adriano, Majan Almazan, Gloria Araullo, Tina Castillo, Mark Dasco, Roldan Discaya, Aashish Kumar, Glen Macaraeg, Jade Nacua, Marlon Nacua, Lorraine Nacua, Reiner Nalzaro, Reinhardt Nalzaro, Ceth Pangilinan, Jess Pangilinan, Nina Pangilinan, Terry Pangilinan, Marianne Rillera, Rodel Rillera, Gay Salac, Manny Salac, Ding Vega</t>
  </si>
  <si>
    <t>Vikram
Rams
Red
Rohith Krishna
Grey
Miguel araullo</t>
  </si>
  <si>
    <t>Judai Almazan, Majan Almazan, Gloria Araullo, Mark Dasco, Roldan Discaya, Aashish Kumar, Glen Macaraeg, Tess Macaraeg, Bimbo Mesina, Maritoni Mesina, Reiner Nalzaro, Gay Salac, Manny Salac, Ding Vega</t>
  </si>
  <si>
    <t>Ramz
Grey
Rinaldi Roque
Vikram
Miguel Araullo
Aldous
Krishna
Indian blue2
Almazan junior guest</t>
  </si>
  <si>
    <t>Judai Almazan, Majan Almazan, Ruth Almazan, Mark Dasco, Aashish Kumar, Reiner Nalzaro, Reinhardt Nalzaro, Ceth Pangilinan, Jess Pangilinan, Nina Pangilinan, Gay Salac, Manny Salac, Leo Villanueva, Lance Villanueva</t>
  </si>
  <si>
    <t>Red
Bald
Obul
Tall singlet 
Puma socks
Rinaldi Roque
Rohith Krishna</t>
  </si>
  <si>
    <t>Rohith member —_x0000_— Jes increase fee by $10</t>
  </si>
  <si>
    <t>Dar Adriano, Kyle Adriano, Paulo Adriano, Majan Almazan, Ruth Almazan, Gloria Araullo, Tina Castillo, Racquel Cruz, West Cruz, Mark Dasco, Jonathan De Guzman, Ime De Guzman, Roldan Discaya, Rohith Krishna, Aashish Kumar, Alex Marundan, Glen Macaraeg, Tess Macaraeg, Bimbo Mesina, Maritoni Mesina, Reiner Nalzaro, Reinhardt Nalzaro, Ceth Pangilinan, Jess Pangilinan, Nina Pangilinan, Marianne Rillera, Rinaldi Roque, Gay Salac, Manny Salac, Al Saulon, Charrylou Saulon, Ding Vega, Jodee Vega, Leo Villanueva, Lance Villanueva</t>
  </si>
  <si>
    <t>Emmanuel
Aldus
Vikram
Dennis
Marivic 
Obul
Alden pls bill
Miguel junior</t>
  </si>
  <si>
    <t>Chez Adriano, Dar Adriano, Judai Almazan, Majan Almazan, Ruth Almazan, Gloria Araullo, Tina Castillo, Racquel Cruz, West Cruz, Jonathan De Guzman, Ime De Guzman, Roldan Discaya, Rohith Krishna, Aashish Kumar, Alex Marundan, Glen Macaraeg, Tess Macaraeg, Bimbo Mesina, Maritoni Mesina, Vikram Murthi, Reiner Nalzaro, Marianne Rillera, Rodel Rillera, Rinaldi Roque, Gay Salac, Manny Salac, Ding Vega, Jodee Vega, Leo Villanueva</t>
  </si>
  <si>
    <t>Obul
Dennis 
Marivic
Henry</t>
  </si>
  <si>
    <t>Court 3x4 + 2x2</t>
  </si>
  <si>
    <t>Will</t>
  </si>
  <si>
    <t>Chez Adriano, Dar Adriano, Paulo Adriano, Majan Almazan, Ruth Almazan, Gloria Araullo, Tina Castillo, Jonathan De Guzman, Ime De Guzman, Roldan Discaya, Aashish Kumar, Alex Marundan, Glen Macaraeg, Tess Macaraeg, Bimbo Mesina, Maritoni Mesina, Vikram Murthi, Reiner Nalzaro, Reinhardt Nalzaro, Jess Pangilinan, Nina Pangilinan, Terry Pangilinan, Marianne Rillera, Rodel Rillera, Rinaldi Roque, Gay Salac, Manny Salac, Al Saulon, Charrylou Saulon, Ding Vega, Jodee Vega, Leo Villanueva, Lance Villanueva</t>
  </si>
  <si>
    <t>Reagan
Guda 1
Guda 2
Guda 3
amiel
Ben
indie
aldous
Chris
Miguel Araullo pls charge glo</t>
  </si>
  <si>
    <t>135 with al</t>
  </si>
  <si>
    <t>Chez Adriano, Dar Adriano, Kyle Adriano, Ruth Almazan, Gloria Araullo, Tina Castillo, Mark Dasco, Jonathan De Guzman, Ime De Guzman, Roldan Discaya, Aashish Kumar, Glen Macaraeg, Tess Macaraeg, Bimbo Mesina, Maritoni Mesina, Vikram Murthi, Jade Nacua, Marlon Nacua, Lorraine Nacua, Reiner Nalzaro, Ceth Pangilinan, Jess Pangilinan, Nina Pangilinan, Terry Pangilinan, Gay Salac, Manny Salac, Al Saulon, Charrylou Saulon, Ding Vega, Jodee Vega, Leo Villanueva, Lance Villanueva</t>
  </si>
  <si>
    <t>Kevin guo
Alden
Vin tamayo
Rams
Indian in red</t>
  </si>
  <si>
    <t>Rilliera 1</t>
  </si>
  <si>
    <t>Chez Adriano, Dar Adriano, Kyle Adriano, Paulo Adriano, Ruth Almazan, Gloria Araullo, Tina Castillo, Mark Dasco, Jonathan De Guzman, Ime De Guzman, Roldan Discaya, Aileen Garcia, Jed Garcia, Josel Garcia, Aashish Kumar, Alex Marundan, Glen Macaraeg, Tess Macaraeg, Bimbo Mesina, Maritoni Mesina, Vikram Murthi, Marlon Nacua, Lorraine Nacua, Reinhardt Nalzaro, Ceth Pangilinan, Jess Pangilinan, Terry Pangilinan, Allan Puente, Marianne Rillera, Rodel Rillera, Rinaldi Roque, Gay Salac, Manny Salac, Al Saulon, Charrylou Saulon, Ding Vega, Jodee Vega, Leo Villanueva, Lance Villanueva</t>
  </si>
  <si>
    <t xml:space="preserve">Indie 1
Indie 2
Indie 3
Guda 1
Guda 2
Emmanuel
Pinoy 1 = 105 w/ Dasco 
Kev +1 jnr, 
Alden bill
Miguel Araullo bill Glo </t>
  </si>
  <si>
    <t>Rilliera 2</t>
  </si>
  <si>
    <t>Chez Adriano, Dar Adriano, Paulo Adriano, Majan Almazan, Ruth Almazan, Gloria Araullo, Racquel Cruz, West Cruz, Mark Dasco, Jonathan De Guzman, Ime De Guzman, Jed Garcia, Josel Garcia, Aashish Kumar, Alex Marundan, Vikram Murthi, Jade Nacua, Marlon Nacua, Lorraine Nacua, Reiner Nalzaro, Reinhardt Nalzaro, Allan Puente, Marianne Rillera, Rodel Rillera, Rinaldi Roque, Gay Salac, Manny Salac, Al Saulon, Ding Vega, Jodee Vega, Leo Villanueva, Lance Villanueva</t>
  </si>
  <si>
    <t>Indie 1
Indie 2
Aldous
Wang
Indie 3</t>
  </si>
  <si>
    <t>Majan Almazan, Ruth Almazan, Gloria Araullo, Tina Castillo, West Cruz, Jonathan De Guzman, Ime De Guzman, Roldan Discaya, Aileen Garcia, Jed Garcia, Josel Garcia, Rohith Krishna, Aashish Kumar, Glen Macaraeg, Tess Macaraeg, Vikram Murthi, Jade Nacua, Marlon Nacua, Lorraine Nacua, Reiner Nalzaro, Ceth Pangilinan, Jess Pangilinan, Nina Pangilinan, Terry Pangilinan, Marianne Rillera, Rinaldi Roque, Gay Salac, Manny Salac, Al Saulon, Charrylou Saulon, Ding Vega, Jodee Vega, Leo Villanueva, Lance Villanueva</t>
  </si>
  <si>
    <t xml:space="preserve">Pinoy 1
Pinoy 2
Pinoy 3
Pinoy 4
Kevin (jnr) pd 20
</t>
  </si>
  <si>
    <t>Dar Adriano, Paulo Adriano, Ruth Almazan, Gloria Araullo, Racquel Cruz, West Cruz, Mark Dasco, Jonathan De Guzman, Ime De Guzman, Roldan Discaya, Jed Garcia, Josel Garcia, Bimbo Mesina, Maritoni Mesina, Vikram Murthi, Jade Nacua, Lorraine Nacua, Reiner Nalzaro, Reinhardt Nalzaro, Marianne Rillera, Rodel Rillera, Gay Salac, Manny Salac, Al Saulon, Leo Villanueva</t>
  </si>
  <si>
    <t xml:space="preserve">Joseph
Vin
Fidel
Chris
Indy 1 in blue
Pinoy 1
Pinoy 2
Miguel
</t>
  </si>
  <si>
    <t>Chez Adriano, Dar Adriano, Kyle Adriano, Paulo Adriano, Judai Almazan, Majan Almazan, Ruth Almazan, Gloria Araullo, Tina Castillo, Racquel Cruz, West Cruz, Mark Dasco, Jonathan De Guzman, Ime De Guzman, Aileen Garcia, Jed Garcia, Josel Garcia, Glen Macaraeg, Tess Macaraeg, Bimbo Mesina, Maritoni Mesina, Vikram Murthi, Jade Nacua, Marlon Nacua, Lorraine Nacua, Reiner Nalzaro, Reinhardt Nalzaro, Allan Puente, Marianne Rillera, Rodel Rillera, Gay Salac, Manny Salac, Al Saulon, Charrylou Saulon, Jodee Vega, Leo Villanueva, Lance Villanueva</t>
  </si>
  <si>
    <t>Joseph
Guda 1
Guda 2
Indo 1
Indie rams
Rey Rillera
Rhia rilleria
Kevin</t>
  </si>
  <si>
    <t>Miguel
Jun Rey  pls bill</t>
  </si>
  <si>
    <t>Chez Adriano, Dar Adriano, Paulo Adriano, Gloria Araullo, Tina Castillo, Racquel Cruz, West Cruz, Mark Dasco, Roxanne Dasco, Jonathan De Guzman, Ime De Guzman, Aileen Garcia, Jed Garcia, Josel Garcia, Aashish Kumar, Glen Macaraeg, Tess Macaraeg, Jade Nacua, Marlon Nacua, Lorraine Nacua, Reinhardt Nalzaro, Ceth Pangilinan, Jess Pangilinan, Nina Pangilinan, Terry Pangilinan, Marianne Rillera, Rodel Rillera, Gay Salac, Manny Salac, Al Saulon, Charrylou Saulon, Wilfred Tupaz, Leo Villanueva, Lance Villanueva</t>
  </si>
  <si>
    <t>Guda 1
Guda 2
Indie 1
Indie 2
Indie 3
Rilliera 1
Rilliera 2
Aldous
Kevin
Joseph</t>
  </si>
  <si>
    <t>Jun Rey bill</t>
  </si>
  <si>
    <t>Chez Adriano, Dar Adriano, Paulo Adriano, Gloria Araullo, Tina Castillo, Mark Dasco, Roldan Discaya, Jed Garcia, Josel Garcia, Aashish Kumar, Alex Marundan, Glen Macaraeg, Tess Macaraeg, Bimbo Mesina, Maritoni Mesina, Marlon Nacua, Lorraine Nacua, Reinhardt Nalzaro, Ceth Pangilinan, Jess Pangilinan, Nina Pangilinan, Terry Pangilinan, Marianne Rillera, Rodel Rillera, Gay Salac, Manny Salac, Al Saulon, Charrylou Saulon, Jodee Vega, Leo Villanueva, Lance Villanueva</t>
  </si>
  <si>
    <t>Guda 1
Guda 2
Jansen
Indie 1
Indie 2
China 1
Joseph
Aldous
Chris
Junior jnr
Kev jnr
Reagan</t>
  </si>
  <si>
    <t xml:space="preserve">Miguel bill 
</t>
  </si>
  <si>
    <t>Chez Adriano, Dar Adriano, Kyle Adriano, Paulo Adriano, Judai Almazan, Majan Almazan, Ruth Almazan, Gloria Araullo, Mark Dasco, Jonathan De Guzman, Ime De Guzman, Roldan Discaya, Aileen Garcia, Jed Garcia, Josel Garcia, Alex Marundan, Jade Nacua, Marlon Nacua, Lorraine Nacua, Reiner Nalzaro, Reinhardt Nalzaro, Allan Puente, Gay Salac, Manny Salac, Al Saulon, Wilfred Tupaz, Ding Vega, Jodee Vega, Leo Villanueva</t>
  </si>
  <si>
    <t>April
Indie 1
Will
Joseph
Kevin jnr</t>
  </si>
  <si>
    <t>Miguel pls charge glo</t>
  </si>
  <si>
    <t>Dar Adriano, Judai Almazan, Ruth Almazan, Gloria Araullo, Tina Castillo, Racquel Cruz, West Cruz, Mark Dasco, Jonathan De Guzman, Ime De Guzman, Roldan Discaya, Aileen Garcia, Jed Garcia, Josel Garcia, Aashish Kumar, Glen Macaraeg, Tess Macaraeg, Vikram Murthi, Jade Nacua, Marlon Nacua, Lorraine Nacua, Reiner Nalzaro, Allan Puente, Marianne Rillera, Rodel Rillera, Gay Salac, Manny Salac, Charrylou Saulon, Wilfred Tupaz</t>
  </si>
  <si>
    <t>Rams
Joseph
Joseph Indo
Hardeep
Chris
Aldus
Will</t>
  </si>
  <si>
    <t>Manny Araullo - pls bill</t>
  </si>
  <si>
    <t>Chez Adriano, Dar Adriano, Kyle Adriano, Paulo Adriano, Judai Almazan, Majan Almazan, Ruth Almazan, Gloria Araullo, Tina Castillo, Mark Dasco, Jonathan De Guzman, Ime De Guzman, Roldan Discaya, Aileen Garcia, Jed Garcia, Josel Garcia, Aashish Kumar, Bimbo Mesina, Maritoni Mesina, Vikram Murthi, Jade Nacua, Marlon Nacua, Lorraine Nacua, Reiner Nalzaro, Reinhardt Nalzaro, Marianne Rillera, Rodel Rillera, Gay Salac, Manny Salac, Al Saulon, Wilfred Tupaz</t>
  </si>
  <si>
    <t>Marivic
Dennis
Joseph
Chris
Wil
Hardeep</t>
  </si>
  <si>
    <t>Manny to bill
Miguel
Kevin</t>
  </si>
  <si>
    <t>Hardeep</t>
  </si>
  <si>
    <t>Joseph Indo</t>
  </si>
  <si>
    <t>Wil</t>
  </si>
  <si>
    <t>Guest Fees - 7 Apr</t>
  </si>
  <si>
    <t>Guest Fees - 14 Apr</t>
  </si>
  <si>
    <t>Guest Fees - 21 Apr</t>
  </si>
  <si>
    <t>Guest Fees - 28 Apr</t>
  </si>
  <si>
    <t>Guest Fees - 7 Apr Miguel Araullo</t>
  </si>
  <si>
    <t>Guest Fees - 21 Apr Miguel Araullo</t>
  </si>
  <si>
    <t>Jan</t>
  </si>
  <si>
    <t>Guest Fees - 28 Apr Miguel Araullo</t>
  </si>
  <si>
    <t>Feb</t>
  </si>
  <si>
    <t>Mar</t>
  </si>
  <si>
    <t>Apr</t>
  </si>
  <si>
    <t>Jun</t>
  </si>
  <si>
    <t>May</t>
  </si>
  <si>
    <t>Rey</t>
  </si>
  <si>
    <t>Jul</t>
  </si>
  <si>
    <t>Aug</t>
  </si>
  <si>
    <t>Sep</t>
  </si>
  <si>
    <t>Oct</t>
  </si>
  <si>
    <t>Nov</t>
  </si>
  <si>
    <t>Dec</t>
  </si>
  <si>
    <t>Revenue</t>
  </si>
  <si>
    <t xml:space="preserve">Guest Fees - 7 Apr </t>
  </si>
  <si>
    <t xml:space="preserve">   Adult Members</t>
  </si>
  <si>
    <t xml:space="preserve">Guest Fees - 14 Apr </t>
  </si>
  <si>
    <t>Rohith Temporary Suspension</t>
  </si>
  <si>
    <t xml:space="preserve">   Junior Members</t>
  </si>
  <si>
    <t>Previous Overdue - 02010</t>
  </si>
  <si>
    <t>Previous Overdue - 02001</t>
  </si>
  <si>
    <t xml:space="preserve">   Adult Guests</t>
  </si>
  <si>
    <t xml:space="preserve">   Junior Guests</t>
  </si>
  <si>
    <t xml:space="preserve">   Other</t>
  </si>
  <si>
    <t>Expenses</t>
  </si>
  <si>
    <t xml:space="preserve">   Court Fees</t>
  </si>
  <si>
    <t xml:space="preserve">   Shuttles</t>
  </si>
  <si>
    <t xml:space="preserve">   Paypal Transaction Fees</t>
  </si>
  <si>
    <t xml:space="preserve">   Invoice System</t>
  </si>
  <si>
    <t>Net Monthly Position</t>
  </si>
  <si>
    <t>Net Position as At 7/04/2018</t>
  </si>
  <si>
    <t>Assets</t>
  </si>
  <si>
    <t xml:space="preserve">  Cash At Bank</t>
  </si>
  <si>
    <t xml:space="preserve">  Cash at Paypal</t>
  </si>
  <si>
    <t xml:space="preserve">  Receivables</t>
  </si>
  <si>
    <t>Liabilities</t>
  </si>
  <si>
    <t xml:space="preserve">  Court Fees Owing</t>
  </si>
  <si>
    <t xml:space="preserve">    Nov - Dec (99 Court Hours)</t>
  </si>
  <si>
    <t xml:space="preserve">    Jan</t>
  </si>
  <si>
    <t xml:space="preserve">    Feb</t>
  </si>
  <si>
    <t xml:space="preserve">    Mar</t>
  </si>
  <si>
    <t xml:space="preserve">   Next Batch of Shuttles</t>
  </si>
  <si>
    <t>Net</t>
  </si>
  <si>
    <t>Net Position as At 13/05/2018</t>
  </si>
  <si>
    <t>Guest Fees - 5 May</t>
  </si>
  <si>
    <t>Guest Fees - 12 May</t>
  </si>
  <si>
    <t>Guest Fees - 19 May</t>
  </si>
  <si>
    <t>Guest Fees - 26 May</t>
  </si>
  <si>
    <t>Guest Fees - 5 May Manny Araullo</t>
  </si>
  <si>
    <t>Guest Fees - 12 May Miguel Araullo</t>
  </si>
  <si>
    <t>Guest Fees - 12 May Manny Araullo</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</si>
</sst>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d mmm yyyy"/>
    <numFmt numFmtId="166" formatCode="d mmm"/>
    <numFmt numFmtId="167" formatCode="m/d/yyyy h:mm:ss"/>
    <numFmt numFmtId="168" formatCode="$#,##0.00"/>
  </numFmts>
  <fonts count="16">
    <font>
      <sz val="10.0"/>
      <color rgb="FF000000"/>
      <name val="Arial"/>
    </font>
    <font>
      <b/>
    </font>
    <font>
      <b/>
      <sz val="12.0"/>
    </font>
    <font>
      <b/>
      <sz val="10.0"/>
    </font>
    <font/>
    <font>
      <b/>
      <sz val="12.0"/>
      <color rgb="FF000000"/>
    </font>
    <font>
      <sz val="10.0"/>
      <color rgb="FF000000"/>
    </font>
    <font>
      <b/>
      <sz val="14.0"/>
    </font>
    <font>
      <sz val="14.0"/>
    </font>
    <font>
      <sz val="9.0"/>
      <color rgb="FF4C4C4C"/>
      <name val="Arial"/>
    </font>
    <font>
      <u/>
      <sz val="10.0"/>
      <color rgb="FF000000"/>
    </font>
    <font>
      <i/>
      <color rgb="FF979797"/>
      <name val="Arial"/>
    </font>
    <font>
      <i/>
      <sz val="12.0"/>
      <color rgb="FF009933"/>
      <name val="Arial"/>
    </font>
    <font>
      <u/>
      <sz val="10.0"/>
      <color rgb="FF000000"/>
    </font>
    <font>
      <sz val="8.0"/>
      <color rgb="FF000000"/>
    </font>
    <font>
      <sz val="11.0"/>
      <color rgb="FF000000"/>
      <name val="Inconsolata"/>
    </font>
  </fonts>
  <fills count="7">
    <fill>
      <patternFill patternType="none"/>
    </fill>
    <fill>
      <patternFill patternType="lightGray"/>
    </fill>
    <fill>
      <patternFill patternType="solid">
        <fgColor rgb="FFFFFF99"/>
        <bgColor rgb="FFFFFF99"/>
      </patternFill>
    </fill>
    <fill>
      <patternFill patternType="solid">
        <fgColor rgb="FFFFFFCC"/>
        <bgColor rgb="FFFFFFCC"/>
      </patternFill>
    </fill>
    <fill>
      <patternFill patternType="solid">
        <fgColor rgb="FFFFFFFF"/>
        <bgColor rgb="FFFFFFFF"/>
      </patternFill>
    </fill>
    <fill>
      <patternFill patternType="solid">
        <fgColor rgb="FFDD7E6B"/>
        <bgColor rgb="FFDD7E6B"/>
      </patternFill>
    </fill>
    <fill>
      <patternFill patternType="solid">
        <fgColor rgb="FFE6B8AF"/>
        <bgColor rgb="FFE6B8AF"/>
      </patternFill>
    </fill>
  </fills>
  <borders count="2">
    <border/>
    <border>
      <top style="thin">
        <color rgb="FF000000"/>
      </top>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164" xfId="0" applyAlignment="1" applyFont="1" applyNumberFormat="1">
      <alignment readingOrder="0" shrinkToFit="0" wrapText="1"/>
    </xf>
    <xf borderId="0" fillId="2" fontId="2" numFmtId="0" xfId="0" applyAlignment="1" applyFill="1" applyFont="1">
      <alignment horizontal="center" shrinkToFit="0" vertical="bottom" wrapText="1"/>
    </xf>
    <xf borderId="0" fillId="2" fontId="3" numFmtId="0" xfId="0" applyAlignment="1" applyFont="1">
      <alignment readingOrder="0" shrinkToFit="0" wrapText="1"/>
    </xf>
    <xf borderId="0" fillId="2" fontId="2" numFmtId="0" xfId="0" applyAlignment="1" applyFont="1">
      <alignment horizontal="center" readingOrder="0" shrinkToFit="0" vertical="bottom" wrapText="1"/>
    </xf>
    <xf borderId="0" fillId="0" fontId="4" numFmtId="0" xfId="0" applyAlignment="1" applyFont="1">
      <alignment readingOrder="0" shrinkToFit="0" wrapText="1"/>
    </xf>
    <xf borderId="0" fillId="2" fontId="5" numFmtId="0" xfId="0" applyAlignment="1" applyFont="1">
      <alignment horizontal="center" shrinkToFit="0" vertical="bottom" wrapText="1"/>
    </xf>
    <xf borderId="0" fillId="0" fontId="4" numFmtId="164" xfId="0" applyAlignment="1" applyFont="1" applyNumberFormat="1">
      <alignment readingOrder="0" shrinkToFit="0" wrapText="1"/>
    </xf>
    <xf borderId="0" fillId="2" fontId="2" numFmtId="0" xfId="0" applyAlignment="1" applyFont="1">
      <alignment horizontal="center" readingOrder="0" shrinkToFit="0" vertical="bottom" wrapText="1"/>
    </xf>
    <xf borderId="0" fillId="2" fontId="3" numFmtId="0" xfId="0" applyAlignment="1" applyFont="1">
      <alignment horizontal="center" readingOrder="0" shrinkToFit="0" vertical="bottom" wrapText="1"/>
    </xf>
    <xf borderId="0" fillId="3" fontId="6" numFmtId="0" xfId="0" applyAlignment="1" applyFill="1" applyFont="1">
      <alignment horizontal="left" shrinkToFit="0" vertical="bottom" wrapText="1"/>
    </xf>
    <xf quotePrefix="1" borderId="0" fillId="3" fontId="4" numFmtId="0" xfId="0" applyAlignment="1" applyFont="1">
      <alignment readingOrder="0" shrinkToFit="0" wrapText="1"/>
    </xf>
    <xf borderId="0" fillId="3" fontId="4" numFmtId="0" xfId="0" applyAlignment="1" applyFont="1">
      <alignment readingOrder="0" shrinkToFit="0" wrapText="1"/>
    </xf>
    <xf borderId="0" fillId="0" fontId="1" numFmtId="164" xfId="0" applyAlignment="1" applyFont="1" applyNumberFormat="1">
      <alignment shrinkToFit="0" wrapText="1"/>
    </xf>
    <xf borderId="0" fillId="3" fontId="4" numFmtId="0" xfId="0" applyAlignment="1" applyFont="1">
      <alignment horizontal="right" shrinkToFit="0" vertical="bottom" wrapText="1"/>
    </xf>
    <xf borderId="0" fillId="3" fontId="4" numFmtId="0" xfId="0" applyAlignment="1" applyFont="1">
      <alignment horizontal="left" shrinkToFit="0" vertical="bottom" wrapText="1"/>
    </xf>
    <xf quotePrefix="1" borderId="0" fillId="2" fontId="4" numFmtId="0" xfId="0" applyAlignment="1" applyFont="1">
      <alignment readingOrder="0" shrinkToFit="0" wrapText="1"/>
    </xf>
    <xf borderId="0" fillId="0" fontId="4" numFmtId="164" xfId="0" applyAlignment="1" applyFont="1" applyNumberFormat="1">
      <alignment shrinkToFit="0" wrapText="1"/>
    </xf>
    <xf borderId="0" fillId="2" fontId="4" numFmtId="0" xfId="0" applyAlignment="1" applyFont="1">
      <alignment readingOrder="0" shrinkToFit="0" wrapText="1"/>
    </xf>
    <xf borderId="0" fillId="3" fontId="4" numFmtId="0" xfId="0" applyAlignment="1" applyFont="1">
      <alignment horizontal="center" readingOrder="0" shrinkToFit="0" vertical="bottom" wrapText="1"/>
    </xf>
    <xf borderId="0" fillId="2" fontId="4" numFmtId="0" xfId="0" applyAlignment="1" applyFont="1">
      <alignment horizontal="right" shrinkToFit="0" vertical="bottom" wrapText="1"/>
    </xf>
    <xf borderId="0" fillId="2" fontId="6" numFmtId="0" xfId="0" applyAlignment="1" applyFont="1">
      <alignment horizontal="left" shrinkToFit="0" vertical="bottom" wrapText="1"/>
    </xf>
    <xf borderId="0" fillId="2" fontId="4" numFmtId="0" xfId="0" applyAlignment="1" applyFont="1">
      <alignment horizontal="left" shrinkToFit="0" vertical="bottom" wrapText="1"/>
    </xf>
    <xf borderId="0" fillId="2" fontId="4" numFmtId="0" xfId="0" applyAlignment="1" applyFont="1">
      <alignment horizontal="center" readingOrder="0" shrinkToFit="0" vertical="bottom" wrapText="1"/>
    </xf>
    <xf borderId="0" fillId="0" fontId="7" numFmtId="164" xfId="0" applyAlignment="1" applyFont="1" applyNumberFormat="1">
      <alignment shrinkToFit="0" wrapText="1"/>
    </xf>
    <xf borderId="0" fillId="0" fontId="7" numFmtId="0" xfId="0" applyAlignment="1" applyFont="1">
      <alignment readingOrder="0" shrinkToFit="0" wrapText="1"/>
    </xf>
    <xf borderId="0" fillId="2" fontId="4" numFmtId="0" xfId="0" applyAlignment="1" applyFont="1">
      <alignment horizontal="center" readingOrder="0" shrinkToFit="0" vertical="bottom" wrapText="1"/>
    </xf>
    <xf borderId="0" fillId="2" fontId="4" numFmtId="0" xfId="0" applyAlignment="1" applyFont="1">
      <alignment readingOrder="0" shrinkToFit="0" wrapText="1"/>
    </xf>
    <xf borderId="0" fillId="0" fontId="8" numFmtId="0" xfId="0" applyAlignment="1" applyFont="1">
      <alignment shrinkToFit="0" wrapText="1"/>
    </xf>
    <xf borderId="0" fillId="4" fontId="9" numFmtId="165" xfId="0" applyAlignment="1" applyFill="1" applyFont="1" applyNumberFormat="1">
      <alignment horizontal="left" readingOrder="0" shrinkToFit="0" vertical="top" wrapText="0"/>
    </xf>
    <xf borderId="0" fillId="2" fontId="10" numFmtId="0" xfId="0" applyAlignment="1" applyFont="1">
      <alignment horizontal="left" shrinkToFit="0" vertical="bottom" wrapText="1"/>
    </xf>
    <xf borderId="0" fillId="4" fontId="11" numFmtId="0" xfId="0" applyAlignment="1" applyFont="1">
      <alignment horizontal="left" readingOrder="0" shrinkToFit="0" vertical="top" wrapText="1"/>
    </xf>
    <xf borderId="0" fillId="4" fontId="12" numFmtId="0" xfId="0" applyAlignment="1" applyFont="1">
      <alignment horizontal="center" readingOrder="0" shrinkToFit="0" wrapText="0"/>
    </xf>
    <xf borderId="0" fillId="3" fontId="13" numFmtId="0" xfId="0" applyAlignment="1" applyFont="1">
      <alignment horizontal="left" shrinkToFit="0" vertical="bottom" wrapText="1"/>
    </xf>
    <xf borderId="0" fillId="3" fontId="4" numFmtId="0" xfId="0" applyAlignment="1" applyFont="1">
      <alignment readingOrder="0" shrinkToFit="0" wrapText="1"/>
    </xf>
    <xf borderId="0" fillId="0" fontId="4" numFmtId="166" xfId="0" applyAlignment="1" applyFont="1" applyNumberFormat="1">
      <alignment readingOrder="0" shrinkToFit="0" wrapText="1"/>
    </xf>
    <xf borderId="0" fillId="3" fontId="4" numFmtId="0" xfId="0" applyAlignment="1" applyFont="1">
      <alignment horizontal="right" readingOrder="0" shrinkToFit="0" vertical="bottom" wrapText="1"/>
    </xf>
    <xf borderId="0" fillId="2" fontId="4" numFmtId="0" xfId="0" applyAlignment="1" applyFont="1">
      <alignment horizontal="center" shrinkToFit="0" vertical="bottom" wrapText="1"/>
    </xf>
    <xf borderId="0" fillId="2" fontId="4" numFmtId="0" xfId="0" applyAlignment="1" applyFont="1">
      <alignment horizontal="right" readingOrder="0" shrinkToFit="0" vertical="bottom" wrapText="1"/>
    </xf>
    <xf borderId="0" fillId="3" fontId="4" numFmtId="0" xfId="0" applyAlignment="1" applyFont="1">
      <alignment horizontal="center" shrinkToFit="0" vertical="bottom" wrapText="1"/>
    </xf>
    <xf borderId="0" fillId="3" fontId="4" numFmtId="0" xfId="0" applyAlignment="1" applyFont="1">
      <alignment horizontal="right" readingOrder="0" shrinkToFit="0" vertical="bottom" wrapText="1"/>
    </xf>
    <xf borderId="0" fillId="2" fontId="4" numFmtId="0" xfId="0" applyAlignment="1" applyFont="1">
      <alignment horizontal="right" readingOrder="0" shrinkToFit="0" vertical="bottom" wrapText="1"/>
    </xf>
    <xf quotePrefix="1" borderId="0" fillId="3" fontId="4" numFmtId="0" xfId="0" applyAlignment="1" applyFont="1">
      <alignment horizontal="right" readingOrder="0" shrinkToFit="0" vertical="bottom" wrapText="1"/>
    </xf>
    <xf quotePrefix="1" borderId="0" fillId="2" fontId="4" numFmtId="0" xfId="0" applyAlignment="1" applyFont="1">
      <alignment horizontal="right" readingOrder="0" shrinkToFit="0" vertical="bottom" wrapText="1"/>
    </xf>
    <xf borderId="0" fillId="2" fontId="6" numFmtId="0" xfId="0" applyAlignment="1" applyFont="1">
      <alignment horizontal="left" readingOrder="0" shrinkToFit="0" vertical="bottom" wrapText="1"/>
    </xf>
    <xf borderId="0" fillId="0" fontId="3" numFmtId="0" xfId="0" applyAlignment="1" applyFont="1">
      <alignment readingOrder="0" shrinkToFit="0" wrapText="1"/>
    </xf>
    <xf borderId="0" fillId="0" fontId="3" numFmtId="0" xfId="0" applyAlignment="1" applyFont="1">
      <alignment horizontal="center" readingOrder="0" shrinkToFit="0" vertical="bottom" wrapText="1"/>
    </xf>
    <xf borderId="0" fillId="0" fontId="3" numFmtId="167" xfId="0" applyAlignment="1" applyFont="1" applyNumberFormat="1">
      <alignment horizontal="center" readingOrder="0" shrinkToFit="0" vertical="bottom" wrapText="1"/>
    </xf>
    <xf borderId="0" fillId="0" fontId="3" numFmtId="0" xfId="0" applyAlignment="1" applyFont="1">
      <alignment horizontal="center" readingOrder="0" shrinkToFit="0" vertical="bottom" wrapText="1"/>
    </xf>
    <xf borderId="0" fillId="2" fontId="14" numFmtId="0" xfId="0" applyAlignment="1" applyFont="1">
      <alignment horizontal="center" readingOrder="0" shrinkToFit="0" vertical="bottom" wrapText="1"/>
    </xf>
    <xf borderId="0" fillId="0" fontId="4" numFmtId="0" xfId="0" applyAlignment="1" applyFont="1">
      <alignment readingOrder="0" shrinkToFit="0" wrapText="1"/>
    </xf>
    <xf borderId="0" fillId="2" fontId="14" numFmtId="0" xfId="0" applyAlignment="1" applyFont="1">
      <alignment horizontal="center" shrinkToFit="0" vertical="bottom" wrapText="1"/>
    </xf>
    <xf borderId="0" fillId="0" fontId="2" numFmtId="0" xfId="0" applyAlignment="1" applyFont="1">
      <alignment horizontal="center" shrinkToFit="0" vertical="bottom" wrapText="1"/>
    </xf>
    <xf borderId="0" fillId="2" fontId="4" numFmtId="0" xfId="0" applyAlignment="1" applyFont="1">
      <alignment horizontal="right" shrinkToFit="0" wrapText="1"/>
    </xf>
    <xf borderId="0" fillId="0" fontId="3" numFmtId="0" xfId="0" applyAlignment="1" applyFont="1">
      <alignment horizontal="center" shrinkToFit="0" vertical="bottom" wrapText="1"/>
    </xf>
    <xf borderId="0" fillId="0" fontId="3" numFmtId="0" xfId="0" applyAlignment="1" applyFont="1">
      <alignment shrinkToFit="0" wrapText="1"/>
    </xf>
    <xf borderId="0" fillId="2" fontId="4" numFmtId="0" xfId="0" applyAlignment="1" applyFont="1">
      <alignment shrinkToFit="0" wrapText="1"/>
    </xf>
    <xf borderId="0" fillId="4" fontId="4" numFmtId="0" xfId="0" applyAlignment="1" applyFont="1">
      <alignment shrinkToFit="0" wrapText="1"/>
    </xf>
    <xf borderId="0" fillId="4" fontId="4" numFmtId="0" xfId="0" applyAlignment="1" applyFont="1">
      <alignment shrinkToFit="0" wrapText="1"/>
    </xf>
    <xf borderId="0" fillId="0" fontId="4" numFmtId="0" xfId="0" applyAlignment="1" applyFont="1">
      <alignment shrinkToFit="0" wrapText="1"/>
    </xf>
    <xf borderId="0" fillId="2" fontId="4" numFmtId="168" xfId="0" applyAlignment="1" applyFont="1" applyNumberFormat="1">
      <alignment shrinkToFit="0" wrapText="1"/>
    </xf>
    <xf borderId="0" fillId="2" fontId="14" numFmtId="0" xfId="0" applyAlignment="1" applyFont="1">
      <alignment horizontal="center" readingOrder="0" shrinkToFit="0" vertical="bottom" wrapText="1"/>
    </xf>
    <xf borderId="0" fillId="4" fontId="15" numFmtId="0" xfId="0" applyAlignment="1" applyFont="1">
      <alignment shrinkToFit="0" wrapText="1"/>
    </xf>
    <xf borderId="0" fillId="0" fontId="4" numFmtId="0" xfId="0" applyAlignment="1" applyFont="1">
      <alignment readingOrder="0" shrinkToFit="0" wrapText="1"/>
    </xf>
    <xf borderId="0" fillId="0" fontId="4" numFmtId="0" xfId="0" applyAlignment="1" applyFont="1">
      <alignment horizontal="left" readingOrder="0" shrinkToFit="0" vertical="bottom" wrapText="1"/>
    </xf>
    <xf borderId="0" fillId="0" fontId="4" numFmtId="0" xfId="0" applyAlignment="1" applyFont="1">
      <alignment horizontal="center" shrinkToFit="0" vertical="bottom" wrapText="1"/>
    </xf>
    <xf borderId="0" fillId="2" fontId="4" numFmtId="0" xfId="0" applyAlignment="1" applyFont="1">
      <alignment horizontal="right" readingOrder="0" shrinkToFit="0" wrapText="1"/>
    </xf>
    <xf borderId="0" fillId="4" fontId="15" numFmtId="0" xfId="0" applyAlignment="1" applyFont="1">
      <alignment shrinkToFit="0" wrapText="1"/>
    </xf>
    <xf borderId="0" fillId="2" fontId="4" numFmtId="168" xfId="0" applyAlignment="1" applyFont="1" applyNumberFormat="1">
      <alignment readingOrder="0" shrinkToFit="0" wrapText="1"/>
    </xf>
    <xf borderId="0" fillId="0" fontId="4" numFmtId="0" xfId="0" applyAlignment="1" applyFont="1">
      <alignment horizontal="right" shrinkToFit="0" wrapText="1"/>
    </xf>
    <xf borderId="0" fillId="2" fontId="4" numFmtId="0" xfId="0" applyAlignment="1" applyFont="1">
      <alignment readingOrder="0" shrinkToFit="0" wrapText="1"/>
    </xf>
    <xf borderId="0" fillId="2" fontId="4" numFmtId="0" xfId="0" applyAlignment="1" applyFont="1">
      <alignment horizontal="center" readingOrder="0" shrinkToFit="0" wrapText="1"/>
    </xf>
    <xf borderId="0" fillId="2" fontId="4" numFmtId="0" xfId="0" applyAlignment="1" applyFont="1">
      <alignment horizontal="center" readingOrder="0" shrinkToFit="0" wrapText="1"/>
    </xf>
    <xf borderId="0" fillId="0" fontId="14" numFmtId="0" xfId="0" applyAlignment="1" applyFont="1">
      <alignment horizontal="center" readingOrder="0" shrinkToFit="0" vertical="bottom" wrapText="1"/>
    </xf>
    <xf borderId="0" fillId="0" fontId="14" numFmtId="0" xfId="0" applyAlignment="1" applyFont="1">
      <alignment horizontal="center" shrinkToFit="0" vertical="bottom" wrapText="1"/>
    </xf>
    <xf borderId="0" fillId="0" fontId="3" numFmtId="168" xfId="0" applyAlignment="1" applyFont="1" applyNumberFormat="1">
      <alignment shrinkToFit="0" wrapText="1"/>
    </xf>
    <xf borderId="0" fillId="0" fontId="1" numFmtId="0" xfId="0" applyAlignment="1" applyFont="1">
      <alignment readingOrder="0" shrinkToFit="0" wrapText="1"/>
    </xf>
    <xf borderId="0" fillId="5" fontId="14" numFmtId="0" xfId="0" applyAlignment="1" applyFill="1" applyFont="1">
      <alignment horizontal="center" readingOrder="0" shrinkToFit="0" vertical="bottom" wrapText="1"/>
    </xf>
    <xf borderId="0" fillId="5" fontId="14" numFmtId="0" xfId="0" applyAlignment="1" applyFont="1">
      <alignment horizontal="center" shrinkToFit="0" vertical="bottom" wrapText="1"/>
    </xf>
    <xf borderId="0" fillId="5" fontId="4" numFmtId="0" xfId="0" applyAlignment="1" applyFont="1">
      <alignment horizontal="right" shrinkToFit="0" wrapText="1"/>
    </xf>
    <xf borderId="0" fillId="5" fontId="4" numFmtId="0" xfId="0" applyAlignment="1" applyFont="1">
      <alignment readingOrder="0" shrinkToFit="0" wrapText="1"/>
    </xf>
    <xf borderId="0" fillId="5" fontId="4" numFmtId="0" xfId="0" applyAlignment="1" applyFont="1">
      <alignment shrinkToFit="0" wrapText="1"/>
    </xf>
    <xf borderId="0" fillId="5" fontId="4" numFmtId="0" xfId="0" applyAlignment="1" applyFont="1">
      <alignment horizontal="center" readingOrder="0" shrinkToFit="0" vertical="bottom" wrapText="1"/>
    </xf>
    <xf borderId="0" fillId="5" fontId="4" numFmtId="168" xfId="0" applyAlignment="1" applyFont="1" applyNumberFormat="1">
      <alignment shrinkToFit="0" wrapText="1"/>
    </xf>
    <xf borderId="0" fillId="0" fontId="4" numFmtId="167" xfId="0" applyAlignment="1" applyFont="1" applyNumberFormat="1">
      <alignment readingOrder="0" shrinkToFit="0" wrapText="1"/>
    </xf>
    <xf borderId="0" fillId="6" fontId="4" numFmtId="168" xfId="0" applyAlignment="1" applyFill="1" applyFont="1" applyNumberFormat="1">
      <alignment shrinkToFit="0" wrapText="1"/>
    </xf>
    <xf borderId="0" fillId="6" fontId="15" numFmtId="0" xfId="0" applyAlignment="1" applyFont="1">
      <alignment shrinkToFit="0" wrapText="1"/>
    </xf>
    <xf borderId="0" fillId="6" fontId="4" numFmtId="0" xfId="0" applyAlignment="1" applyFont="1">
      <alignment shrinkToFit="0" wrapText="1"/>
    </xf>
    <xf borderId="0" fillId="6" fontId="15" numFmtId="0" xfId="0" applyAlignment="1" applyFont="1">
      <alignment shrinkToFit="0" wrapText="1"/>
    </xf>
    <xf borderId="0" fillId="0" fontId="1" numFmtId="0" xfId="0" applyAlignment="1" applyFont="1">
      <alignment horizontal="center" readingOrder="0" shrinkToFit="0" wrapText="1"/>
    </xf>
    <xf borderId="0" fillId="4" fontId="15" numFmtId="164" xfId="0" applyAlignment="1" applyFont="1" applyNumberFormat="1">
      <alignment shrinkToFit="0" wrapText="1"/>
    </xf>
    <xf borderId="0" fillId="0" fontId="4" numFmtId="168" xfId="0" applyAlignment="1" applyFont="1" applyNumberFormat="1">
      <alignment readingOrder="0" shrinkToFit="0" wrapText="1"/>
    </xf>
    <xf borderId="0" fillId="0" fontId="7" numFmtId="0" xfId="0" applyAlignment="1" applyFont="1">
      <alignment horizontal="center" readingOrder="0" shrinkToFit="0" wrapText="1"/>
    </xf>
    <xf borderId="1" fillId="0" fontId="2" numFmtId="0" xfId="0" applyAlignment="1" applyBorder="1" applyFont="1">
      <alignment readingOrder="0" shrinkToFit="0" wrapText="1"/>
    </xf>
    <xf borderId="1" fillId="0" fontId="2" numFmtId="164" xfId="0" applyAlignment="1" applyBorder="1" applyFont="1" applyNumberForma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nieves_almazan@yahoo.com.au" TargetMode="External"/><Relationship Id="rId2" Type="http://schemas.openxmlformats.org/officeDocument/2006/relationships/hyperlink" Target="mailto:nieves_almazan@yahoo.com.au" TargetMode="External"/><Relationship Id="rId3" Type="http://schemas.openxmlformats.org/officeDocument/2006/relationships/hyperlink" Target="mailto:gloriaaraullo@eaton.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71"/>
    <col customWidth="1" min="2" max="2" width="12.57"/>
    <col customWidth="1" min="3" max="3" width="26.43"/>
    <col customWidth="1" min="4" max="4" width="30.57"/>
    <col customWidth="1" min="5" max="5" width="39.71"/>
    <col customWidth="1" min="6" max="19" width="17.29"/>
  </cols>
  <sheetData>
    <row r="1">
      <c r="A1" s="2" t="str">
        <f>IFERROR(__xludf.DUMMYFUNCTION("ImportRange(""0AhkWk-H1XkxydERpUW9OZm1XTXBhWThmTEtXYkZhcUE"",""Membership List!B:B"")"),"Preferred Name")</f>
        <v>Preferred Name</v>
      </c>
      <c r="B1" s="2" t="str">
        <f>IFERROR(__xludf.DUMMYFUNCTION("ImportRange(""0AhkWk-H1XkxydERpUW9OZm1XTXBhWThmTEtXYkZhcUE"",""Membership List!C:C"")"),"Surname")</f>
        <v>Surname</v>
      </c>
      <c r="C1" s="4" t="s">
        <v>4</v>
      </c>
      <c r="D1" s="6" t="str">
        <f>IFERROR(__xludf.DUMMYFUNCTION("ImportRange(""0AhkWk-H1XkxydERpUW9OZm1XTXBhWThmTEtXYkZhcUE"",""Membership List!J:J"")"),"Invoice Email")</f>
        <v>Invoice Email</v>
      </c>
      <c r="E1" s="4" t="s">
        <v>10</v>
      </c>
      <c r="F1" s="8" t="s">
        <v>11</v>
      </c>
    </row>
    <row r="2">
      <c r="A2" s="10" t="s">
        <v>16</v>
      </c>
      <c r="B2" s="10" t="s">
        <v>18</v>
      </c>
      <c r="C2" s="10" t="str">
        <f t="shared" ref="C2:C48" si="1">CONCATENATE(A2, " ",B2)</f>
        <v>Chez Adriano</v>
      </c>
      <c r="D2" s="10" t="s">
        <v>20</v>
      </c>
      <c r="E2" s="15" t="str">
        <f>vlookup(D2,'Invoice ClientIds'!$B$2:$D$100,3,0)</f>
        <v>8</v>
      </c>
      <c r="F2" s="19" t="s">
        <v>28</v>
      </c>
    </row>
    <row r="3">
      <c r="A3" s="21" t="s">
        <v>36</v>
      </c>
      <c r="B3" s="21" t="s">
        <v>18</v>
      </c>
      <c r="C3" s="21" t="str">
        <f t="shared" si="1"/>
        <v>Paulo Adriano</v>
      </c>
      <c r="D3" s="21" t="s">
        <v>20</v>
      </c>
      <c r="E3" s="22" t="str">
        <f>vlookup(D3,'Invoice ClientIds'!$B$2:$D$100,3,0)</f>
        <v>8</v>
      </c>
      <c r="F3" s="23" t="s">
        <v>28</v>
      </c>
    </row>
    <row r="4">
      <c r="A4" s="10" t="s">
        <v>60</v>
      </c>
      <c r="B4" s="10" t="s">
        <v>18</v>
      </c>
      <c r="C4" s="10" t="str">
        <f t="shared" si="1"/>
        <v>Kim Adriano</v>
      </c>
      <c r="D4" s="10" t="s">
        <v>20</v>
      </c>
      <c r="E4" s="15" t="str">
        <f>vlookup(D4,'Invoice ClientIds'!$B$2:$D$100,3,0)</f>
        <v>8</v>
      </c>
      <c r="F4" s="19"/>
    </row>
    <row r="5">
      <c r="A5" s="21" t="s">
        <v>75</v>
      </c>
      <c r="B5" s="21" t="s">
        <v>18</v>
      </c>
      <c r="C5" s="21" t="str">
        <f t="shared" si="1"/>
        <v>Kyle  Adriano</v>
      </c>
      <c r="D5" s="21" t="s">
        <v>20</v>
      </c>
      <c r="E5" s="22" t="str">
        <f>vlookup(D5,'Invoice ClientIds'!$B$2:$D$100,3,0)</f>
        <v>8</v>
      </c>
      <c r="F5" s="26" t="s">
        <v>28</v>
      </c>
    </row>
    <row r="6">
      <c r="A6" s="10" t="s">
        <v>88</v>
      </c>
      <c r="B6" s="10" t="s">
        <v>18</v>
      </c>
      <c r="C6" s="10" t="str">
        <f t="shared" si="1"/>
        <v>Dar Adriano</v>
      </c>
      <c r="D6" s="10" t="s">
        <v>20</v>
      </c>
      <c r="E6" s="15" t="str">
        <f>vlookup(D6,'Invoice ClientIds'!$B$2:$D$100,3,0)</f>
        <v>8</v>
      </c>
      <c r="F6" s="19"/>
    </row>
    <row r="7">
      <c r="A7" s="21" t="s">
        <v>97</v>
      </c>
      <c r="B7" s="21" t="s">
        <v>99</v>
      </c>
      <c r="C7" s="21" t="str">
        <f t="shared" si="1"/>
        <v>Majan Almazan</v>
      </c>
      <c r="D7" s="30" t="s">
        <v>104</v>
      </c>
      <c r="E7" s="22" t="str">
        <f>vlookup(D7,'Invoice ClientIds'!$B$2:$D$100,3,0)</f>
        <v>33</v>
      </c>
      <c r="F7" s="26" t="s">
        <v>28</v>
      </c>
    </row>
    <row r="8">
      <c r="A8" s="10" t="s">
        <v>135</v>
      </c>
      <c r="B8" s="10" t="s">
        <v>99</v>
      </c>
      <c r="C8" s="10" t="str">
        <f t="shared" si="1"/>
        <v>Ruth Almazan</v>
      </c>
      <c r="D8" s="33" t="s">
        <v>104</v>
      </c>
      <c r="E8" s="15" t="str">
        <f>vlookup(D8,'Invoice ClientIds'!$B$2:$D$100,3,0)</f>
        <v>33</v>
      </c>
      <c r="F8" s="19"/>
    </row>
    <row r="9">
      <c r="A9" s="21" t="s">
        <v>152</v>
      </c>
      <c r="B9" s="21" t="s">
        <v>153</v>
      </c>
      <c r="C9" s="21" t="str">
        <f t="shared" si="1"/>
        <v>Gloria Araullo</v>
      </c>
      <c r="D9" s="30" t="s">
        <v>67</v>
      </c>
      <c r="E9" s="22" t="str">
        <f>vlookup(D9,'Invoice ClientIds'!$B$2:$D$100,3,0)</f>
        <v>12</v>
      </c>
      <c r="F9" s="37"/>
    </row>
    <row r="10">
      <c r="A10" s="10" t="s">
        <v>175</v>
      </c>
      <c r="B10" s="10" t="s">
        <v>176</v>
      </c>
      <c r="C10" s="10" t="str">
        <f t="shared" si="1"/>
        <v>Tina Castillo</v>
      </c>
      <c r="D10" s="10" t="s">
        <v>146</v>
      </c>
      <c r="E10" s="15" t="str">
        <f>vlookup(D10,'Invoice ClientIds'!$B$2:$D$100,3,0)</f>
        <v>37</v>
      </c>
      <c r="F10" s="39"/>
    </row>
    <row r="11">
      <c r="A11" s="21" t="s">
        <v>193</v>
      </c>
      <c r="B11" s="21" t="s">
        <v>194</v>
      </c>
      <c r="C11" s="21" t="str">
        <f t="shared" si="1"/>
        <v>Racquel Cruz</v>
      </c>
      <c r="D11" s="21" t="s">
        <v>149</v>
      </c>
      <c r="E11" s="22" t="str">
        <f>vlookup(D11,'Invoice ClientIds'!$B$2:$D$100,3,0)</f>
        <v>38</v>
      </c>
      <c r="F11" s="37"/>
    </row>
    <row r="12">
      <c r="A12" s="10" t="s">
        <v>218</v>
      </c>
      <c r="B12" s="10" t="s">
        <v>221</v>
      </c>
      <c r="C12" s="10" t="str">
        <f t="shared" si="1"/>
        <v>West Cruz </v>
      </c>
      <c r="D12" s="10" t="s">
        <v>149</v>
      </c>
      <c r="E12" s="15" t="str">
        <f>vlookup(D12,'Invoice ClientIds'!$B$2:$D$100,3,0)</f>
        <v>38</v>
      </c>
      <c r="F12" s="39"/>
    </row>
    <row r="13">
      <c r="A13" s="21" t="s">
        <v>242</v>
      </c>
      <c r="B13" s="21" t="s">
        <v>244</v>
      </c>
      <c r="C13" s="21" t="str">
        <f t="shared" si="1"/>
        <v>Mark Dasco</v>
      </c>
      <c r="D13" s="21" t="s">
        <v>98</v>
      </c>
      <c r="E13" s="22" t="str">
        <f>vlookup(D13,'Invoice ClientIds'!$B$2:$D$100,3,0)</f>
        <v>21</v>
      </c>
      <c r="F13" s="37"/>
    </row>
    <row r="14">
      <c r="A14" s="10" t="s">
        <v>263</v>
      </c>
      <c r="B14" s="10" t="s">
        <v>264</v>
      </c>
      <c r="C14" s="10" t="str">
        <f t="shared" si="1"/>
        <v>Roldan Discaya</v>
      </c>
      <c r="D14" s="10" t="s">
        <v>265</v>
      </c>
      <c r="E14" s="15" t="str">
        <f>vlookup(D14,'Invoice ClientIds'!$B$2:$D$100,3,0)</f>
        <v>1e8ef7fe-5922-4927-8471-70cab702e874</v>
      </c>
      <c r="F14" s="39"/>
    </row>
    <row r="15">
      <c r="A15" s="21" t="s">
        <v>275</v>
      </c>
      <c r="B15" s="21" t="s">
        <v>276</v>
      </c>
      <c r="C15" s="21" t="str">
        <f t="shared" si="1"/>
        <v>Jonathan De Guzman</v>
      </c>
      <c r="D15" s="21" t="s">
        <v>77</v>
      </c>
      <c r="E15" s="22" t="str">
        <f>vlookup(D15,'Invoice ClientIds'!$B$2:$D$100,3,0)</f>
        <v>15</v>
      </c>
      <c r="F15" s="37"/>
    </row>
    <row r="16">
      <c r="A16" s="10" t="s">
        <v>292</v>
      </c>
      <c r="B16" s="10" t="s">
        <v>276</v>
      </c>
      <c r="C16" s="10" t="str">
        <f t="shared" si="1"/>
        <v>Ime De Guzman</v>
      </c>
      <c r="D16" s="10" t="s">
        <v>77</v>
      </c>
      <c r="E16" s="15" t="str">
        <f>vlookup(D16,'Invoice ClientIds'!$B$2:$D$100,3,0)</f>
        <v>15</v>
      </c>
      <c r="F16" s="39"/>
    </row>
    <row r="17">
      <c r="A17" s="21" t="s">
        <v>298</v>
      </c>
      <c r="B17" s="21" t="s">
        <v>299</v>
      </c>
      <c r="C17" s="21" t="str">
        <f t="shared" si="1"/>
        <v>Josel Garcia</v>
      </c>
      <c r="D17" s="21" t="s">
        <v>273</v>
      </c>
      <c r="E17" s="22">
        <f>vlookup(D17,'Invoice ClientIds'!$B$2:$D$100,3,0)</f>
        <v>72</v>
      </c>
      <c r="F17" s="37"/>
    </row>
    <row r="18">
      <c r="A18" s="10" t="s">
        <v>309</v>
      </c>
      <c r="B18" s="10" t="s">
        <v>299</v>
      </c>
      <c r="C18" s="10" t="str">
        <f t="shared" si="1"/>
        <v>Aileen Garcia</v>
      </c>
      <c r="D18" s="10" t="s">
        <v>273</v>
      </c>
      <c r="E18" s="15">
        <f>vlookup(D18,'Invoice ClientIds'!$B$2:$D$100,3,0)</f>
        <v>72</v>
      </c>
      <c r="F18" s="39"/>
    </row>
    <row r="19">
      <c r="A19" s="21" t="s">
        <v>313</v>
      </c>
      <c r="B19" s="21" t="s">
        <v>299</v>
      </c>
      <c r="C19" s="21" t="str">
        <f t="shared" si="1"/>
        <v>Jed Garcia</v>
      </c>
      <c r="D19" s="21" t="s">
        <v>273</v>
      </c>
      <c r="E19" s="22">
        <f>vlookup(D19,'Invoice ClientIds'!$B$2:$D$100,3,0)</f>
        <v>72</v>
      </c>
      <c r="F19" s="37"/>
    </row>
    <row r="20">
      <c r="A20" s="10" t="s">
        <v>314</v>
      </c>
      <c r="B20" s="10" t="s">
        <v>315</v>
      </c>
      <c r="C20" s="10" t="str">
        <f t="shared" si="1"/>
        <v>Aashish Upadhyay</v>
      </c>
      <c r="D20" s="10" t="s">
        <v>301</v>
      </c>
      <c r="E20" s="15" t="str">
        <f>vlookup(D20,'Invoice ClientIds'!$B$2:$D$100,3,0)</f>
        <v>d82e7614-b40a-46ae-a48b-143c809bca66</v>
      </c>
      <c r="F20" s="39"/>
    </row>
    <row r="21">
      <c r="A21" s="44" t="s">
        <v>316</v>
      </c>
      <c r="B21" s="21" t="s">
        <v>317</v>
      </c>
      <c r="C21" s="21" t="str">
        <f t="shared" si="1"/>
        <v>Rohith Krishna</v>
      </c>
      <c r="D21" s="21" t="s">
        <v>304</v>
      </c>
      <c r="E21" s="22" t="str">
        <f>vlookup(D21,'Invoice ClientIds'!$B$2:$D$100,3,0)</f>
        <v>5d744242-e398-4705-b209-5c1d3de276bd</v>
      </c>
      <c r="F21" s="37"/>
    </row>
    <row r="22">
      <c r="A22" s="10" t="s">
        <v>318</v>
      </c>
      <c r="B22" s="10" t="s">
        <v>319</v>
      </c>
      <c r="C22" s="10" t="str">
        <f t="shared" si="1"/>
        <v>Glen Macaraeg</v>
      </c>
      <c r="D22" s="10" t="s">
        <v>143</v>
      </c>
      <c r="E22" s="22" t="str">
        <f>vlookup(D22,'Invoice ClientIds'!$B$2:$D$100,3,0)</f>
        <v>36</v>
      </c>
      <c r="F22" s="39"/>
    </row>
    <row r="23">
      <c r="A23" s="21" t="s">
        <v>328</v>
      </c>
      <c r="B23" s="21" t="s">
        <v>319</v>
      </c>
      <c r="C23" s="21" t="str">
        <f t="shared" si="1"/>
        <v>Tess Macaraeg</v>
      </c>
      <c r="D23" s="21" t="s">
        <v>143</v>
      </c>
      <c r="E23" s="22" t="str">
        <f>vlookup(D23,'Invoice ClientIds'!$B$2:$D$100,3,0)</f>
        <v>36</v>
      </c>
      <c r="F23" s="37"/>
    </row>
    <row r="24">
      <c r="A24" s="10" t="s">
        <v>333</v>
      </c>
      <c r="B24" s="10" t="s">
        <v>335</v>
      </c>
      <c r="C24" s="10" t="str">
        <f t="shared" si="1"/>
        <v>Alex Marundan</v>
      </c>
      <c r="D24" s="10" t="s">
        <v>255</v>
      </c>
      <c r="E24" s="15">
        <f>vlookup(D24,'Invoice ClientIds'!$B$2:$D$100,3,0)</f>
        <v>67</v>
      </c>
      <c r="F24" s="39"/>
    </row>
    <row r="25">
      <c r="A25" s="21" t="s">
        <v>340</v>
      </c>
      <c r="B25" s="21" t="s">
        <v>341</v>
      </c>
      <c r="C25" s="21" t="str">
        <f t="shared" si="1"/>
        <v>Maritoni Mesina</v>
      </c>
      <c r="D25" s="21" t="s">
        <v>184</v>
      </c>
      <c r="E25" s="22">
        <f>vlookup(D25,'Invoice ClientIds'!$B$2:$D$100,3,0)</f>
        <v>46</v>
      </c>
      <c r="F25" s="37"/>
    </row>
    <row r="26">
      <c r="A26" s="10" t="s">
        <v>342</v>
      </c>
      <c r="B26" s="10" t="s">
        <v>341</v>
      </c>
      <c r="C26" s="10" t="str">
        <f t="shared" si="1"/>
        <v>Bimbo Mesina</v>
      </c>
      <c r="D26" s="10" t="s">
        <v>184</v>
      </c>
      <c r="E26" s="22">
        <f>vlookup(D26,'Invoice ClientIds'!$B$2:$D$100,3,0)</f>
        <v>46</v>
      </c>
      <c r="F26" s="39"/>
    </row>
    <row r="27">
      <c r="A27" s="21" t="s">
        <v>343</v>
      </c>
      <c r="B27" s="21" t="s">
        <v>344</v>
      </c>
      <c r="C27" s="21" t="str">
        <f t="shared" si="1"/>
        <v>Vikram Murthi</v>
      </c>
      <c r="D27" s="21" t="s">
        <v>311</v>
      </c>
      <c r="E27" s="22" t="str">
        <f>vlookup(D27,'Invoice ClientIds'!$B$2:$D$100,3,0)</f>
        <v>27e08fe4-d057-4932-b633-7cfbf4b5a83a</v>
      </c>
      <c r="F27" s="37"/>
    </row>
    <row r="28">
      <c r="A28" s="21" t="s">
        <v>345</v>
      </c>
      <c r="B28" s="21" t="s">
        <v>346</v>
      </c>
      <c r="C28" s="21" t="str">
        <f t="shared" si="1"/>
        <v>Marlon Nacua</v>
      </c>
      <c r="D28" s="21" t="s">
        <v>87</v>
      </c>
      <c r="E28" s="22" t="str">
        <f>vlookup(D28,'Invoice ClientIds'!$B$2:$D$100,3,0)</f>
        <v>18</v>
      </c>
      <c r="F28" s="26"/>
    </row>
    <row r="29">
      <c r="A29" s="10" t="s">
        <v>347</v>
      </c>
      <c r="B29" s="10" t="s">
        <v>346</v>
      </c>
      <c r="C29" s="10" t="str">
        <f t="shared" si="1"/>
        <v>Lorraine Nacua</v>
      </c>
      <c r="D29" s="10" t="s">
        <v>87</v>
      </c>
      <c r="E29" s="15" t="str">
        <f>vlookup(D29,'Invoice ClientIds'!$B$2:$D$100,3,0)</f>
        <v>18</v>
      </c>
      <c r="F29" s="39"/>
    </row>
    <row r="30">
      <c r="A30" s="21" t="s">
        <v>349</v>
      </c>
      <c r="B30" s="21" t="s">
        <v>350</v>
      </c>
      <c r="C30" s="21" t="str">
        <f t="shared" si="1"/>
        <v>Reinhardt Nalzaro</v>
      </c>
      <c r="D30" s="21" t="s">
        <v>296</v>
      </c>
      <c r="E30" s="22" t="str">
        <f>vlookup(D30,'Invoice ClientIds'!$B$2:$D$100,3,0)</f>
        <v>e7de831f-d2aa-4e7a-b94c-36977657934d</v>
      </c>
      <c r="F30" s="26" t="s">
        <v>28</v>
      </c>
    </row>
    <row r="31">
      <c r="A31" s="10" t="s">
        <v>351</v>
      </c>
      <c r="B31" s="10" t="s">
        <v>350</v>
      </c>
      <c r="C31" s="10" t="str">
        <f t="shared" si="1"/>
        <v>Reiner Nalzaro</v>
      </c>
      <c r="D31" s="10" t="s">
        <v>128</v>
      </c>
      <c r="E31" s="15" t="str">
        <f>vlookup(D31,'Invoice ClientIds'!$B$2:$D$100,3,0)</f>
        <v>31</v>
      </c>
      <c r="F31" s="39"/>
    </row>
    <row r="32">
      <c r="A32" s="21" t="s">
        <v>352</v>
      </c>
      <c r="B32" s="21" t="s">
        <v>353</v>
      </c>
      <c r="C32" s="21" t="str">
        <f t="shared" si="1"/>
        <v>Jess Pangilinan</v>
      </c>
      <c r="D32" s="22" t="s">
        <v>140</v>
      </c>
      <c r="E32" s="22" t="str">
        <f>vlookup(D32,'Invoice ClientIds'!$B$2:$D$100,3,0)</f>
        <v>35</v>
      </c>
      <c r="F32" s="37"/>
    </row>
    <row r="33">
      <c r="A33" s="10" t="s">
        <v>354</v>
      </c>
      <c r="B33" s="10" t="s">
        <v>353</v>
      </c>
      <c r="C33" s="10" t="str">
        <f t="shared" si="1"/>
        <v>Terry Pangilinan</v>
      </c>
      <c r="D33" s="10" t="s">
        <v>140</v>
      </c>
      <c r="E33" s="15" t="str">
        <f>vlookup(D33,'Invoice ClientIds'!$B$2:$D$100,3,0)</f>
        <v>35</v>
      </c>
      <c r="F33" s="39"/>
    </row>
    <row r="34">
      <c r="A34" s="21" t="s">
        <v>355</v>
      </c>
      <c r="B34" s="21" t="s">
        <v>353</v>
      </c>
      <c r="C34" s="21" t="str">
        <f t="shared" si="1"/>
        <v>Ceth Pangilinan</v>
      </c>
      <c r="D34" s="21" t="s">
        <v>140</v>
      </c>
      <c r="E34" s="22" t="str">
        <f>vlookup(D34,'Invoice ClientIds'!$B$2:$D$100,3,0)</f>
        <v>35</v>
      </c>
      <c r="F34" s="26" t="s">
        <v>28</v>
      </c>
    </row>
    <row r="35">
      <c r="A35" s="10" t="s">
        <v>356</v>
      </c>
      <c r="B35" s="10" t="s">
        <v>353</v>
      </c>
      <c r="C35" s="10" t="str">
        <f t="shared" si="1"/>
        <v>Nina Pangilinan</v>
      </c>
      <c r="D35" s="10" t="s">
        <v>140</v>
      </c>
      <c r="E35" s="15" t="str">
        <f>vlookup(D35,'Invoice ClientIds'!$B$2:$D$100,3,0)</f>
        <v>35</v>
      </c>
      <c r="F35" s="19" t="s">
        <v>28</v>
      </c>
    </row>
    <row r="36">
      <c r="A36" s="21" t="s">
        <v>358</v>
      </c>
      <c r="B36" s="21" t="s">
        <v>359</v>
      </c>
      <c r="C36" s="21" t="str">
        <f t="shared" si="1"/>
        <v>Allan Puente</v>
      </c>
      <c r="D36" s="21" t="s">
        <v>41</v>
      </c>
      <c r="E36" s="22" t="str">
        <f>vlookup(D36,'Invoice ClientIds'!$B$2:$D$100,3,0)</f>
        <v>4</v>
      </c>
      <c r="F36" s="37"/>
    </row>
    <row r="37">
      <c r="A37" s="10" t="s">
        <v>361</v>
      </c>
      <c r="B37" s="10" t="s">
        <v>362</v>
      </c>
      <c r="C37" s="10" t="str">
        <f t="shared" si="1"/>
        <v>Rodel Rillera</v>
      </c>
      <c r="D37" s="10" t="s">
        <v>94</v>
      </c>
      <c r="E37" s="15" t="str">
        <f>vlookup(D37,'Invoice ClientIds'!$B$2:$D$100,3,0)</f>
        <v>20</v>
      </c>
      <c r="F37" s="39"/>
    </row>
    <row r="38">
      <c r="A38" s="21" t="s">
        <v>367</v>
      </c>
      <c r="B38" s="21" t="s">
        <v>362</v>
      </c>
      <c r="C38" s="21" t="str">
        <f t="shared" si="1"/>
        <v>Marianne Rillera</v>
      </c>
      <c r="D38" s="21" t="s">
        <v>94</v>
      </c>
      <c r="E38" s="22" t="str">
        <f>vlookup(D38,'Invoice ClientIds'!$B$2:$D$100,3,0)</f>
        <v>20</v>
      </c>
      <c r="F38" s="26"/>
    </row>
    <row r="39">
      <c r="A39" s="10" t="s">
        <v>370</v>
      </c>
      <c r="B39" s="10" t="s">
        <v>372</v>
      </c>
      <c r="C39" s="10" t="str">
        <f t="shared" si="1"/>
        <v>Rinaldi Roque</v>
      </c>
      <c r="D39" s="10" t="s">
        <v>307</v>
      </c>
      <c r="E39" s="15" t="str">
        <f>vlookup(D39,'Invoice ClientIds'!$B$2:$D$100,3,0)</f>
        <v>d03b3e08-1f8e-489e-a104-04f382902878</v>
      </c>
      <c r="F39" s="19"/>
    </row>
    <row r="40">
      <c r="A40" s="21" t="s">
        <v>378</v>
      </c>
      <c r="B40" s="21" t="s">
        <v>379</v>
      </c>
      <c r="C40" s="21" t="str">
        <f t="shared" si="1"/>
        <v>Gay Salac</v>
      </c>
      <c r="D40" s="21" t="s">
        <v>91</v>
      </c>
      <c r="E40" s="22" t="str">
        <f>vlookup(D40,'Invoice ClientIds'!$B$2:$D$100,3,0)</f>
        <v>19</v>
      </c>
      <c r="F40" s="37"/>
    </row>
    <row r="41">
      <c r="A41" s="10" t="s">
        <v>387</v>
      </c>
      <c r="B41" s="10" t="s">
        <v>379</v>
      </c>
      <c r="C41" s="10" t="str">
        <f t="shared" si="1"/>
        <v>Manny Salac</v>
      </c>
      <c r="D41" s="10" t="s">
        <v>91</v>
      </c>
      <c r="E41" s="15" t="str">
        <f>vlookup(D41,'Invoice ClientIds'!$B$2:$D$100,3,0)</f>
        <v>19</v>
      </c>
      <c r="F41" s="39"/>
    </row>
    <row r="42">
      <c r="A42" s="21" t="s">
        <v>393</v>
      </c>
      <c r="B42" s="21" t="s">
        <v>394</v>
      </c>
      <c r="C42" s="21" t="str">
        <f t="shared" si="1"/>
        <v>Al Saulon</v>
      </c>
      <c r="D42" s="21" t="s">
        <v>30</v>
      </c>
      <c r="E42" s="22" t="str">
        <f>vlookup(D42,'Invoice ClientIds'!$B$2:$D$100,3,0)</f>
        <v>2</v>
      </c>
      <c r="F42" s="37"/>
    </row>
    <row r="43">
      <c r="A43" s="10" t="s">
        <v>396</v>
      </c>
      <c r="B43" s="10" t="s">
        <v>394</v>
      </c>
      <c r="C43" s="10" t="str">
        <f t="shared" si="1"/>
        <v>Charrylou Saulon</v>
      </c>
      <c r="D43" s="10" t="s">
        <v>30</v>
      </c>
      <c r="E43" s="15" t="str">
        <f>vlookup(D43,'Invoice ClientIds'!$B$2:$D$100,3,0)</f>
        <v>2</v>
      </c>
      <c r="F43" s="39"/>
    </row>
    <row r="44">
      <c r="A44" s="21" t="s">
        <v>398</v>
      </c>
      <c r="B44" s="21" t="s">
        <v>399</v>
      </c>
      <c r="C44" s="21" t="str">
        <f t="shared" si="1"/>
        <v>Wilfred Tupaz</v>
      </c>
      <c r="D44" s="21" t="s">
        <v>229</v>
      </c>
      <c r="E44" s="22">
        <f>vlookup(D44,'Invoice ClientIds'!$B$2:$D$100,3,0)</f>
        <v>59</v>
      </c>
      <c r="F44" s="26"/>
    </row>
    <row r="45">
      <c r="A45" s="10" t="s">
        <v>401</v>
      </c>
      <c r="B45" s="10" t="s">
        <v>402</v>
      </c>
      <c r="C45" s="10" t="str">
        <f t="shared" si="1"/>
        <v>Ding Vega</v>
      </c>
      <c r="D45" s="10" t="s">
        <v>55</v>
      </c>
      <c r="E45" s="15" t="str">
        <f>vlookup(D45,'Invoice ClientIds'!$B$2:$D$100,3,0)</f>
        <v>9</v>
      </c>
      <c r="F45" s="19"/>
    </row>
    <row r="46">
      <c r="A46" s="21" t="s">
        <v>404</v>
      </c>
      <c r="B46" s="21" t="s">
        <v>402</v>
      </c>
      <c r="C46" s="21" t="str">
        <f t="shared" si="1"/>
        <v>Jodee Vega</v>
      </c>
      <c r="D46" s="21" t="s">
        <v>55</v>
      </c>
      <c r="E46" s="22" t="str">
        <f>vlookup(D46,'Invoice ClientIds'!$B$2:$D$100,3,0)</f>
        <v>9</v>
      </c>
      <c r="F46" s="37"/>
    </row>
    <row r="47">
      <c r="A47" s="10" t="s">
        <v>405</v>
      </c>
      <c r="B47" s="10" t="s">
        <v>406</v>
      </c>
      <c r="C47" s="10" t="str">
        <f t="shared" si="1"/>
        <v>Leo Villanueva</v>
      </c>
      <c r="D47" s="10" t="s">
        <v>287</v>
      </c>
      <c r="E47" s="15">
        <f>vlookup(D47,'Invoice ClientIds'!$B$2:$D$100,3,0)</f>
        <v>76</v>
      </c>
      <c r="F47" s="19"/>
    </row>
    <row r="48">
      <c r="A48" s="21" t="s">
        <v>407</v>
      </c>
      <c r="B48" s="21" t="s">
        <v>406</v>
      </c>
      <c r="C48" s="21" t="str">
        <f t="shared" si="1"/>
        <v>Lance Villanueva</v>
      </c>
      <c r="D48" s="21" t="s">
        <v>287</v>
      </c>
      <c r="E48" s="22">
        <f>vlookup(D48,'Invoice ClientIds'!$B$2:$D$100,3,0)</f>
        <v>76</v>
      </c>
      <c r="F48" s="26" t="s">
        <v>28</v>
      </c>
    </row>
    <row r="49">
      <c r="F49" s="65"/>
    </row>
    <row r="50">
      <c r="F50" s="65"/>
    </row>
    <row r="51">
      <c r="F51" s="65"/>
    </row>
    <row r="52">
      <c r="F52" s="65"/>
    </row>
    <row r="53">
      <c r="F53" s="65"/>
    </row>
    <row r="54">
      <c r="F54" s="65"/>
    </row>
    <row r="55">
      <c r="F55" s="65"/>
    </row>
    <row r="56">
      <c r="F56" s="65"/>
    </row>
    <row r="57">
      <c r="F57" s="65"/>
    </row>
    <row r="58">
      <c r="F58" s="65"/>
    </row>
    <row r="59">
      <c r="F59" s="65"/>
    </row>
    <row r="60">
      <c r="F60" s="65"/>
    </row>
    <row r="61">
      <c r="F61" s="65"/>
    </row>
    <row r="62">
      <c r="F62" s="65"/>
    </row>
    <row r="63">
      <c r="F63" s="65"/>
    </row>
    <row r="64">
      <c r="F64" s="65"/>
    </row>
    <row r="65">
      <c r="F65" s="65"/>
    </row>
    <row r="66">
      <c r="F66" s="65"/>
    </row>
    <row r="67">
      <c r="F67" s="65"/>
    </row>
    <row r="68">
      <c r="F68" s="65"/>
    </row>
    <row r="69">
      <c r="F69" s="65"/>
    </row>
    <row r="70">
      <c r="F70" s="65"/>
    </row>
    <row r="71">
      <c r="F71" s="65"/>
    </row>
  </sheetData>
  <hyperlinks>
    <hyperlink r:id="rId1" ref="D7"/>
    <hyperlink r:id="rId2" ref="D8"/>
    <hyperlink r:id="rId3" ref="D9"/>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4.57"/>
    <col customWidth="1" min="2" max="2" width="16.86"/>
    <col customWidth="1" min="3" max="3" width="20.86"/>
    <col customWidth="1" min="4" max="4" width="25.57"/>
    <col customWidth="1" min="5" max="5" width="36.43"/>
    <col customWidth="1" min="6" max="6" width="7.0"/>
    <col customWidth="1" min="7" max="7" width="51.14"/>
    <col customWidth="1" min="8" max="9" width="14.86"/>
    <col customWidth="1" min="10" max="10" width="19.29"/>
    <col customWidth="1" min="11" max="11" width="13.29"/>
    <col customWidth="1" min="12" max="12" width="11.14"/>
  </cols>
  <sheetData>
    <row r="1">
      <c r="A1" s="45" t="s">
        <v>320</v>
      </c>
      <c r="B1" s="45" t="s">
        <v>321</v>
      </c>
      <c r="C1" s="45" t="s">
        <v>4</v>
      </c>
      <c r="D1" s="45" t="s">
        <v>322</v>
      </c>
      <c r="E1" s="45" t="s">
        <v>1</v>
      </c>
      <c r="F1" s="45" t="s">
        <v>323</v>
      </c>
      <c r="G1" s="45" t="s">
        <v>324</v>
      </c>
      <c r="H1" s="46" t="s">
        <v>325</v>
      </c>
      <c r="I1" s="45" t="s">
        <v>329</v>
      </c>
      <c r="J1" s="45" t="s">
        <v>330</v>
      </c>
      <c r="K1" s="48" t="s">
        <v>331</v>
      </c>
      <c r="L1" s="48" t="s">
        <v>338</v>
      </c>
    </row>
    <row r="2">
      <c r="A2" s="49" t="s">
        <v>88</v>
      </c>
      <c r="B2" s="49" t="s">
        <v>18</v>
      </c>
      <c r="C2" s="51" t="str">
        <f t="shared" ref="C2:C48" si="1">CONCATENATE(A2, " ",B2)</f>
        <v>Dar Adriano</v>
      </c>
      <c r="D2" s="49" t="s">
        <v>20</v>
      </c>
      <c r="E2" s="53" t="str">
        <f>vlookup(D2,'Invoice ClientIds'!$B$2:$D$100,3,0)</f>
        <v>8</v>
      </c>
      <c r="F2" s="18">
        <v>15.0</v>
      </c>
      <c r="G2" s="56" t="str">
        <f t="shared" ref="G2:G48" si="2">CONCATENATE(A2," ",B2, " Apr Attendance - ",K2, if(K2=1," session", " sessions"))</f>
        <v>Dar Adriano Apr Attendance - 4 sessions</v>
      </c>
      <c r="H2" s="26" t="s">
        <v>348</v>
      </c>
      <c r="I2" s="18">
        <v>1.0</v>
      </c>
      <c r="J2" s="56">
        <f t="shared" ref="J2:J48" si="3">if(H2="J",25, if(K2&lt;=2,25, 40))</f>
        <v>40</v>
      </c>
      <c r="K2" s="56">
        <f>if(IsNA(vlookup(C2,'Apr Att'!$I$2:$J$76,2,0)),0,vlookup(C2,'Apr Att'!$I$2:$J$76,2,0))</f>
        <v>4</v>
      </c>
      <c r="L2" s="60">
        <f t="shared" ref="L2:L30" si="4">I2*J2</f>
        <v>40</v>
      </c>
    </row>
    <row r="3">
      <c r="A3" s="61" t="s">
        <v>36</v>
      </c>
      <c r="B3" s="61" t="s">
        <v>18</v>
      </c>
      <c r="C3" s="51" t="str">
        <f t="shared" si="1"/>
        <v>Paulo Adriano</v>
      </c>
      <c r="D3" s="49" t="s">
        <v>20</v>
      </c>
      <c r="E3" s="53" t="str">
        <f>vlookup(D3,'Invoice ClientIds'!$B$2:$D$100,3,0)</f>
        <v>8</v>
      </c>
      <c r="F3" s="18">
        <v>15.0</v>
      </c>
      <c r="G3" s="56" t="str">
        <f t="shared" si="2"/>
        <v>Paulo Adriano Apr Attendance - 4 sessions</v>
      </c>
      <c r="H3" s="26" t="s">
        <v>357</v>
      </c>
      <c r="I3" s="18">
        <v>1.0</v>
      </c>
      <c r="J3" s="56">
        <f t="shared" si="3"/>
        <v>25</v>
      </c>
      <c r="K3" s="56">
        <f>if(IsNA(vlookup(C3,'Apr Att'!$I$2:$J$76,2,0)),0,vlookup(C3,'Apr Att'!$I$2:$J$76,2,0))</f>
        <v>4</v>
      </c>
      <c r="L3" s="60">
        <f t="shared" si="4"/>
        <v>25</v>
      </c>
    </row>
    <row r="4">
      <c r="A4" s="61" t="s">
        <v>16</v>
      </c>
      <c r="B4" s="61" t="s">
        <v>18</v>
      </c>
      <c r="C4" s="51" t="str">
        <f t="shared" si="1"/>
        <v>Chez Adriano</v>
      </c>
      <c r="D4" s="49" t="s">
        <v>20</v>
      </c>
      <c r="E4" s="53" t="str">
        <f>vlookup(D4,'Invoice ClientIds'!$B$2:$D$100,3,0)</f>
        <v>8</v>
      </c>
      <c r="F4" s="18">
        <v>15.0</v>
      </c>
      <c r="G4" s="56" t="str">
        <f t="shared" si="2"/>
        <v>Chez Adriano Apr Attendance - 4 sessions</v>
      </c>
      <c r="H4" s="26" t="s">
        <v>357</v>
      </c>
      <c r="I4" s="18">
        <v>1.0</v>
      </c>
      <c r="J4" s="56">
        <f t="shared" si="3"/>
        <v>25</v>
      </c>
      <c r="K4" s="56">
        <f>if(IsNA(vlookup(C4,'Apr Att'!$I$2:$J$76,2,0)),0,vlookup(C4,'Apr Att'!$I$2:$J$76,2,0))</f>
        <v>4</v>
      </c>
      <c r="L4" s="60">
        <f t="shared" si="4"/>
        <v>25</v>
      </c>
    </row>
    <row r="5">
      <c r="A5" s="61" t="s">
        <v>380</v>
      </c>
      <c r="B5" s="61" t="s">
        <v>18</v>
      </c>
      <c r="C5" s="51" t="str">
        <f t="shared" si="1"/>
        <v>Kyle Adriano</v>
      </c>
      <c r="D5" s="49" t="s">
        <v>20</v>
      </c>
      <c r="E5" s="53" t="str">
        <f>vlookup(D5,'Invoice ClientIds'!$B$2:$D$100,3,0)</f>
        <v>8</v>
      </c>
      <c r="F5" s="18">
        <v>15.0</v>
      </c>
      <c r="G5" s="56" t="str">
        <f t="shared" si="2"/>
        <v>Kyle Adriano Apr Attendance - 2 sessions</v>
      </c>
      <c r="H5" s="26" t="s">
        <v>348</v>
      </c>
      <c r="I5" s="18">
        <v>1.0</v>
      </c>
      <c r="J5" s="56">
        <f t="shared" si="3"/>
        <v>25</v>
      </c>
      <c r="K5" s="56">
        <f>if(IsNA(vlookup(C5,'Apr Att'!$I$2:$J$76,2,0)),0,vlookup(C5,'Apr Att'!$I$2:$J$76,2,0))</f>
        <v>2</v>
      </c>
      <c r="L5" s="60">
        <f t="shared" si="4"/>
        <v>25</v>
      </c>
    </row>
    <row r="6">
      <c r="A6" s="61" t="s">
        <v>60</v>
      </c>
      <c r="B6" s="61" t="s">
        <v>18</v>
      </c>
      <c r="C6" s="51" t="str">
        <f t="shared" si="1"/>
        <v>Kim Adriano</v>
      </c>
      <c r="D6" s="49" t="s">
        <v>20</v>
      </c>
      <c r="E6" s="53" t="str">
        <f>vlookup(D6,'Invoice ClientIds'!$B$2:$D$100,3,0)</f>
        <v>8</v>
      </c>
      <c r="F6" s="18">
        <v>15.0</v>
      </c>
      <c r="G6" s="56" t="str">
        <f t="shared" si="2"/>
        <v>Kim Adriano Apr Attendance - 0 sessions</v>
      </c>
      <c r="H6" s="26" t="s">
        <v>348</v>
      </c>
      <c r="I6" s="18">
        <v>1.0</v>
      </c>
      <c r="J6" s="56">
        <f t="shared" si="3"/>
        <v>25</v>
      </c>
      <c r="K6" s="56">
        <f>if(IsNA(vlookup(C6,'Apr Att'!$I$2:$J$76,2,0)),0,vlookup(C6,'Apr Att'!$I$2:$J$76,2,0))</f>
        <v>0</v>
      </c>
      <c r="L6" s="60">
        <f t="shared" si="4"/>
        <v>25</v>
      </c>
    </row>
    <row r="7">
      <c r="A7" s="61" t="s">
        <v>97</v>
      </c>
      <c r="B7" s="49" t="s">
        <v>99</v>
      </c>
      <c r="C7" s="51" t="str">
        <f t="shared" si="1"/>
        <v>Majan Almazan</v>
      </c>
      <c r="D7" s="49" t="s">
        <v>104</v>
      </c>
      <c r="E7" s="53" t="str">
        <f>vlookup(D7,'Invoice ClientIds'!$B$2:$D$100,3,0)</f>
        <v>33</v>
      </c>
      <c r="F7" s="18">
        <v>15.0</v>
      </c>
      <c r="G7" s="56" t="str">
        <f t="shared" si="2"/>
        <v>Majan Almazan Apr Attendance - 2 sessions</v>
      </c>
      <c r="H7" s="26" t="s">
        <v>357</v>
      </c>
      <c r="I7" s="18">
        <v>1.0</v>
      </c>
      <c r="J7" s="56">
        <f t="shared" si="3"/>
        <v>25</v>
      </c>
      <c r="K7" s="56">
        <f>if(IsNA(vlookup(C7,'Apr Att'!$I$2:$J$76,2,0)),0,vlookup(C7,'Apr Att'!$I$2:$J$76,2,0))</f>
        <v>2</v>
      </c>
      <c r="L7" s="60">
        <f t="shared" si="4"/>
        <v>25</v>
      </c>
    </row>
    <row r="8">
      <c r="A8" s="49" t="s">
        <v>135</v>
      </c>
      <c r="B8" s="49" t="s">
        <v>99</v>
      </c>
      <c r="C8" s="51" t="str">
        <f t="shared" si="1"/>
        <v>Ruth Almazan</v>
      </c>
      <c r="D8" s="49" t="s">
        <v>104</v>
      </c>
      <c r="E8" s="53" t="str">
        <f>vlookup(D8,'Invoice ClientIds'!$B$2:$D$100,3,0)</f>
        <v>33</v>
      </c>
      <c r="F8" s="18">
        <v>15.0</v>
      </c>
      <c r="G8" s="56" t="str">
        <f t="shared" si="2"/>
        <v>Ruth Almazan Apr Attendance - 2 sessions</v>
      </c>
      <c r="H8" s="26" t="s">
        <v>348</v>
      </c>
      <c r="I8" s="18">
        <v>1.0</v>
      </c>
      <c r="J8" s="56">
        <f t="shared" si="3"/>
        <v>25</v>
      </c>
      <c r="K8" s="56">
        <f>if(IsNA(vlookup(C8,'Apr Att'!$I$2:$J$76,2,0)),0,vlookup(C8,'Apr Att'!$I$2:$J$76,2,0))</f>
        <v>2</v>
      </c>
      <c r="L8" s="60">
        <f t="shared" si="4"/>
        <v>25</v>
      </c>
    </row>
    <row r="9">
      <c r="A9" s="61" t="s">
        <v>152</v>
      </c>
      <c r="B9" s="61" t="s">
        <v>153</v>
      </c>
      <c r="C9" s="51" t="str">
        <f t="shared" si="1"/>
        <v>Gloria Araullo</v>
      </c>
      <c r="D9" s="49" t="s">
        <v>67</v>
      </c>
      <c r="E9" s="66">
        <v>12.0</v>
      </c>
      <c r="F9" s="18">
        <v>15.0</v>
      </c>
      <c r="G9" s="56" t="str">
        <f t="shared" si="2"/>
        <v>Gloria Araullo Apr Attendance - 4 sessions</v>
      </c>
      <c r="H9" s="26" t="s">
        <v>348</v>
      </c>
      <c r="I9" s="18">
        <v>1.0</v>
      </c>
      <c r="J9" s="56">
        <f t="shared" si="3"/>
        <v>40</v>
      </c>
      <c r="K9" s="56">
        <f>if(IsNA(vlookup(C9,'Apr Att'!$I$2:$J$76,2,0)),0,vlookup(C9,'Apr Att'!$I$2:$J$76,2,0))</f>
        <v>4</v>
      </c>
      <c r="L9" s="60">
        <f t="shared" si="4"/>
        <v>40</v>
      </c>
    </row>
    <row r="10">
      <c r="A10" s="49" t="s">
        <v>175</v>
      </c>
      <c r="B10" s="49" t="s">
        <v>176</v>
      </c>
      <c r="C10" s="51" t="str">
        <f t="shared" si="1"/>
        <v>Tina Castillo</v>
      </c>
      <c r="D10" s="49" t="s">
        <v>146</v>
      </c>
      <c r="E10" s="53" t="str">
        <f>vlookup(D10,'Invoice ClientIds'!$B$2:$D$100,3,0)</f>
        <v>37</v>
      </c>
      <c r="F10" s="18">
        <v>15.0</v>
      </c>
      <c r="G10" s="56" t="str">
        <f t="shared" si="2"/>
        <v>Tina Castillo Apr Attendance - 3 sessions</v>
      </c>
      <c r="H10" s="26" t="s">
        <v>348</v>
      </c>
      <c r="I10" s="18">
        <v>1.0</v>
      </c>
      <c r="J10" s="56">
        <f t="shared" si="3"/>
        <v>40</v>
      </c>
      <c r="K10" s="56">
        <f>if(IsNA(vlookup(C10,'Apr Att'!$I$2:$J$76,2,0)),0,vlookup(C10,'Apr Att'!$I$2:$J$76,2,0))</f>
        <v>3</v>
      </c>
      <c r="L10" s="60">
        <f t="shared" si="4"/>
        <v>40</v>
      </c>
    </row>
    <row r="11">
      <c r="A11" s="49" t="s">
        <v>193</v>
      </c>
      <c r="B11" s="49" t="s">
        <v>194</v>
      </c>
      <c r="C11" s="51" t="str">
        <f t="shared" si="1"/>
        <v>Racquel Cruz</v>
      </c>
      <c r="D11" s="61" t="s">
        <v>149</v>
      </c>
      <c r="E11" s="53" t="str">
        <f>vlookup(D11,'Invoice ClientIds'!$B$2:$D$100,3,0)</f>
        <v>38</v>
      </c>
      <c r="F11" s="18">
        <v>15.0</v>
      </c>
      <c r="G11" s="56" t="str">
        <f t="shared" si="2"/>
        <v>Racquel Cruz Apr Attendance - 2 sessions</v>
      </c>
      <c r="H11" s="26" t="s">
        <v>348</v>
      </c>
      <c r="I11" s="18">
        <v>1.0</v>
      </c>
      <c r="J11" s="56">
        <f t="shared" si="3"/>
        <v>25</v>
      </c>
      <c r="K11" s="56">
        <f>if(IsNA(vlookup(C11,'Apr Att'!$I$2:$J$76,2,0)),0,vlookup(C11,'Apr Att'!$I$2:$J$76,2,0))</f>
        <v>2</v>
      </c>
      <c r="L11" s="60">
        <f t="shared" si="4"/>
        <v>25</v>
      </c>
    </row>
    <row r="12">
      <c r="A12" s="49" t="s">
        <v>218</v>
      </c>
      <c r="B12" s="49" t="s">
        <v>194</v>
      </c>
      <c r="C12" s="51" t="str">
        <f t="shared" si="1"/>
        <v>West Cruz</v>
      </c>
      <c r="D12" s="61" t="s">
        <v>149</v>
      </c>
      <c r="E12" s="53" t="str">
        <f>vlookup(D12,'Invoice ClientIds'!$B$2:$D$100,3,0)</f>
        <v>38</v>
      </c>
      <c r="F12" s="18">
        <v>15.0</v>
      </c>
      <c r="G12" s="56" t="str">
        <f t="shared" si="2"/>
        <v>West Cruz Apr Attendance - 2 sessions</v>
      </c>
      <c r="H12" s="26" t="s">
        <v>348</v>
      </c>
      <c r="I12" s="18">
        <v>1.0</v>
      </c>
      <c r="J12" s="56">
        <f t="shared" si="3"/>
        <v>25</v>
      </c>
      <c r="K12" s="56">
        <f>if(IsNA(vlookup(C12,'Apr Att'!$I$2:$J$76,2,0)),0,vlookup(C12,'Apr Att'!$I$2:$J$76,2,0))</f>
        <v>2</v>
      </c>
      <c r="L12" s="60">
        <f t="shared" si="4"/>
        <v>25</v>
      </c>
    </row>
    <row r="13">
      <c r="A13" s="49" t="s">
        <v>242</v>
      </c>
      <c r="B13" s="49" t="s">
        <v>244</v>
      </c>
      <c r="C13" s="51" t="str">
        <f t="shared" si="1"/>
        <v>Mark Dasco</v>
      </c>
      <c r="D13" s="49" t="s">
        <v>98</v>
      </c>
      <c r="E13" s="53" t="str">
        <f>vlookup(D13,'Invoice ClientIds'!$B$2:$D$100,3,0)</f>
        <v>21</v>
      </c>
      <c r="F13" s="18">
        <v>15.0</v>
      </c>
      <c r="G13" s="56" t="str">
        <f t="shared" si="2"/>
        <v>Mark Dasco Apr Attendance - 4 sessions</v>
      </c>
      <c r="H13" s="26" t="s">
        <v>348</v>
      </c>
      <c r="I13" s="18">
        <v>1.0</v>
      </c>
      <c r="J13" s="56">
        <f t="shared" si="3"/>
        <v>40</v>
      </c>
      <c r="K13" s="56">
        <f>if(IsNA(vlookup(C13,'Apr Att'!$I$2:$J$76,2,0)),0,vlookup(C13,'Apr Att'!$I$2:$J$76,2,0))</f>
        <v>4</v>
      </c>
      <c r="L13" s="60">
        <f t="shared" si="4"/>
        <v>40</v>
      </c>
    </row>
    <row r="14">
      <c r="A14" s="61" t="s">
        <v>263</v>
      </c>
      <c r="B14" s="61" t="s">
        <v>264</v>
      </c>
      <c r="C14" s="51" t="str">
        <f t="shared" si="1"/>
        <v>Roldan Discaya</v>
      </c>
      <c r="D14" s="49" t="s">
        <v>265</v>
      </c>
      <c r="E14" s="53" t="str">
        <f>vlookup(D14,'Invoice ClientIds'!$B$2:$D$100,3,0)</f>
        <v>1e8ef7fe-5922-4927-8471-70cab702e874</v>
      </c>
      <c r="F14" s="18">
        <v>15.0</v>
      </c>
      <c r="G14" s="56" t="str">
        <f t="shared" si="2"/>
        <v>Roldan Discaya Apr Attendance - 2 sessions</v>
      </c>
      <c r="H14" s="26" t="s">
        <v>348</v>
      </c>
      <c r="I14" s="18">
        <v>1.0</v>
      </c>
      <c r="J14" s="56">
        <f t="shared" si="3"/>
        <v>25</v>
      </c>
      <c r="K14" s="56">
        <f>if(IsNA(vlookup(C14,'Apr Att'!$I$2:$J$76,2,0)),0,vlookup(C14,'Apr Att'!$I$2:$J$76,2,0))</f>
        <v>2</v>
      </c>
      <c r="L14" s="60">
        <f t="shared" si="4"/>
        <v>25</v>
      </c>
    </row>
    <row r="15">
      <c r="A15" s="49" t="s">
        <v>275</v>
      </c>
      <c r="B15" s="49" t="s">
        <v>276</v>
      </c>
      <c r="C15" s="51" t="str">
        <f t="shared" si="1"/>
        <v>Jonathan De Guzman</v>
      </c>
      <c r="D15" s="49" t="s">
        <v>77</v>
      </c>
      <c r="E15" s="53" t="str">
        <f>vlookup(D15,'Invoice ClientIds'!$B$2:$D$100,3,0)</f>
        <v>15</v>
      </c>
      <c r="F15" s="18">
        <v>15.0</v>
      </c>
      <c r="G15" s="56" t="str">
        <f t="shared" si="2"/>
        <v>Jonathan De Guzman Apr Attendance - 3 sessions</v>
      </c>
      <c r="H15" s="26" t="s">
        <v>348</v>
      </c>
      <c r="I15" s="18">
        <v>1.0</v>
      </c>
      <c r="J15" s="56">
        <f t="shared" si="3"/>
        <v>40</v>
      </c>
      <c r="K15" s="56">
        <f>if(IsNA(vlookup(C15,'Apr Att'!$I$2:$J$76,2,0)),0,vlookup(C15,'Apr Att'!$I$2:$J$76,2,0))</f>
        <v>3</v>
      </c>
      <c r="L15" s="60">
        <f t="shared" si="4"/>
        <v>40</v>
      </c>
    </row>
    <row r="16">
      <c r="A16" s="49" t="s">
        <v>292</v>
      </c>
      <c r="B16" s="49" t="s">
        <v>276</v>
      </c>
      <c r="C16" s="51" t="str">
        <f t="shared" si="1"/>
        <v>Ime De Guzman</v>
      </c>
      <c r="D16" s="49" t="s">
        <v>77</v>
      </c>
      <c r="E16" s="53" t="str">
        <f>vlookup(D16,'Invoice ClientIds'!$B$2:$D$100,3,0)</f>
        <v>15</v>
      </c>
      <c r="F16" s="18">
        <v>15.0</v>
      </c>
      <c r="G16" s="56" t="str">
        <f t="shared" si="2"/>
        <v>Ime De Guzman Apr Attendance - 3 sessions</v>
      </c>
      <c r="H16" s="26" t="s">
        <v>348</v>
      </c>
      <c r="I16" s="18">
        <v>1.0</v>
      </c>
      <c r="J16" s="56">
        <f t="shared" si="3"/>
        <v>40</v>
      </c>
      <c r="K16" s="56">
        <f>if(IsNA(vlookup(C16,'Apr Att'!$I$2:$J$76,2,0)),0,vlookup(C16,'Apr Att'!$I$2:$J$76,2,0))</f>
        <v>3</v>
      </c>
      <c r="L16" s="60">
        <f t="shared" si="4"/>
        <v>40</v>
      </c>
    </row>
    <row r="17">
      <c r="A17" s="49" t="s">
        <v>313</v>
      </c>
      <c r="B17" s="49" t="s">
        <v>299</v>
      </c>
      <c r="C17" s="51" t="str">
        <f t="shared" si="1"/>
        <v>Jed Garcia</v>
      </c>
      <c r="D17" s="49" t="s">
        <v>273</v>
      </c>
      <c r="E17" s="53">
        <v>72.0</v>
      </c>
      <c r="F17" s="18">
        <v>15.0</v>
      </c>
      <c r="G17" s="56" t="str">
        <f t="shared" si="2"/>
        <v>Jed Garcia Apr Attendance - 4 sessions</v>
      </c>
      <c r="H17" s="26" t="s">
        <v>357</v>
      </c>
      <c r="I17" s="18">
        <v>1.0</v>
      </c>
      <c r="J17" s="56">
        <f t="shared" si="3"/>
        <v>25</v>
      </c>
      <c r="K17" s="56">
        <f>if(IsNA(vlookup(C17,'Apr Att'!$I$2:$J$76,2,0)),0,vlookup(C17,'Apr Att'!$I$2:$J$76,2,0))</f>
        <v>4</v>
      </c>
      <c r="L17" s="60">
        <f t="shared" si="4"/>
        <v>25</v>
      </c>
    </row>
    <row r="18">
      <c r="A18" s="61" t="s">
        <v>298</v>
      </c>
      <c r="B18" s="61" t="s">
        <v>299</v>
      </c>
      <c r="C18" s="51" t="str">
        <f t="shared" si="1"/>
        <v>Josel Garcia</v>
      </c>
      <c r="D18" s="61" t="s">
        <v>273</v>
      </c>
      <c r="E18" s="53">
        <f>vlookup(D18,'Invoice ClientIds'!$B$2:$D$100,3,0)</f>
        <v>72</v>
      </c>
      <c r="F18" s="18">
        <v>15.0</v>
      </c>
      <c r="G18" s="56" t="str">
        <f t="shared" si="2"/>
        <v>Josel Garcia Apr Attendance - 4 sessions</v>
      </c>
      <c r="H18" s="26" t="s">
        <v>348</v>
      </c>
      <c r="I18" s="18">
        <v>1.0</v>
      </c>
      <c r="J18" s="56">
        <f t="shared" si="3"/>
        <v>40</v>
      </c>
      <c r="K18" s="56">
        <f>if(IsNA(vlookup(C18,'Apr Att'!$I$2:$J$76,2,0)),0,vlookup(C18,'Apr Att'!$I$2:$J$76,2,0))</f>
        <v>4</v>
      </c>
      <c r="L18" s="60">
        <f t="shared" si="4"/>
        <v>40</v>
      </c>
    </row>
    <row r="19">
      <c r="A19" s="61" t="s">
        <v>309</v>
      </c>
      <c r="B19" s="61" t="s">
        <v>299</v>
      </c>
      <c r="C19" s="51" t="str">
        <f t="shared" si="1"/>
        <v>Aileen Garcia</v>
      </c>
      <c r="D19" s="61" t="s">
        <v>273</v>
      </c>
      <c r="E19" s="53">
        <f>vlookup(D19,'Invoice ClientIds'!$B$2:$D$100,3,0)</f>
        <v>72</v>
      </c>
      <c r="F19" s="18">
        <v>15.0</v>
      </c>
      <c r="G19" s="56" t="str">
        <f t="shared" si="2"/>
        <v>Aileen Garcia Apr Attendance - 3 sessions</v>
      </c>
      <c r="H19" s="26" t="s">
        <v>348</v>
      </c>
      <c r="I19" s="18">
        <v>1.0</v>
      </c>
      <c r="J19" s="56">
        <f t="shared" si="3"/>
        <v>40</v>
      </c>
      <c r="K19" s="56">
        <f>if(IsNA(vlookup(C19,'Apr Att'!$I$2:$J$76,2,0)),0,vlookup(C19,'Apr Att'!$I$2:$J$76,2,0))</f>
        <v>3</v>
      </c>
      <c r="L19" s="60">
        <f t="shared" si="4"/>
        <v>40</v>
      </c>
    </row>
    <row r="20">
      <c r="A20" s="61" t="s">
        <v>314</v>
      </c>
      <c r="B20" s="61" t="s">
        <v>417</v>
      </c>
      <c r="C20" s="51" t="str">
        <f t="shared" si="1"/>
        <v>Aashish Kumar</v>
      </c>
      <c r="D20" s="61" t="s">
        <v>301</v>
      </c>
      <c r="E20" s="53" t="str">
        <f>vlookup(D20,'Invoice ClientIds'!$B$2:$D$100,3,0)</f>
        <v>d82e7614-b40a-46ae-a48b-143c809bca66</v>
      </c>
      <c r="F20" s="18">
        <v>15.0</v>
      </c>
      <c r="G20" s="56" t="str">
        <f t="shared" si="2"/>
        <v>Aashish Kumar Apr Attendance - 2 sessions</v>
      </c>
      <c r="H20" s="26" t="s">
        <v>348</v>
      </c>
      <c r="I20" s="18">
        <v>1.0</v>
      </c>
      <c r="J20" s="56">
        <f t="shared" si="3"/>
        <v>25</v>
      </c>
      <c r="K20" s="56">
        <f>if(IsNA(vlookup(C20,'Apr Att'!$I$2:$J$76,2,0)),0,vlookup(C20,'Apr Att'!$I$2:$J$76,2,0))</f>
        <v>2</v>
      </c>
      <c r="L20" s="60">
        <f t="shared" si="4"/>
        <v>25</v>
      </c>
    </row>
    <row r="21">
      <c r="A21" s="77" t="s">
        <v>316</v>
      </c>
      <c r="B21" s="77" t="s">
        <v>317</v>
      </c>
      <c r="C21" s="78" t="str">
        <f t="shared" si="1"/>
        <v>Rohith Krishna</v>
      </c>
      <c r="D21" s="77" t="s">
        <v>304</v>
      </c>
      <c r="E21" s="79" t="str">
        <f>vlookup(D21,'Invoice ClientIds'!$B$2:$D$100,3,0)</f>
        <v>5d744242-e398-4705-b209-5c1d3de276bd</v>
      </c>
      <c r="F21" s="80">
        <v>15.0</v>
      </c>
      <c r="G21" s="81" t="str">
        <f t="shared" si="2"/>
        <v>Rohith Krishna Apr Attendance - 0 sessions</v>
      </c>
      <c r="H21" s="82" t="s">
        <v>348</v>
      </c>
      <c r="I21" s="80">
        <v>1.0</v>
      </c>
      <c r="J21" s="81">
        <f t="shared" si="3"/>
        <v>25</v>
      </c>
      <c r="K21" s="81">
        <f>if(IsNA(vlookup(C21,'Apr Att'!$I$2:$J$76,2,0)),0,vlookup(C21,'Apr Att'!$I$2:$J$76,2,0))</f>
        <v>0</v>
      </c>
      <c r="L21" s="83">
        <f t="shared" si="4"/>
        <v>25</v>
      </c>
    </row>
    <row r="22">
      <c r="A22" s="49" t="s">
        <v>318</v>
      </c>
      <c r="B22" s="49" t="s">
        <v>319</v>
      </c>
      <c r="C22" s="51" t="str">
        <f t="shared" si="1"/>
        <v>Glen Macaraeg</v>
      </c>
      <c r="D22" s="49" t="s">
        <v>143</v>
      </c>
      <c r="E22" s="53" t="str">
        <f>vlookup(D22,'Invoice ClientIds'!$B$2:$D$100,3,0)</f>
        <v>36</v>
      </c>
      <c r="F22" s="18">
        <v>15.0</v>
      </c>
      <c r="G22" s="56" t="str">
        <f t="shared" si="2"/>
        <v>Glen Macaraeg Apr Attendance - 3 sessions</v>
      </c>
      <c r="H22" s="26" t="s">
        <v>348</v>
      </c>
      <c r="I22" s="18">
        <v>1.0</v>
      </c>
      <c r="J22" s="56">
        <f t="shared" si="3"/>
        <v>40</v>
      </c>
      <c r="K22" s="56">
        <f>if(IsNA(vlookup(C22,'Apr Att'!$I$2:$J$76,2,0)),0,vlookup(C22,'Apr Att'!$I$2:$J$76,2,0))</f>
        <v>3</v>
      </c>
      <c r="L22" s="60">
        <f t="shared" si="4"/>
        <v>40</v>
      </c>
    </row>
    <row r="23">
      <c r="A23" s="49" t="s">
        <v>328</v>
      </c>
      <c r="B23" s="49" t="s">
        <v>319</v>
      </c>
      <c r="C23" s="51" t="str">
        <f t="shared" si="1"/>
        <v>Tess Macaraeg</v>
      </c>
      <c r="D23" s="49" t="s">
        <v>143</v>
      </c>
      <c r="E23" s="53" t="str">
        <f>vlookup(D23,'Invoice ClientIds'!$B$2:$D$100,3,0)</f>
        <v>36</v>
      </c>
      <c r="F23" s="18">
        <v>15.0</v>
      </c>
      <c r="G23" s="56" t="str">
        <f t="shared" si="2"/>
        <v>Tess Macaraeg Apr Attendance - 3 sessions</v>
      </c>
      <c r="H23" s="26" t="s">
        <v>348</v>
      </c>
      <c r="I23" s="18">
        <v>1.0</v>
      </c>
      <c r="J23" s="56">
        <f t="shared" si="3"/>
        <v>40</v>
      </c>
      <c r="K23" s="56">
        <f>if(IsNA(vlookup(C23,'Apr Att'!$I$2:$J$76,2,0)),0,vlookup(C23,'Apr Att'!$I$2:$J$76,2,0))</f>
        <v>3</v>
      </c>
      <c r="L23" s="60">
        <f t="shared" si="4"/>
        <v>40</v>
      </c>
    </row>
    <row r="24">
      <c r="A24" s="49" t="s">
        <v>333</v>
      </c>
      <c r="B24" s="49" t="s">
        <v>335</v>
      </c>
      <c r="C24" s="51" t="str">
        <f t="shared" si="1"/>
        <v>Alex Marundan</v>
      </c>
      <c r="D24" s="49" t="s">
        <v>255</v>
      </c>
      <c r="E24" s="53">
        <v>67.0</v>
      </c>
      <c r="F24" s="18">
        <v>15.0</v>
      </c>
      <c r="G24" s="56" t="str">
        <f t="shared" si="2"/>
        <v>Alex Marundan Apr Attendance - 2 sessions</v>
      </c>
      <c r="H24" s="26" t="s">
        <v>348</v>
      </c>
      <c r="I24" s="18">
        <v>1.0</v>
      </c>
      <c r="J24" s="56">
        <f t="shared" si="3"/>
        <v>25</v>
      </c>
      <c r="K24" s="56">
        <f>if(IsNA(vlookup(C24,'Apr Att'!$I$2:$J$76,2,0)),0,vlookup(C24,'Apr Att'!$I$2:$J$76,2,0))</f>
        <v>2</v>
      </c>
      <c r="L24" s="60">
        <f t="shared" si="4"/>
        <v>25</v>
      </c>
    </row>
    <row r="25">
      <c r="A25" s="49" t="s">
        <v>340</v>
      </c>
      <c r="B25" s="49" t="s">
        <v>341</v>
      </c>
      <c r="C25" s="51" t="str">
        <f t="shared" si="1"/>
        <v>Maritoni Mesina</v>
      </c>
      <c r="D25" s="49" t="s">
        <v>184</v>
      </c>
      <c r="E25" s="53">
        <f>vlookup(D25,'Invoice ClientIds'!$B$2:$D$100,3,0)</f>
        <v>46</v>
      </c>
      <c r="F25" s="18">
        <v>15.0</v>
      </c>
      <c r="G25" s="56" t="str">
        <f t="shared" si="2"/>
        <v>Maritoni Mesina Apr Attendance - 2 sessions</v>
      </c>
      <c r="H25" s="26" t="s">
        <v>348</v>
      </c>
      <c r="I25" s="18">
        <v>1.0</v>
      </c>
      <c r="J25" s="56">
        <f t="shared" si="3"/>
        <v>25</v>
      </c>
      <c r="K25" s="56">
        <f>if(IsNA(vlookup(C25,'Apr Att'!$I$2:$J$76,2,0)),0,vlookup(C25,'Apr Att'!$I$2:$J$76,2,0))</f>
        <v>2</v>
      </c>
      <c r="L25" s="60">
        <f t="shared" si="4"/>
        <v>25</v>
      </c>
    </row>
    <row r="26">
      <c r="A26" s="49" t="s">
        <v>342</v>
      </c>
      <c r="B26" s="49" t="s">
        <v>341</v>
      </c>
      <c r="C26" s="51" t="str">
        <f t="shared" si="1"/>
        <v>Bimbo Mesina</v>
      </c>
      <c r="D26" s="49" t="s">
        <v>184</v>
      </c>
      <c r="E26" s="53">
        <f>vlookup(D26,'Invoice ClientIds'!$B$2:$D$100,3,0)</f>
        <v>46</v>
      </c>
      <c r="F26" s="18">
        <v>15.0</v>
      </c>
      <c r="G26" s="56" t="str">
        <f t="shared" si="2"/>
        <v>Bimbo Mesina Apr Attendance - 2 sessions</v>
      </c>
      <c r="H26" s="26" t="s">
        <v>348</v>
      </c>
      <c r="I26" s="18">
        <v>1.0</v>
      </c>
      <c r="J26" s="56">
        <f t="shared" si="3"/>
        <v>25</v>
      </c>
      <c r="K26" s="56">
        <f>if(IsNA(vlookup(C26,'Apr Att'!$I$2:$J$76,2,0)),0,vlookup(C26,'Apr Att'!$I$2:$J$76,2,0))</f>
        <v>2</v>
      </c>
      <c r="L26" s="60">
        <f t="shared" si="4"/>
        <v>25</v>
      </c>
    </row>
    <row r="27">
      <c r="A27" s="61" t="s">
        <v>343</v>
      </c>
      <c r="B27" s="61" t="s">
        <v>344</v>
      </c>
      <c r="C27" s="51" t="str">
        <f t="shared" si="1"/>
        <v>Vikram Murthi</v>
      </c>
      <c r="D27" s="61" t="s">
        <v>311</v>
      </c>
      <c r="E27" s="53" t="str">
        <f>vlookup(D27,'Invoice ClientIds'!$B$2:$D$100,3,0)</f>
        <v>27e08fe4-d057-4932-b633-7cfbf4b5a83a</v>
      </c>
      <c r="F27" s="18">
        <v>15.0</v>
      </c>
      <c r="G27" s="56" t="str">
        <f t="shared" si="2"/>
        <v>Vikram Murthi Apr Attendance - 1 session</v>
      </c>
      <c r="H27" s="26" t="s">
        <v>348</v>
      </c>
      <c r="I27" s="18">
        <v>1.0</v>
      </c>
      <c r="J27" s="56">
        <f t="shared" si="3"/>
        <v>25</v>
      </c>
      <c r="K27" s="56">
        <f>if(IsNA(vlookup(C27,'Apr Att'!$I$2:$J$76,2,0)),0,vlookup(C27,'Apr Att'!$I$2:$J$76,2,0))</f>
        <v>1</v>
      </c>
      <c r="L27" s="60">
        <f t="shared" si="4"/>
        <v>25</v>
      </c>
    </row>
    <row r="28">
      <c r="A28" s="49" t="s">
        <v>345</v>
      </c>
      <c r="B28" s="49" t="s">
        <v>346</v>
      </c>
      <c r="C28" s="51" t="str">
        <f t="shared" si="1"/>
        <v>Marlon Nacua</v>
      </c>
      <c r="D28" s="49" t="s">
        <v>87</v>
      </c>
      <c r="E28" s="53" t="str">
        <f>vlookup(D28,'Invoice ClientIds'!$B$2:$D$100,3,0)</f>
        <v>18</v>
      </c>
      <c r="F28" s="18">
        <v>15.0</v>
      </c>
      <c r="G28" s="56" t="str">
        <f t="shared" si="2"/>
        <v>Marlon Nacua Apr Attendance - 4 sessions</v>
      </c>
      <c r="H28" s="26" t="s">
        <v>348</v>
      </c>
      <c r="I28" s="18">
        <v>1.0</v>
      </c>
      <c r="J28" s="56">
        <f t="shared" si="3"/>
        <v>40</v>
      </c>
      <c r="K28" s="56">
        <f>if(IsNA(vlookup(C28,'Apr Att'!$I$2:$J$76,2,0)),0,vlookup(C28,'Apr Att'!$I$2:$J$76,2,0))</f>
        <v>4</v>
      </c>
      <c r="L28" s="60">
        <f t="shared" si="4"/>
        <v>40</v>
      </c>
    </row>
    <row r="29">
      <c r="A29" s="49" t="s">
        <v>347</v>
      </c>
      <c r="B29" s="49" t="s">
        <v>346</v>
      </c>
      <c r="C29" s="51" t="str">
        <f t="shared" si="1"/>
        <v>Lorraine Nacua</v>
      </c>
      <c r="D29" s="49" t="s">
        <v>87</v>
      </c>
      <c r="E29" s="53" t="str">
        <f>vlookup(D29,'Invoice ClientIds'!$B$2:$D$100,3,0)</f>
        <v>18</v>
      </c>
      <c r="F29" s="18">
        <v>15.0</v>
      </c>
      <c r="G29" s="56" t="str">
        <f t="shared" si="2"/>
        <v>Lorraine Nacua Apr Attendance - 4 sessions</v>
      </c>
      <c r="H29" s="26" t="s">
        <v>348</v>
      </c>
      <c r="I29" s="18">
        <v>1.0</v>
      </c>
      <c r="J29" s="56">
        <f t="shared" si="3"/>
        <v>40</v>
      </c>
      <c r="K29" s="56">
        <f>if(IsNA(vlookup(C29,'Apr Att'!$I$2:$J$76,2,0)),0,vlookup(C29,'Apr Att'!$I$2:$J$76,2,0))</f>
        <v>4</v>
      </c>
      <c r="L29" s="60">
        <f t="shared" si="4"/>
        <v>40</v>
      </c>
    </row>
    <row r="30">
      <c r="A30" s="61" t="s">
        <v>351</v>
      </c>
      <c r="B30" s="49" t="s">
        <v>350</v>
      </c>
      <c r="C30" s="51" t="str">
        <f t="shared" si="1"/>
        <v>Reiner Nalzaro</v>
      </c>
      <c r="D30" s="49" t="s">
        <v>128</v>
      </c>
      <c r="E30" s="53" t="str">
        <f>vlookup(D30,'Invoice ClientIds'!$B$2:$D$100,3,0)</f>
        <v>31</v>
      </c>
      <c r="F30" s="18">
        <v>15.0</v>
      </c>
      <c r="G30" s="56" t="str">
        <f t="shared" si="2"/>
        <v>Reiner Nalzaro Apr Attendance - 2 sessions</v>
      </c>
      <c r="H30" s="26" t="s">
        <v>348</v>
      </c>
      <c r="I30" s="18">
        <v>1.0</v>
      </c>
      <c r="J30" s="56">
        <f t="shared" si="3"/>
        <v>25</v>
      </c>
      <c r="K30" s="56">
        <f>if(IsNA(vlookup(C30,'Apr Att'!$I$2:$J$76,2,0)),0,vlookup(C30,'Apr Att'!$I$2:$J$76,2,0))</f>
        <v>2</v>
      </c>
      <c r="L30" s="60">
        <f t="shared" si="4"/>
        <v>25</v>
      </c>
    </row>
    <row r="31">
      <c r="A31" s="49" t="s">
        <v>349</v>
      </c>
      <c r="B31" s="49" t="s">
        <v>350</v>
      </c>
      <c r="C31" s="51" t="str">
        <f t="shared" si="1"/>
        <v>Reinhardt Nalzaro</v>
      </c>
      <c r="D31" s="61" t="s">
        <v>296</v>
      </c>
      <c r="E31" s="53" t="str">
        <f>vlookup(D31,'Invoice ClientIds'!$B$2:$D$100,3,0)</f>
        <v>e7de831f-d2aa-4e7a-b94c-36977657934d</v>
      </c>
      <c r="F31" s="18">
        <v>15.0</v>
      </c>
      <c r="G31" s="56" t="str">
        <f t="shared" si="2"/>
        <v>Reinhardt Nalzaro Apr Attendance - 4 sessions</v>
      </c>
      <c r="H31" s="26" t="s">
        <v>357</v>
      </c>
      <c r="I31" s="18">
        <v>1.0</v>
      </c>
      <c r="J31" s="56">
        <f t="shared" si="3"/>
        <v>25</v>
      </c>
      <c r="K31" s="56">
        <f>if(IsNA(vlookup(C31,'Apr Att'!$I$2:$J$76,2,0)),0,vlookup(C31,'Apr Att'!$I$2:$J$76,2,0))</f>
        <v>4</v>
      </c>
      <c r="L31" s="68">
        <v>25.0</v>
      </c>
    </row>
    <row r="32">
      <c r="A32" s="49" t="s">
        <v>352</v>
      </c>
      <c r="B32" s="49" t="s">
        <v>353</v>
      </c>
      <c r="C32" s="51" t="str">
        <f t="shared" si="1"/>
        <v>Jess Pangilinan</v>
      </c>
      <c r="D32" s="49" t="s">
        <v>140</v>
      </c>
      <c r="E32" s="53" t="str">
        <f>vlookup(D32,'Invoice ClientIds'!$B$2:$D$100,3,0)</f>
        <v>35</v>
      </c>
      <c r="F32" s="18">
        <v>15.0</v>
      </c>
      <c r="G32" s="56" t="str">
        <f t="shared" si="2"/>
        <v>Jess Pangilinan Apr Attendance - 2 sessions</v>
      </c>
      <c r="H32" s="26" t="s">
        <v>348</v>
      </c>
      <c r="I32" s="18">
        <v>1.0</v>
      </c>
      <c r="J32" s="56">
        <f t="shared" si="3"/>
        <v>25</v>
      </c>
      <c r="K32" s="56">
        <f>if(IsNA(vlookup(C32,'Apr Att'!$I$2:$J$76,2,0)),0,vlookup(C32,'Apr Att'!$I$2:$J$76,2,0))</f>
        <v>2</v>
      </c>
      <c r="L32" s="60">
        <f t="shared" ref="L32:L33" si="5">I32*J32</f>
        <v>25</v>
      </c>
    </row>
    <row r="33">
      <c r="A33" s="49" t="s">
        <v>354</v>
      </c>
      <c r="B33" s="49" t="s">
        <v>353</v>
      </c>
      <c r="C33" s="51" t="str">
        <f t="shared" si="1"/>
        <v>Terry Pangilinan</v>
      </c>
      <c r="D33" s="49" t="s">
        <v>140</v>
      </c>
      <c r="E33" s="53" t="str">
        <f>vlookup(D33,'Invoice ClientIds'!$B$2:$D$100,3,0)</f>
        <v>35</v>
      </c>
      <c r="F33" s="18">
        <v>15.0</v>
      </c>
      <c r="G33" s="56" t="str">
        <f t="shared" si="2"/>
        <v>Terry Pangilinan Apr Attendance - 2 sessions</v>
      </c>
      <c r="H33" s="26" t="s">
        <v>348</v>
      </c>
      <c r="I33" s="18">
        <v>1.0</v>
      </c>
      <c r="J33" s="56">
        <f t="shared" si="3"/>
        <v>25</v>
      </c>
      <c r="K33" s="56">
        <f>if(IsNA(vlookup(C33,'Apr Att'!$I$2:$J$76,2,0)),0,vlookup(C33,'Apr Att'!$I$2:$J$76,2,0))</f>
        <v>2</v>
      </c>
      <c r="L33" s="60">
        <f t="shared" si="5"/>
        <v>25</v>
      </c>
    </row>
    <row r="34">
      <c r="A34" s="49" t="s">
        <v>356</v>
      </c>
      <c r="B34" s="49" t="s">
        <v>353</v>
      </c>
      <c r="C34" s="51" t="str">
        <f t="shared" si="1"/>
        <v>Nina Pangilinan</v>
      </c>
      <c r="D34" s="49" t="s">
        <v>140</v>
      </c>
      <c r="E34" s="53" t="str">
        <f>vlookup(D34,'Invoice ClientIds'!$B$2:$D$100,3,0)</f>
        <v>35</v>
      </c>
      <c r="F34" s="18">
        <v>15.0</v>
      </c>
      <c r="G34" s="56" t="str">
        <f t="shared" si="2"/>
        <v>Nina Pangilinan Apr Attendance - 2 sessions</v>
      </c>
      <c r="H34" s="26" t="s">
        <v>357</v>
      </c>
      <c r="I34" s="18">
        <v>1.0</v>
      </c>
      <c r="J34" s="56">
        <f t="shared" si="3"/>
        <v>25</v>
      </c>
      <c r="K34" s="56">
        <f>if(IsNA(vlookup(C34,'Apr Att'!$I$2:$J$76,2,0)),0,vlookup(C34,'Apr Att'!$I$2:$J$76,2,0))</f>
        <v>2</v>
      </c>
      <c r="L34" s="68">
        <v>25.0</v>
      </c>
    </row>
    <row r="35">
      <c r="A35" s="49" t="s">
        <v>355</v>
      </c>
      <c r="B35" s="49" t="s">
        <v>353</v>
      </c>
      <c r="C35" s="51" t="str">
        <f t="shared" si="1"/>
        <v>Ceth Pangilinan</v>
      </c>
      <c r="D35" s="49" t="s">
        <v>140</v>
      </c>
      <c r="E35" s="53" t="str">
        <f>vlookup(D35,'Invoice ClientIds'!$B$2:$D$100,3,0)</f>
        <v>35</v>
      </c>
      <c r="F35" s="18">
        <v>15.0</v>
      </c>
      <c r="G35" s="56" t="str">
        <f t="shared" si="2"/>
        <v>Ceth Pangilinan Apr Attendance - 2 sessions</v>
      </c>
      <c r="H35" s="26" t="s">
        <v>357</v>
      </c>
      <c r="I35" s="18">
        <v>1.0</v>
      </c>
      <c r="J35" s="56">
        <f t="shared" si="3"/>
        <v>25</v>
      </c>
      <c r="K35" s="56">
        <f>if(IsNA(vlookup(C35,'Apr Att'!$I$2:$J$76,2,0)),0,vlookup(C35,'Apr Att'!$I$2:$J$76,2,0))</f>
        <v>2</v>
      </c>
      <c r="L35" s="68">
        <v>25.0</v>
      </c>
    </row>
    <row r="36">
      <c r="A36" s="49" t="s">
        <v>358</v>
      </c>
      <c r="B36" s="49" t="s">
        <v>359</v>
      </c>
      <c r="C36" s="51" t="str">
        <f t="shared" si="1"/>
        <v>Allan Puente</v>
      </c>
      <c r="D36" s="49" t="s">
        <v>41</v>
      </c>
      <c r="E36" s="53" t="str">
        <f>vlookup(D36,'Invoice ClientIds'!$B$2:$D$100,3,0)</f>
        <v>4</v>
      </c>
      <c r="F36" s="18">
        <v>15.0</v>
      </c>
      <c r="G36" s="56" t="str">
        <f t="shared" si="2"/>
        <v>Allan Puente Apr Attendance - 2 sessions</v>
      </c>
      <c r="H36" s="26" t="s">
        <v>348</v>
      </c>
      <c r="I36" s="18">
        <v>1.0</v>
      </c>
      <c r="J36" s="56">
        <f t="shared" si="3"/>
        <v>25</v>
      </c>
      <c r="K36" s="56">
        <f>if(IsNA(vlookup(C36,'Apr Att'!$I$2:$J$76,2,0)),0,vlookup(C36,'Apr Att'!$I$2:$J$76,2,0))</f>
        <v>2</v>
      </c>
      <c r="L36" s="60">
        <f t="shared" ref="L36:L48" si="6">I36*J36</f>
        <v>25</v>
      </c>
    </row>
    <row r="37">
      <c r="A37" s="49" t="s">
        <v>361</v>
      </c>
      <c r="B37" s="49" t="s">
        <v>362</v>
      </c>
      <c r="C37" s="51" t="str">
        <f t="shared" si="1"/>
        <v>Rodel Rillera</v>
      </c>
      <c r="D37" s="49" t="s">
        <v>94</v>
      </c>
      <c r="E37" s="53" t="str">
        <f>vlookup(D37,'Invoice ClientIds'!$B$2:$D$100,3,0)</f>
        <v>20</v>
      </c>
      <c r="F37" s="18">
        <v>15.0</v>
      </c>
      <c r="G37" s="56" t="str">
        <f t="shared" si="2"/>
        <v>Rodel Rillera Apr Attendance - 3 sessions</v>
      </c>
      <c r="H37" s="26" t="s">
        <v>348</v>
      </c>
      <c r="I37" s="18">
        <v>1.0</v>
      </c>
      <c r="J37" s="56">
        <f t="shared" si="3"/>
        <v>40</v>
      </c>
      <c r="K37" s="56">
        <f>if(IsNA(vlookup(C37,'Apr Att'!$I$2:$J$76,2,0)),0,vlookup(C37,'Apr Att'!$I$2:$J$76,2,0))</f>
        <v>3</v>
      </c>
      <c r="L37" s="60">
        <f t="shared" si="6"/>
        <v>40</v>
      </c>
    </row>
    <row r="38">
      <c r="A38" s="49" t="s">
        <v>367</v>
      </c>
      <c r="B38" s="49" t="s">
        <v>362</v>
      </c>
      <c r="C38" s="51" t="str">
        <f t="shared" si="1"/>
        <v>Marianne Rillera</v>
      </c>
      <c r="D38" s="49" t="s">
        <v>94</v>
      </c>
      <c r="E38" s="53" t="str">
        <f>vlookup(D38,'Invoice ClientIds'!$B$2:$D$100,3,0)</f>
        <v>20</v>
      </c>
      <c r="F38" s="18">
        <v>15.0</v>
      </c>
      <c r="G38" s="56" t="str">
        <f t="shared" si="2"/>
        <v>Marianne Rillera Apr Attendance - 3 sessions</v>
      </c>
      <c r="H38" s="26" t="s">
        <v>348</v>
      </c>
      <c r="I38" s="18">
        <v>1.0</v>
      </c>
      <c r="J38" s="56">
        <f t="shared" si="3"/>
        <v>40</v>
      </c>
      <c r="K38" s="56">
        <f>if(IsNA(vlookup(C38,'Apr Att'!$I$2:$J$76,2,0)),0,vlookup(C38,'Apr Att'!$I$2:$J$76,2,0))</f>
        <v>3</v>
      </c>
      <c r="L38" s="60">
        <f t="shared" si="6"/>
        <v>40</v>
      </c>
    </row>
    <row r="39">
      <c r="A39" s="77" t="s">
        <v>370</v>
      </c>
      <c r="B39" s="77" t="s">
        <v>372</v>
      </c>
      <c r="C39" s="78" t="str">
        <f t="shared" si="1"/>
        <v>Rinaldi Roque</v>
      </c>
      <c r="D39" s="77" t="s">
        <v>307</v>
      </c>
      <c r="E39" s="79" t="str">
        <f>vlookup(D39,'Invoice ClientIds'!$B$2:$D$100,3,0)</f>
        <v>d03b3e08-1f8e-489e-a104-04f382902878</v>
      </c>
      <c r="F39" s="80">
        <v>15.0</v>
      </c>
      <c r="G39" s="81" t="str">
        <f t="shared" si="2"/>
        <v>Rinaldi Roque Apr Attendance - 0 sessions</v>
      </c>
      <c r="H39" s="82" t="s">
        <v>348</v>
      </c>
      <c r="I39" s="80">
        <v>1.0</v>
      </c>
      <c r="J39" s="81">
        <f t="shared" si="3"/>
        <v>25</v>
      </c>
      <c r="K39" s="81">
        <f>if(IsNA(vlookup(C39,'Apr Att'!$I$2:$J$76,2,0)),0,vlookup(C39,'Apr Att'!$I$2:$J$76,2,0))</f>
        <v>0</v>
      </c>
      <c r="L39" s="85">
        <f t="shared" si="6"/>
        <v>25</v>
      </c>
    </row>
    <row r="40">
      <c r="A40" s="49" t="s">
        <v>378</v>
      </c>
      <c r="B40" s="49" t="s">
        <v>379</v>
      </c>
      <c r="C40" s="51" t="str">
        <f t="shared" si="1"/>
        <v>Gay Salac</v>
      </c>
      <c r="D40" s="49" t="s">
        <v>91</v>
      </c>
      <c r="E40" s="53" t="str">
        <f>vlookup(D40,'Invoice ClientIds'!$B$2:$D$100,3,0)</f>
        <v>19</v>
      </c>
      <c r="F40" s="18">
        <v>15.0</v>
      </c>
      <c r="G40" s="56" t="str">
        <f t="shared" si="2"/>
        <v>Gay Salac Apr Attendance - 4 sessions</v>
      </c>
      <c r="H40" s="26" t="s">
        <v>348</v>
      </c>
      <c r="I40" s="18">
        <v>1.0</v>
      </c>
      <c r="J40" s="56">
        <f t="shared" si="3"/>
        <v>40</v>
      </c>
      <c r="K40" s="56">
        <f>if(IsNA(vlookup(C40,'Apr Att'!$I$2:$J$76,2,0)),0,vlookup(C40,'Apr Att'!$I$2:$J$76,2,0))</f>
        <v>4</v>
      </c>
      <c r="L40" s="60">
        <f t="shared" si="6"/>
        <v>40</v>
      </c>
    </row>
    <row r="41">
      <c r="A41" s="49" t="s">
        <v>387</v>
      </c>
      <c r="B41" s="49" t="s">
        <v>379</v>
      </c>
      <c r="C41" s="51" t="str">
        <f t="shared" si="1"/>
        <v>Manny Salac</v>
      </c>
      <c r="D41" s="49" t="s">
        <v>91</v>
      </c>
      <c r="E41" s="53" t="str">
        <f>vlookup(D41,'Invoice ClientIds'!$B$2:$D$100,3,0)</f>
        <v>19</v>
      </c>
      <c r="F41" s="18">
        <v>15.0</v>
      </c>
      <c r="G41" s="56" t="str">
        <f t="shared" si="2"/>
        <v>Manny Salac Apr Attendance - 4 sessions</v>
      </c>
      <c r="H41" s="26" t="s">
        <v>348</v>
      </c>
      <c r="I41" s="18">
        <v>1.0</v>
      </c>
      <c r="J41" s="56">
        <f t="shared" si="3"/>
        <v>40</v>
      </c>
      <c r="K41" s="56">
        <f>if(IsNA(vlookup(C41,'Apr Att'!$I$2:$J$76,2,0)),0,vlookup(C41,'Apr Att'!$I$2:$J$76,2,0))</f>
        <v>4</v>
      </c>
      <c r="L41" s="60">
        <f t="shared" si="6"/>
        <v>40</v>
      </c>
    </row>
    <row r="42">
      <c r="A42" s="49" t="s">
        <v>393</v>
      </c>
      <c r="B42" s="49" t="s">
        <v>394</v>
      </c>
      <c r="C42" s="51" t="str">
        <f t="shared" si="1"/>
        <v>Al Saulon</v>
      </c>
      <c r="D42" s="49" t="s">
        <v>30</v>
      </c>
      <c r="E42" s="53" t="str">
        <f>vlookup(D42,'Invoice ClientIds'!$B$2:$D$100,3,0)</f>
        <v>2</v>
      </c>
      <c r="F42" s="18">
        <v>15.0</v>
      </c>
      <c r="G42" s="56" t="str">
        <f t="shared" si="2"/>
        <v>Al Saulon Apr Attendance - 4 sessions</v>
      </c>
      <c r="H42" s="26" t="s">
        <v>348</v>
      </c>
      <c r="I42" s="18">
        <v>1.0</v>
      </c>
      <c r="J42" s="56">
        <f t="shared" si="3"/>
        <v>40</v>
      </c>
      <c r="K42" s="56">
        <f>if(IsNA(vlookup(C42,'Apr Att'!$I$2:$J$76,2,0)),0,vlookup(C42,'Apr Att'!$I$2:$J$76,2,0))</f>
        <v>4</v>
      </c>
      <c r="L42" s="60">
        <f t="shared" si="6"/>
        <v>40</v>
      </c>
    </row>
    <row r="43">
      <c r="A43" s="49" t="s">
        <v>396</v>
      </c>
      <c r="B43" s="49" t="s">
        <v>394</v>
      </c>
      <c r="C43" s="51" t="str">
        <f t="shared" si="1"/>
        <v>Charrylou Saulon</v>
      </c>
      <c r="D43" s="49" t="s">
        <v>30</v>
      </c>
      <c r="E43" s="53" t="str">
        <f>vlookup(D43,'Invoice ClientIds'!$B$2:$D$100,3,0)</f>
        <v>2</v>
      </c>
      <c r="F43" s="18">
        <v>15.0</v>
      </c>
      <c r="G43" s="56" t="str">
        <f t="shared" si="2"/>
        <v>Charrylou Saulon Apr Attendance - 3 sessions</v>
      </c>
      <c r="H43" s="26" t="s">
        <v>348</v>
      </c>
      <c r="I43" s="18">
        <v>1.0</v>
      </c>
      <c r="J43" s="56">
        <f t="shared" si="3"/>
        <v>40</v>
      </c>
      <c r="K43" s="56">
        <f>if(IsNA(vlookup(C43,'Apr Att'!$I$2:$J$76,2,0)),0,vlookup(C43,'Apr Att'!$I$2:$J$76,2,0))</f>
        <v>3</v>
      </c>
      <c r="L43" s="60">
        <f t="shared" si="6"/>
        <v>40</v>
      </c>
    </row>
    <row r="44">
      <c r="A44" s="61" t="s">
        <v>401</v>
      </c>
      <c r="B44" s="49" t="s">
        <v>402</v>
      </c>
      <c r="C44" s="51" t="str">
        <f t="shared" si="1"/>
        <v>Ding Vega</v>
      </c>
      <c r="D44" s="49" t="s">
        <v>55</v>
      </c>
      <c r="E44" s="53" t="str">
        <f>vlookup(D44,'Invoice ClientIds'!$B$2:$D$100,3,0)</f>
        <v>9</v>
      </c>
      <c r="F44" s="18">
        <v>15.0</v>
      </c>
      <c r="G44" s="56" t="str">
        <f t="shared" si="2"/>
        <v>Ding Vega Apr Attendance - 1 session</v>
      </c>
      <c r="H44" s="26" t="s">
        <v>348</v>
      </c>
      <c r="I44" s="18">
        <v>1.0</v>
      </c>
      <c r="J44" s="56">
        <f t="shared" si="3"/>
        <v>25</v>
      </c>
      <c r="K44" s="56">
        <f>if(IsNA(vlookup(C44,'Apr Att'!$I$2:$J$76,2,0)),0,vlookup(C44,'Apr Att'!$I$2:$J$76,2,0))</f>
        <v>1</v>
      </c>
      <c r="L44" s="60">
        <f t="shared" si="6"/>
        <v>25</v>
      </c>
    </row>
    <row r="45">
      <c r="A45" s="61" t="s">
        <v>404</v>
      </c>
      <c r="B45" s="49" t="s">
        <v>402</v>
      </c>
      <c r="C45" s="51" t="str">
        <f t="shared" si="1"/>
        <v>Jodee Vega</v>
      </c>
      <c r="D45" s="49" t="s">
        <v>55</v>
      </c>
      <c r="E45" s="53" t="str">
        <f>vlookup(D45,'Invoice ClientIds'!$B$2:$D$100,3,0)</f>
        <v>9</v>
      </c>
      <c r="F45" s="18">
        <v>15.0</v>
      </c>
      <c r="G45" s="56" t="str">
        <f t="shared" si="2"/>
        <v>Jodee Vega Apr Attendance - 3 sessions</v>
      </c>
      <c r="H45" s="26" t="s">
        <v>357</v>
      </c>
      <c r="I45" s="18">
        <v>1.0</v>
      </c>
      <c r="J45" s="56">
        <f t="shared" si="3"/>
        <v>25</v>
      </c>
      <c r="K45" s="56">
        <f>if(IsNA(vlookup(C45,'Apr Att'!$I$2:$J$76,2,0)),0,vlookup(C45,'Apr Att'!$I$2:$J$76,2,0))</f>
        <v>3</v>
      </c>
      <c r="L45" s="60">
        <f t="shared" si="6"/>
        <v>25</v>
      </c>
    </row>
    <row r="46">
      <c r="A46" s="61" t="s">
        <v>405</v>
      </c>
      <c r="B46" s="61" t="s">
        <v>406</v>
      </c>
      <c r="C46" s="51" t="str">
        <f t="shared" si="1"/>
        <v>Leo Villanueva</v>
      </c>
      <c r="D46" s="49" t="s">
        <v>287</v>
      </c>
      <c r="E46" s="66">
        <v>76.0</v>
      </c>
      <c r="F46" s="18">
        <v>15.0</v>
      </c>
      <c r="G46" s="56" t="str">
        <f t="shared" si="2"/>
        <v>Leo Villanueva Apr Attendance - 4 sessions</v>
      </c>
      <c r="H46" s="26" t="s">
        <v>348</v>
      </c>
      <c r="I46" s="18">
        <v>1.0</v>
      </c>
      <c r="J46" s="56">
        <f t="shared" si="3"/>
        <v>40</v>
      </c>
      <c r="K46" s="56">
        <f>if(IsNA(vlookup(C46,'Apr Att'!$I$2:$J$76,2,0)),0,vlookup(C46,'Apr Att'!$I$2:$J$76,2,0))</f>
        <v>4</v>
      </c>
      <c r="L46" s="60">
        <f t="shared" si="6"/>
        <v>40</v>
      </c>
    </row>
    <row r="47">
      <c r="A47" s="61" t="s">
        <v>407</v>
      </c>
      <c r="B47" s="61" t="s">
        <v>406</v>
      </c>
      <c r="C47" s="51" t="str">
        <f t="shared" si="1"/>
        <v>Lance Villanueva</v>
      </c>
      <c r="D47" s="49" t="s">
        <v>287</v>
      </c>
      <c r="E47" s="66">
        <v>76.0</v>
      </c>
      <c r="F47" s="18">
        <v>15.0</v>
      </c>
      <c r="G47" s="56" t="str">
        <f t="shared" si="2"/>
        <v>Lance Villanueva Apr Attendance - 3 sessions</v>
      </c>
      <c r="H47" s="26" t="s">
        <v>357</v>
      </c>
      <c r="I47" s="18">
        <v>1.0</v>
      </c>
      <c r="J47" s="56">
        <f t="shared" si="3"/>
        <v>25</v>
      </c>
      <c r="K47" s="56">
        <f>if(IsNA(vlookup(C47,'Apr Att'!$I$2:$J$76,2,0)),0,vlookup(C47,'Apr Att'!$I$2:$J$76,2,0))</f>
        <v>3</v>
      </c>
      <c r="L47" s="60">
        <f t="shared" si="6"/>
        <v>25</v>
      </c>
    </row>
    <row r="48">
      <c r="A48" s="49" t="s">
        <v>398</v>
      </c>
      <c r="B48" s="49" t="s">
        <v>399</v>
      </c>
      <c r="C48" s="51" t="str">
        <f t="shared" si="1"/>
        <v>Wilfred Tupaz</v>
      </c>
      <c r="D48" s="49" t="s">
        <v>229</v>
      </c>
      <c r="E48" s="53">
        <f>vlookup(D48,'Invoice ClientIds'!$B$2:$D$100,3,0)</f>
        <v>59</v>
      </c>
      <c r="F48" s="18">
        <v>15.0</v>
      </c>
      <c r="G48" s="56" t="str">
        <f t="shared" si="2"/>
        <v>Wilfred Tupaz Apr Attendance - 2 sessions</v>
      </c>
      <c r="H48" s="26" t="s">
        <v>348</v>
      </c>
      <c r="I48" s="18">
        <v>1.0</v>
      </c>
      <c r="J48" s="56">
        <f t="shared" si="3"/>
        <v>25</v>
      </c>
      <c r="K48" s="56">
        <f>if(IsNA(vlookup(C48,'Apr Att'!$I$2:$J$76,2,0)),0,vlookup(C48,'Apr Att'!$I$2:$J$76,2,0))</f>
        <v>2</v>
      </c>
      <c r="L48" s="60">
        <f t="shared" si="6"/>
        <v>25</v>
      </c>
    </row>
    <row r="49">
      <c r="E49" s="69"/>
    </row>
    <row r="50">
      <c r="A50" s="49" t="s">
        <v>242</v>
      </c>
      <c r="B50" s="49" t="s">
        <v>244</v>
      </c>
      <c r="C50" s="51" t="str">
        <f t="shared" ref="C50:C57" si="7">CONCATENATE(A50, " ",B50)</f>
        <v>Mark Dasco</v>
      </c>
      <c r="D50" s="49" t="s">
        <v>98</v>
      </c>
      <c r="E50" s="53" t="str">
        <f>vlookup(D50,'Invoice ClientIds'!$B$2:$D$100,3,0)</f>
        <v>21</v>
      </c>
      <c r="F50" s="18">
        <v>15.0</v>
      </c>
      <c r="G50" s="70" t="s">
        <v>582</v>
      </c>
      <c r="H50" s="71" t="s">
        <v>441</v>
      </c>
      <c r="I50" s="70">
        <v>7.0</v>
      </c>
      <c r="J50" s="70">
        <v>15.0</v>
      </c>
      <c r="K50" s="70"/>
      <c r="L50" s="60">
        <f t="shared" ref="L50:L57" si="8">I50*J50</f>
        <v>105</v>
      </c>
    </row>
    <row r="51">
      <c r="A51" s="49" t="s">
        <v>242</v>
      </c>
      <c r="B51" s="49" t="s">
        <v>244</v>
      </c>
      <c r="C51" s="51" t="str">
        <f t="shared" si="7"/>
        <v>Mark Dasco</v>
      </c>
      <c r="D51" s="49" t="s">
        <v>98</v>
      </c>
      <c r="E51" s="53" t="str">
        <f>vlookup(D51,'Invoice ClientIds'!$B$2:$D$100,3,0)</f>
        <v>21</v>
      </c>
      <c r="F51" s="18">
        <v>15.0</v>
      </c>
      <c r="G51" s="70" t="s">
        <v>583</v>
      </c>
      <c r="H51" s="71" t="s">
        <v>441</v>
      </c>
      <c r="I51" s="70">
        <v>9.0</v>
      </c>
      <c r="J51" s="70">
        <v>15.0</v>
      </c>
      <c r="K51" s="70"/>
      <c r="L51" s="60">
        <f t="shared" si="8"/>
        <v>135</v>
      </c>
    </row>
    <row r="52">
      <c r="A52" s="49" t="s">
        <v>242</v>
      </c>
      <c r="B52" s="49" t="s">
        <v>244</v>
      </c>
      <c r="C52" s="51" t="str">
        <f t="shared" si="7"/>
        <v>Mark Dasco</v>
      </c>
      <c r="D52" s="49" t="s">
        <v>98</v>
      </c>
      <c r="E52" s="53" t="str">
        <f>vlookup(D52,'Invoice ClientIds'!$B$2:$D$100,3,0)</f>
        <v>21</v>
      </c>
      <c r="F52" s="18">
        <v>15.0</v>
      </c>
      <c r="G52" s="70" t="s">
        <v>584</v>
      </c>
      <c r="H52" s="71" t="s">
        <v>441</v>
      </c>
      <c r="I52" s="70">
        <v>10.0</v>
      </c>
      <c r="J52" s="70">
        <v>15.0</v>
      </c>
      <c r="K52" s="70"/>
      <c r="L52" s="60">
        <f t="shared" si="8"/>
        <v>150</v>
      </c>
    </row>
    <row r="53">
      <c r="A53" s="49" t="s">
        <v>242</v>
      </c>
      <c r="B53" s="49" t="s">
        <v>244</v>
      </c>
      <c r="C53" s="51" t="str">
        <f t="shared" si="7"/>
        <v>Mark Dasco</v>
      </c>
      <c r="D53" s="49" t="s">
        <v>98</v>
      </c>
      <c r="E53" s="53" t="str">
        <f>vlookup(D53,'Invoice ClientIds'!$B$2:$D$100,3,0)</f>
        <v>21</v>
      </c>
      <c r="F53" s="18">
        <v>15.0</v>
      </c>
      <c r="G53" s="70" t="s">
        <v>585</v>
      </c>
      <c r="H53" s="71" t="s">
        <v>441</v>
      </c>
      <c r="I53" s="70">
        <v>4.0</v>
      </c>
      <c r="J53" s="70">
        <v>15.0</v>
      </c>
      <c r="K53" s="70"/>
      <c r="L53" s="60">
        <f t="shared" si="8"/>
        <v>60</v>
      </c>
    </row>
    <row r="54">
      <c r="A54" s="49" t="s">
        <v>242</v>
      </c>
      <c r="B54" s="49" t="s">
        <v>244</v>
      </c>
      <c r="C54" s="51" t="str">
        <f t="shared" si="7"/>
        <v>Mark Dasco</v>
      </c>
      <c r="D54" s="49" t="s">
        <v>98</v>
      </c>
      <c r="E54" s="53" t="str">
        <f>vlookup(D54,'Invoice ClientIds'!$B$2:$D$100,3,0)</f>
        <v>21</v>
      </c>
      <c r="F54" s="18">
        <v>15.0</v>
      </c>
      <c r="G54" s="70" t="s">
        <v>582</v>
      </c>
      <c r="H54" s="71" t="s">
        <v>446</v>
      </c>
      <c r="I54" s="70">
        <v>1.0</v>
      </c>
      <c r="J54" s="70">
        <v>10.0</v>
      </c>
      <c r="K54" s="70"/>
      <c r="L54" s="60">
        <f t="shared" si="8"/>
        <v>10</v>
      </c>
    </row>
    <row r="55">
      <c r="A55" s="49" t="s">
        <v>242</v>
      </c>
      <c r="B55" s="49" t="s">
        <v>244</v>
      </c>
      <c r="C55" s="51" t="str">
        <f t="shared" si="7"/>
        <v>Mark Dasco</v>
      </c>
      <c r="D55" s="49" t="s">
        <v>98</v>
      </c>
      <c r="E55" s="53" t="str">
        <f>vlookup(D55,'Invoice ClientIds'!$B$2:$D$100,3,0)</f>
        <v>21</v>
      </c>
      <c r="F55" s="18">
        <v>15.0</v>
      </c>
      <c r="G55" s="70" t="s">
        <v>583</v>
      </c>
      <c r="H55" s="71" t="s">
        <v>446</v>
      </c>
      <c r="I55" s="70">
        <v>1.0</v>
      </c>
      <c r="J55" s="70">
        <v>10.0</v>
      </c>
      <c r="K55" s="70"/>
      <c r="L55" s="60">
        <f t="shared" si="8"/>
        <v>10</v>
      </c>
    </row>
    <row r="56">
      <c r="A56" s="49" t="s">
        <v>242</v>
      </c>
      <c r="B56" s="49" t="s">
        <v>244</v>
      </c>
      <c r="C56" s="51" t="str">
        <f t="shared" si="7"/>
        <v>Mark Dasco</v>
      </c>
      <c r="D56" s="49" t="s">
        <v>98</v>
      </c>
      <c r="E56" s="53" t="str">
        <f>vlookup(D56,'Invoice ClientIds'!$B$2:$D$100,3,0)</f>
        <v>21</v>
      </c>
      <c r="F56" s="18">
        <v>15.0</v>
      </c>
      <c r="G56" s="70" t="s">
        <v>584</v>
      </c>
      <c r="H56" s="71" t="s">
        <v>446</v>
      </c>
      <c r="I56" s="70">
        <v>2.0</v>
      </c>
      <c r="J56" s="70">
        <v>10.0</v>
      </c>
      <c r="K56" s="70"/>
      <c r="L56" s="60">
        <f t="shared" si="8"/>
        <v>20</v>
      </c>
    </row>
    <row r="57">
      <c r="A57" s="49" t="s">
        <v>242</v>
      </c>
      <c r="B57" s="49" t="s">
        <v>244</v>
      </c>
      <c r="C57" s="51" t="str">
        <f t="shared" si="7"/>
        <v>Mark Dasco</v>
      </c>
      <c r="D57" s="49" t="s">
        <v>98</v>
      </c>
      <c r="E57" s="53" t="str">
        <f>vlookup(D57,'Invoice ClientIds'!$B$2:$D$100,3,0)</f>
        <v>21</v>
      </c>
      <c r="F57" s="18">
        <v>15.0</v>
      </c>
      <c r="G57" s="70" t="s">
        <v>585</v>
      </c>
      <c r="H57" s="71" t="s">
        <v>446</v>
      </c>
      <c r="I57" s="70">
        <v>1.0</v>
      </c>
      <c r="J57" s="70">
        <v>10.0</v>
      </c>
      <c r="K57" s="70"/>
      <c r="L57" s="60">
        <f t="shared" si="8"/>
        <v>10</v>
      </c>
    </row>
    <row r="58">
      <c r="A58" s="61"/>
      <c r="B58" s="61"/>
      <c r="C58" s="51"/>
      <c r="D58" s="49"/>
      <c r="E58" s="66"/>
      <c r="F58" s="18"/>
      <c r="G58" s="70"/>
      <c r="H58" s="71"/>
      <c r="I58" s="70"/>
      <c r="J58" s="70"/>
      <c r="K58" s="70"/>
      <c r="L58" s="60"/>
    </row>
    <row r="59">
      <c r="A59" s="61" t="s">
        <v>152</v>
      </c>
      <c r="B59" s="61" t="s">
        <v>153</v>
      </c>
      <c r="C59" s="51" t="str">
        <f t="shared" ref="C59:C63" si="9">CONCATENATE(A59, " ",B59)</f>
        <v>Gloria Araullo</v>
      </c>
      <c r="D59" s="49" t="s">
        <v>67</v>
      </c>
      <c r="E59" s="66">
        <v>12.0</v>
      </c>
      <c r="F59" s="18">
        <v>15.0</v>
      </c>
      <c r="G59" s="70" t="s">
        <v>586</v>
      </c>
      <c r="H59" s="71" t="s">
        <v>446</v>
      </c>
      <c r="I59" s="70">
        <v>1.0</v>
      </c>
      <c r="J59" s="70">
        <v>10.0</v>
      </c>
      <c r="K59" s="70"/>
      <c r="L59" s="60">
        <f t="shared" ref="L59:L63" si="10">I59*J59</f>
        <v>10</v>
      </c>
    </row>
    <row r="60">
      <c r="A60" s="61" t="s">
        <v>152</v>
      </c>
      <c r="B60" s="61" t="s">
        <v>153</v>
      </c>
      <c r="C60" s="51" t="str">
        <f t="shared" si="9"/>
        <v>Gloria Araullo</v>
      </c>
      <c r="D60" s="49" t="s">
        <v>67</v>
      </c>
      <c r="E60" s="66">
        <v>12.0</v>
      </c>
      <c r="F60" s="18">
        <v>15.0</v>
      </c>
      <c r="G60" s="70" t="s">
        <v>587</v>
      </c>
      <c r="H60" s="71" t="s">
        <v>446</v>
      </c>
      <c r="I60" s="70">
        <v>1.0</v>
      </c>
      <c r="J60" s="70">
        <v>10.0</v>
      </c>
      <c r="K60" s="70"/>
      <c r="L60" s="60">
        <f t="shared" si="10"/>
        <v>10</v>
      </c>
    </row>
    <row r="61">
      <c r="A61" s="61" t="s">
        <v>152</v>
      </c>
      <c r="B61" s="61" t="s">
        <v>153</v>
      </c>
      <c r="C61" s="51" t="str">
        <f t="shared" si="9"/>
        <v>Gloria Araullo</v>
      </c>
      <c r="D61" s="49" t="s">
        <v>67</v>
      </c>
      <c r="E61" s="66">
        <v>12.0</v>
      </c>
      <c r="F61" s="18">
        <v>15.0</v>
      </c>
      <c r="G61" s="70" t="s">
        <v>589</v>
      </c>
      <c r="H61" s="71" t="s">
        <v>446</v>
      </c>
      <c r="I61" s="70">
        <v>1.0</v>
      </c>
      <c r="J61" s="70">
        <v>10.0</v>
      </c>
      <c r="K61" s="70"/>
      <c r="L61" s="60">
        <f t="shared" si="10"/>
        <v>10</v>
      </c>
    </row>
    <row r="62">
      <c r="A62" s="61" t="s">
        <v>593</v>
      </c>
      <c r="B62" s="61" t="s">
        <v>595</v>
      </c>
      <c r="C62" s="51" t="str">
        <f t="shared" si="9"/>
        <v>Jun Rey</v>
      </c>
      <c r="D62" s="49" t="s">
        <v>80</v>
      </c>
      <c r="E62" s="66">
        <v>16.0</v>
      </c>
      <c r="F62" s="27">
        <v>15.0</v>
      </c>
      <c r="G62" s="70" t="s">
        <v>603</v>
      </c>
      <c r="H62" s="71" t="s">
        <v>441</v>
      </c>
      <c r="I62" s="70">
        <v>1.0</v>
      </c>
      <c r="J62" s="70">
        <v>15.0</v>
      </c>
      <c r="K62" s="70"/>
      <c r="L62" s="60">
        <f t="shared" si="10"/>
        <v>15</v>
      </c>
    </row>
    <row r="63">
      <c r="A63" s="61" t="s">
        <v>593</v>
      </c>
      <c r="B63" s="61" t="s">
        <v>595</v>
      </c>
      <c r="C63" s="51" t="str">
        <f t="shared" si="9"/>
        <v>Jun Rey</v>
      </c>
      <c r="D63" s="49" t="s">
        <v>80</v>
      </c>
      <c r="E63" s="66">
        <v>16.0</v>
      </c>
      <c r="F63" s="27">
        <v>15.0</v>
      </c>
      <c r="G63" s="70" t="s">
        <v>605</v>
      </c>
      <c r="H63" s="71" t="s">
        <v>441</v>
      </c>
      <c r="I63" s="70">
        <v>1.0</v>
      </c>
      <c r="J63" s="70">
        <v>15.0</v>
      </c>
      <c r="K63" s="70"/>
      <c r="L63" s="60">
        <f t="shared" si="10"/>
        <v>15</v>
      </c>
    </row>
    <row r="64">
      <c r="A64" s="49"/>
      <c r="B64" s="49"/>
      <c r="C64" s="51"/>
      <c r="D64" s="49"/>
      <c r="E64" s="53"/>
      <c r="F64" s="18"/>
      <c r="G64" s="70"/>
      <c r="H64" s="71"/>
      <c r="I64" s="70"/>
      <c r="J64" s="70"/>
      <c r="K64" s="70"/>
      <c r="L64" s="60"/>
    </row>
    <row r="65">
      <c r="A65" s="61" t="s">
        <v>316</v>
      </c>
      <c r="B65" s="61" t="s">
        <v>317</v>
      </c>
      <c r="C65" s="51" t="str">
        <f t="shared" ref="C65:C66" si="11">CONCATENATE(A65, " ",B65)</f>
        <v>Rohith Krishna</v>
      </c>
      <c r="D65" s="61" t="s">
        <v>304</v>
      </c>
      <c r="E65" s="53" t="str">
        <f>vlookup(D65,'Invoice ClientIds'!$B$2:$D$100,3,0)</f>
        <v>5d744242-e398-4705-b209-5c1d3de276bd</v>
      </c>
      <c r="F65" s="18">
        <v>15.0</v>
      </c>
      <c r="G65" s="70" t="s">
        <v>606</v>
      </c>
      <c r="H65" s="71" t="s">
        <v>450</v>
      </c>
      <c r="I65" s="70">
        <v>1.0</v>
      </c>
      <c r="J65" s="70">
        <v>-25.0</v>
      </c>
      <c r="K65" s="70"/>
      <c r="L65" s="60">
        <f t="shared" ref="L65:L66" si="12">I65*J65</f>
        <v>-25</v>
      </c>
    </row>
    <row r="66">
      <c r="A66" s="61" t="s">
        <v>60</v>
      </c>
      <c r="B66" s="61" t="s">
        <v>18</v>
      </c>
      <c r="C66" s="51" t="str">
        <f t="shared" si="11"/>
        <v>Kim Adriano</v>
      </c>
      <c r="D66" s="49" t="s">
        <v>20</v>
      </c>
      <c r="E66" s="53" t="str">
        <f>vlookup(D66,'Invoice ClientIds'!$B$2:$D$100,3,0)</f>
        <v>8</v>
      </c>
      <c r="F66" s="18">
        <v>15.0</v>
      </c>
      <c r="G66" s="70" t="s">
        <v>467</v>
      </c>
      <c r="H66" s="71" t="s">
        <v>450</v>
      </c>
      <c r="I66" s="70">
        <v>1.0</v>
      </c>
      <c r="J66" s="70">
        <v>-25.0</v>
      </c>
      <c r="K66" s="70"/>
      <c r="L66" s="60">
        <f t="shared" si="12"/>
        <v>-25</v>
      </c>
    </row>
    <row r="67">
      <c r="E67" s="69"/>
      <c r="I67" s="5"/>
    </row>
    <row r="68">
      <c r="A68" s="61" t="s">
        <v>316</v>
      </c>
      <c r="B68" s="61" t="s">
        <v>317</v>
      </c>
      <c r="C68" s="51" t="str">
        <f t="shared" ref="C68:C69" si="13">CONCATENATE(A68, " ",B68)</f>
        <v>Rohith Krishna</v>
      </c>
      <c r="D68" s="61" t="s">
        <v>304</v>
      </c>
      <c r="E68" s="53" t="str">
        <f>vlookup(D68,'Invoice ClientIds'!$B$2:$D$100,3,0)</f>
        <v>5d744242-e398-4705-b209-5c1d3de276bd</v>
      </c>
      <c r="F68" s="18">
        <v>15.0</v>
      </c>
      <c r="G68" s="70" t="s">
        <v>608</v>
      </c>
      <c r="H68" s="72" t="s">
        <v>458</v>
      </c>
      <c r="I68" s="27">
        <v>1.0</v>
      </c>
      <c r="J68" s="27">
        <v>50.0</v>
      </c>
      <c r="K68" s="18"/>
      <c r="L68" s="60">
        <f t="shared" ref="L68:L69" si="14">I68*J68</f>
        <v>50</v>
      </c>
    </row>
    <row r="69">
      <c r="A69" s="49" t="s">
        <v>135</v>
      </c>
      <c r="B69" s="49" t="s">
        <v>99</v>
      </c>
      <c r="C69" s="51" t="str">
        <f t="shared" si="13"/>
        <v>Ruth Almazan</v>
      </c>
      <c r="D69" s="49" t="s">
        <v>104</v>
      </c>
      <c r="E69" s="53" t="str">
        <f>vlookup(D69,'Invoice ClientIds'!$B$2:$D$100,3,0)</f>
        <v>33</v>
      </c>
      <c r="F69" s="18">
        <v>15.0</v>
      </c>
      <c r="G69" s="70" t="s">
        <v>609</v>
      </c>
      <c r="H69" s="72" t="s">
        <v>458</v>
      </c>
      <c r="I69" s="27">
        <v>1.0</v>
      </c>
      <c r="J69" s="27">
        <f>130-50</f>
        <v>80</v>
      </c>
      <c r="K69" s="18"/>
      <c r="L69" s="60">
        <f t="shared" si="14"/>
        <v>80</v>
      </c>
    </row>
    <row r="70">
      <c r="A70" s="73"/>
      <c r="B70" s="73"/>
      <c r="C70" s="74"/>
      <c r="D70" s="73"/>
      <c r="E70" s="59"/>
      <c r="F70" s="50"/>
      <c r="K70" s="55"/>
      <c r="L70" s="75"/>
    </row>
    <row r="71">
      <c r="A71" s="73"/>
      <c r="B71" s="73"/>
      <c r="C71" s="74"/>
      <c r="D71" s="73"/>
      <c r="E71" s="59"/>
      <c r="F71" s="50"/>
      <c r="H71" s="76"/>
      <c r="I71" s="76" t="s">
        <v>468</v>
      </c>
      <c r="J71">
        <f>sum(J68:J70)</f>
        <v>130</v>
      </c>
      <c r="K71" s="55"/>
      <c r="L71" s="75"/>
    </row>
    <row r="72">
      <c r="A72" s="73"/>
      <c r="B72" s="73"/>
      <c r="C72" s="74"/>
      <c r="D72" s="73"/>
      <c r="E72" s="59"/>
      <c r="F72" s="50"/>
      <c r="K72" s="55"/>
      <c r="L72" s="75"/>
    </row>
    <row r="73">
      <c r="A73" s="73"/>
      <c r="B73" s="73"/>
      <c r="C73" s="74"/>
      <c r="D73" s="73"/>
      <c r="E73" s="59"/>
      <c r="F73" s="50"/>
      <c r="K73" s="55"/>
      <c r="L73" s="75">
        <f>Sum(L2:L72)</f>
        <v>2100</v>
      </c>
    </row>
    <row r="74">
      <c r="A74" s="73"/>
      <c r="B74" s="73"/>
      <c r="C74" s="74"/>
      <c r="D74" s="73"/>
      <c r="E74" s="59"/>
      <c r="F74" s="50"/>
      <c r="K74" s="55"/>
      <c r="L74" s="75"/>
    </row>
    <row r="75">
      <c r="A75" s="73"/>
      <c r="B75" s="73"/>
      <c r="C75" s="74"/>
      <c r="D75" s="73"/>
      <c r="E75" s="59"/>
      <c r="F75" s="50"/>
      <c r="K75" s="55"/>
      <c r="L75" s="7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29"/>
    <col customWidth="1" min="2" max="2" width="36.14"/>
    <col customWidth="1" min="3" max="3" width="30.71"/>
    <col customWidth="1" min="4" max="4" width="35.57"/>
    <col customWidth="1" min="5" max="5" width="33.29"/>
    <col customWidth="1" min="6" max="6" width="28.29"/>
    <col customWidth="1" min="7" max="7" width="33.29"/>
    <col customWidth="1" min="8" max="8" width="17.29"/>
    <col customWidth="1" min="9" max="9" width="35.0"/>
    <col customWidth="1" min="10" max="10" width="17.29"/>
    <col customWidth="1" min="11" max="11" width="26.14"/>
    <col customWidth="1" min="12" max="59" width="17.29"/>
  </cols>
  <sheetData>
    <row r="1">
      <c r="A1" s="45" t="s">
        <v>326</v>
      </c>
      <c r="B1" s="47" t="s">
        <v>327</v>
      </c>
      <c r="C1" s="47" t="s">
        <v>332</v>
      </c>
      <c r="D1" s="47" t="s">
        <v>334</v>
      </c>
      <c r="E1" s="47" t="s">
        <v>336</v>
      </c>
      <c r="F1" s="48" t="s">
        <v>337</v>
      </c>
      <c r="G1" s="50" t="s">
        <v>339</v>
      </c>
    </row>
    <row r="2">
      <c r="A2" s="52">
        <f>sum(B2:F2)/(COUNTIF(B2:F2,"&gt;0"))</f>
        <v>41.5</v>
      </c>
      <c r="B2" s="54">
        <f t="shared" ref="B2:F2" si="1">IFERROR(__xludf.DUMMYFUNCTION("COUNTUNIQUE(B3:B69)"),"45")</f>
        <v>45</v>
      </c>
      <c r="C2" s="54">
        <f t="shared" si="1"/>
        <v>44</v>
      </c>
      <c r="D2" s="54">
        <f t="shared" si="1"/>
        <v>43</v>
      </c>
      <c r="E2" s="54">
        <f t="shared" si="1"/>
        <v>34</v>
      </c>
      <c r="F2" s="54">
        <f t="shared" si="1"/>
        <v>0</v>
      </c>
      <c r="G2" s="55"/>
      <c r="I2" s="57"/>
      <c r="J2" s="57">
        <v>0.0</v>
      </c>
      <c r="K2" s="58"/>
      <c r="L2" s="55"/>
      <c r="M2" s="55"/>
    </row>
    <row r="3">
      <c r="G3" s="59" t="str">
        <f>IFERROR(__xludf.DUMMYFUNCTION("transpose(split(join("";"",B3:B90)&amp;join("";"",C3:C90)&amp;join("";"",D3:D90)&amp;join("";"",E3:E90)&amp;join("";"",F3:F90),"";""))"),"Chez Adriano")</f>
        <v>Chez Adriano</v>
      </c>
      <c r="I3" s="57" t="s">
        <v>302</v>
      </c>
      <c r="J3" s="57">
        <v>2.0</v>
      </c>
      <c r="K3" s="58"/>
    </row>
    <row r="4">
      <c r="B4" s="62" t="str">
        <f>IFERROR(__xludf.DUMMYFUNCTION("Transpose(SPLIT(Transpose(Attendance!$B$17),"", "",False))"),"Chez Adriano")</f>
        <v>Chez Adriano</v>
      </c>
      <c r="C4" s="62" t="str">
        <f>IFERROR(__xludf.DUMMYFUNCTION("Transpose(SPLIT(Transpose(Attendance!$B$18),"", "",False))"),"Chez Adriano")</f>
        <v>Chez Adriano</v>
      </c>
      <c r="D4" s="62" t="str">
        <f>IFERROR(__xludf.DUMMYFUNCTION("Transpose(SPLIT(Transpose(Attendance!$B$19),"", "",False))"),"Chez Adriano")</f>
        <v>Chez Adriano</v>
      </c>
      <c r="E4" s="62" t="str">
        <f>IFERROR(__xludf.DUMMYFUNCTION("Transpose(SPLIT(Transpose(Attendance!$B$20),"", "",False))"),"Chez Adriano")</f>
        <v>Chez Adriano</v>
      </c>
      <c r="F4" s="62"/>
      <c r="G4" s="59" t="s">
        <v>53</v>
      </c>
      <c r="I4" s="57" t="s">
        <v>360</v>
      </c>
      <c r="J4" s="57">
        <v>3.0</v>
      </c>
      <c r="K4" s="58"/>
    </row>
    <row r="5">
      <c r="B5" s="59" t="s">
        <v>53</v>
      </c>
      <c r="C5" s="59" t="s">
        <v>53</v>
      </c>
      <c r="D5" s="59" t="s">
        <v>53</v>
      </c>
      <c r="E5" s="59" t="s">
        <v>53</v>
      </c>
      <c r="F5" s="59"/>
      <c r="G5" s="59" t="s">
        <v>365</v>
      </c>
      <c r="I5" s="57" t="s">
        <v>34</v>
      </c>
      <c r="J5" s="57">
        <v>4.0</v>
      </c>
      <c r="K5" s="58"/>
    </row>
    <row r="6">
      <c r="B6" s="59" t="s">
        <v>365</v>
      </c>
      <c r="C6" s="59" t="s">
        <v>368</v>
      </c>
      <c r="D6" s="59" t="s">
        <v>368</v>
      </c>
      <c r="E6" s="59" t="s">
        <v>365</v>
      </c>
      <c r="F6" s="59"/>
      <c r="G6" s="59" t="s">
        <v>368</v>
      </c>
      <c r="I6" s="57" t="s">
        <v>366</v>
      </c>
      <c r="J6" s="57">
        <v>2.0</v>
      </c>
      <c r="K6" s="58"/>
    </row>
    <row r="7">
      <c r="B7" s="59" t="s">
        <v>368</v>
      </c>
      <c r="C7" s="59" t="s">
        <v>68</v>
      </c>
      <c r="D7" s="59" t="s">
        <v>68</v>
      </c>
      <c r="E7" s="59" t="s">
        <v>368</v>
      </c>
      <c r="F7" s="59"/>
      <c r="G7" s="59" t="s">
        <v>403</v>
      </c>
      <c r="I7" s="57" t="s">
        <v>256</v>
      </c>
      <c r="J7" s="57">
        <v>2.0</v>
      </c>
      <c r="K7" s="58"/>
    </row>
    <row r="8">
      <c r="B8" s="59" t="s">
        <v>403</v>
      </c>
      <c r="C8" s="59" t="s">
        <v>147</v>
      </c>
      <c r="D8" s="59" t="s">
        <v>147</v>
      </c>
      <c r="E8" s="59" t="s">
        <v>403</v>
      </c>
      <c r="F8" s="59"/>
      <c r="G8" s="59" t="s">
        <v>363</v>
      </c>
      <c r="I8" s="57" t="s">
        <v>42</v>
      </c>
      <c r="J8" s="57">
        <v>2.0</v>
      </c>
      <c r="K8" s="58"/>
      <c r="M8" s="58"/>
    </row>
    <row r="9">
      <c r="B9" s="59" t="s">
        <v>363</v>
      </c>
      <c r="C9" s="59" t="s">
        <v>373</v>
      </c>
      <c r="D9" s="59" t="s">
        <v>100</v>
      </c>
      <c r="E9" s="59" t="s">
        <v>363</v>
      </c>
      <c r="F9" s="59"/>
      <c r="G9" s="59" t="s">
        <v>134</v>
      </c>
      <c r="I9" s="57" t="s">
        <v>502</v>
      </c>
      <c r="J9" s="57">
        <v>1.0</v>
      </c>
      <c r="K9" s="58"/>
      <c r="M9" s="58"/>
    </row>
    <row r="10">
      <c r="B10" s="59" t="s">
        <v>134</v>
      </c>
      <c r="C10" s="59" t="s">
        <v>376</v>
      </c>
      <c r="D10" s="59" t="s">
        <v>294</v>
      </c>
      <c r="E10" s="59" t="s">
        <v>134</v>
      </c>
      <c r="F10" s="59"/>
      <c r="G10" s="59" t="s">
        <v>68</v>
      </c>
      <c r="I10" s="57" t="s">
        <v>374</v>
      </c>
      <c r="J10" s="57">
        <v>2.0</v>
      </c>
      <c r="K10" s="58"/>
    </row>
    <row r="11">
      <c r="B11" s="59" t="s">
        <v>68</v>
      </c>
      <c r="C11" s="59" t="s">
        <v>100</v>
      </c>
      <c r="D11" s="59" t="s">
        <v>386</v>
      </c>
      <c r="E11" s="59" t="s">
        <v>68</v>
      </c>
      <c r="F11" s="59"/>
      <c r="G11" s="59" t="s">
        <v>147</v>
      </c>
      <c r="I11" s="57" t="s">
        <v>377</v>
      </c>
      <c r="J11" s="57">
        <v>2.0</v>
      </c>
      <c r="K11" s="58"/>
    </row>
    <row r="12">
      <c r="B12" s="59" t="s">
        <v>147</v>
      </c>
      <c r="C12" s="59" t="s">
        <v>504</v>
      </c>
      <c r="D12" s="59" t="s">
        <v>274</v>
      </c>
      <c r="E12" s="59" t="s">
        <v>100</v>
      </c>
      <c r="F12" s="59"/>
      <c r="G12" s="59" t="s">
        <v>373</v>
      </c>
      <c r="I12" s="57" t="s">
        <v>381</v>
      </c>
      <c r="J12" s="57">
        <v>3.0</v>
      </c>
      <c r="K12" s="58"/>
    </row>
    <row r="13">
      <c r="B13" s="59" t="s">
        <v>373</v>
      </c>
      <c r="C13" s="59" t="s">
        <v>78</v>
      </c>
      <c r="D13" s="59" t="s">
        <v>302</v>
      </c>
      <c r="E13" s="59" t="s">
        <v>78</v>
      </c>
      <c r="F13" s="59"/>
      <c r="G13" s="59" t="s">
        <v>376</v>
      </c>
      <c r="I13" s="57" t="s">
        <v>383</v>
      </c>
      <c r="J13" s="57">
        <v>4.0</v>
      </c>
      <c r="K13" s="58"/>
    </row>
    <row r="14">
      <c r="B14" s="59" t="s">
        <v>376</v>
      </c>
      <c r="C14" s="59" t="s">
        <v>424</v>
      </c>
      <c r="D14" s="59" t="s">
        <v>256</v>
      </c>
      <c r="E14" s="59" t="s">
        <v>424</v>
      </c>
      <c r="F14" s="59"/>
      <c r="G14" s="59" t="s">
        <v>100</v>
      </c>
      <c r="I14" s="57" t="s">
        <v>505</v>
      </c>
      <c r="J14" s="57">
        <v>1.0</v>
      </c>
      <c r="K14" s="58"/>
    </row>
    <row r="15">
      <c r="B15" s="59" t="s">
        <v>100</v>
      </c>
      <c r="C15" s="59" t="s">
        <v>360</v>
      </c>
      <c r="D15" s="59" t="s">
        <v>375</v>
      </c>
      <c r="E15" s="59" t="s">
        <v>294</v>
      </c>
      <c r="F15" s="59"/>
      <c r="G15" s="59" t="s">
        <v>78</v>
      </c>
      <c r="I15" s="57" t="s">
        <v>385</v>
      </c>
      <c r="J15" s="57">
        <v>1.0</v>
      </c>
      <c r="K15" s="58"/>
    </row>
    <row r="16">
      <c r="B16" s="59" t="s">
        <v>78</v>
      </c>
      <c r="C16" s="59" t="s">
        <v>386</v>
      </c>
      <c r="D16" s="59" t="s">
        <v>144</v>
      </c>
      <c r="E16" s="59" t="s">
        <v>360</v>
      </c>
      <c r="F16" s="59"/>
      <c r="G16" s="59" t="s">
        <v>424</v>
      </c>
      <c r="I16" s="57" t="s">
        <v>53</v>
      </c>
      <c r="J16" s="57">
        <v>4.0</v>
      </c>
      <c r="K16" s="58"/>
    </row>
    <row r="17">
      <c r="B17" s="59" t="s">
        <v>424</v>
      </c>
      <c r="C17" s="59" t="s">
        <v>274</v>
      </c>
      <c r="D17" s="59" t="s">
        <v>374</v>
      </c>
      <c r="E17" s="59" t="s">
        <v>386</v>
      </c>
      <c r="F17" s="59"/>
      <c r="G17" s="59" t="s">
        <v>360</v>
      </c>
      <c r="I17" s="57" t="s">
        <v>56</v>
      </c>
      <c r="J17" s="57">
        <v>1.0</v>
      </c>
      <c r="K17" s="58"/>
    </row>
    <row r="18">
      <c r="B18" s="59" t="s">
        <v>360</v>
      </c>
      <c r="C18" s="59" t="s">
        <v>302</v>
      </c>
      <c r="D18" s="59" t="s">
        <v>185</v>
      </c>
      <c r="E18" s="59" t="s">
        <v>274</v>
      </c>
      <c r="F18" s="59"/>
      <c r="G18" s="59" t="s">
        <v>386</v>
      </c>
      <c r="I18" s="57" t="s">
        <v>92</v>
      </c>
      <c r="J18" s="57">
        <v>4.0</v>
      </c>
      <c r="K18" s="58"/>
    </row>
    <row r="19">
      <c r="B19" s="59" t="s">
        <v>386</v>
      </c>
      <c r="C19" s="59" t="s">
        <v>375</v>
      </c>
      <c r="D19" s="59" t="s">
        <v>391</v>
      </c>
      <c r="E19" s="59" t="s">
        <v>256</v>
      </c>
      <c r="F19" s="59"/>
      <c r="G19" s="59" t="s">
        <v>274</v>
      </c>
      <c r="I19" s="57" t="s">
        <v>375</v>
      </c>
      <c r="J19" s="57">
        <v>3.0</v>
      </c>
      <c r="K19" s="58"/>
    </row>
    <row r="20">
      <c r="B20" s="59" t="s">
        <v>274</v>
      </c>
      <c r="C20" s="59" t="s">
        <v>144</v>
      </c>
      <c r="D20" s="59" t="s">
        <v>89</v>
      </c>
      <c r="E20" s="59" t="s">
        <v>388</v>
      </c>
      <c r="F20" s="59"/>
      <c r="G20" s="59" t="s">
        <v>375</v>
      </c>
      <c r="I20" s="57" t="s">
        <v>68</v>
      </c>
      <c r="J20" s="57">
        <v>4.0</v>
      </c>
      <c r="K20" s="58"/>
    </row>
    <row r="21">
      <c r="B21" s="59" t="s">
        <v>375</v>
      </c>
      <c r="C21" s="59" t="s">
        <v>388</v>
      </c>
      <c r="D21" s="59" t="s">
        <v>297</v>
      </c>
      <c r="E21" s="63" t="s">
        <v>391</v>
      </c>
      <c r="F21" s="59"/>
      <c r="G21" s="59" t="s">
        <v>144</v>
      </c>
      <c r="I21" s="57" t="s">
        <v>427</v>
      </c>
      <c r="J21" s="57">
        <v>3.0</v>
      </c>
      <c r="K21" s="58"/>
    </row>
    <row r="22">
      <c r="B22" s="59" t="s">
        <v>144</v>
      </c>
      <c r="C22" s="59" t="s">
        <v>391</v>
      </c>
      <c r="D22" s="59" t="s">
        <v>377</v>
      </c>
      <c r="E22" s="63" t="s">
        <v>89</v>
      </c>
      <c r="F22" s="59"/>
      <c r="G22" s="59" t="s">
        <v>374</v>
      </c>
      <c r="I22" s="57" t="s">
        <v>428</v>
      </c>
      <c r="J22" s="57">
        <v>3.0</v>
      </c>
      <c r="K22" s="58"/>
    </row>
    <row r="23">
      <c r="B23" s="59" t="s">
        <v>374</v>
      </c>
      <c r="C23" s="59" t="s">
        <v>89</v>
      </c>
      <c r="D23" s="59" t="s">
        <v>382</v>
      </c>
      <c r="E23" s="63" t="s">
        <v>129</v>
      </c>
      <c r="F23" s="59"/>
      <c r="G23" s="59" t="s">
        <v>185</v>
      </c>
      <c r="I23" s="57" t="s">
        <v>424</v>
      </c>
      <c r="J23" s="57">
        <v>3.0</v>
      </c>
      <c r="K23" s="58"/>
    </row>
    <row r="24">
      <c r="B24" s="59" t="s">
        <v>185</v>
      </c>
      <c r="C24" s="59" t="s">
        <v>297</v>
      </c>
      <c r="D24" s="59" t="s">
        <v>384</v>
      </c>
      <c r="E24" s="63" t="s">
        <v>297</v>
      </c>
      <c r="F24" s="59"/>
      <c r="G24" s="59" t="s">
        <v>312</v>
      </c>
      <c r="I24" s="57" t="s">
        <v>475</v>
      </c>
      <c r="J24" s="57">
        <v>3.0</v>
      </c>
      <c r="K24" s="58"/>
    </row>
    <row r="25">
      <c r="B25" s="59" t="s">
        <v>312</v>
      </c>
      <c r="C25" s="59" t="s">
        <v>377</v>
      </c>
      <c r="D25" s="59" t="s">
        <v>141</v>
      </c>
      <c r="E25" s="59" t="s">
        <v>42</v>
      </c>
      <c r="F25" s="59"/>
      <c r="G25" s="59" t="s">
        <v>388</v>
      </c>
      <c r="I25" s="57" t="s">
        <v>476</v>
      </c>
      <c r="J25" s="57">
        <v>2.0</v>
      </c>
      <c r="K25" s="58"/>
    </row>
    <row r="26">
      <c r="B26" s="63" t="s">
        <v>388</v>
      </c>
      <c r="C26" s="59" t="s">
        <v>382</v>
      </c>
      <c r="D26" s="59" t="s">
        <v>95</v>
      </c>
      <c r="E26" s="59" t="s">
        <v>92</v>
      </c>
      <c r="F26" s="59"/>
      <c r="G26" s="59" t="s">
        <v>391</v>
      </c>
      <c r="I26" s="57" t="s">
        <v>477</v>
      </c>
      <c r="J26" s="57">
        <v>1.0</v>
      </c>
      <c r="K26" s="58"/>
    </row>
    <row r="27">
      <c r="B27" t="s">
        <v>391</v>
      </c>
      <c r="C27" s="63" t="s">
        <v>384</v>
      </c>
      <c r="D27" s="63" t="s">
        <v>400</v>
      </c>
      <c r="E27" t="s">
        <v>389</v>
      </c>
      <c r="G27" s="59" t="s">
        <v>89</v>
      </c>
      <c r="I27" s="57" t="s">
        <v>509</v>
      </c>
      <c r="J27" s="57">
        <v>1.0</v>
      </c>
      <c r="K27" s="58"/>
    </row>
    <row r="28">
      <c r="B28" s="63" t="s">
        <v>89</v>
      </c>
      <c r="C28" s="63" t="s">
        <v>141</v>
      </c>
      <c r="D28" s="63" t="s">
        <v>92</v>
      </c>
      <c r="E28" s="5" t="s">
        <v>34</v>
      </c>
      <c r="F28" s="5"/>
      <c r="G28" s="59" t="s">
        <v>129</v>
      </c>
      <c r="I28" s="57" t="s">
        <v>510</v>
      </c>
      <c r="J28" s="57">
        <v>1.0</v>
      </c>
      <c r="K28" s="58"/>
    </row>
    <row r="29">
      <c r="B29" s="5" t="s">
        <v>129</v>
      </c>
      <c r="C29" s="5" t="s">
        <v>95</v>
      </c>
      <c r="D29" s="63" t="s">
        <v>389</v>
      </c>
      <c r="E29" s="5" t="s">
        <v>230</v>
      </c>
      <c r="F29" s="5"/>
      <c r="G29" s="59" t="s">
        <v>297</v>
      </c>
      <c r="I29" s="57" t="s">
        <v>388</v>
      </c>
      <c r="J29" s="57">
        <v>3.0</v>
      </c>
      <c r="K29" s="58"/>
    </row>
    <row r="30">
      <c r="B30" s="63" t="s">
        <v>297</v>
      </c>
      <c r="C30" s="5" t="s">
        <v>400</v>
      </c>
      <c r="D30" s="63" t="s">
        <v>34</v>
      </c>
      <c r="E30" s="5" t="s">
        <v>56</v>
      </c>
      <c r="F30" s="5"/>
      <c r="G30" s="59" t="s">
        <v>42</v>
      </c>
      <c r="I30" s="57" t="s">
        <v>511</v>
      </c>
      <c r="J30" s="57">
        <v>1.0</v>
      </c>
      <c r="K30" s="58"/>
    </row>
    <row r="31">
      <c r="B31" s="63" t="s">
        <v>42</v>
      </c>
      <c r="C31" s="63" t="s">
        <v>92</v>
      </c>
      <c r="D31" s="63" t="s">
        <v>381</v>
      </c>
      <c r="E31" s="5" t="s">
        <v>432</v>
      </c>
      <c r="F31" s="5"/>
      <c r="G31" s="59" t="s">
        <v>95</v>
      </c>
      <c r="I31" s="57" t="s">
        <v>386</v>
      </c>
      <c r="J31" s="57">
        <v>4.0</v>
      </c>
      <c r="K31" s="58"/>
    </row>
    <row r="32">
      <c r="B32" s="63" t="s">
        <v>95</v>
      </c>
      <c r="C32" s="63" t="s">
        <v>389</v>
      </c>
      <c r="D32" s="63" t="s">
        <v>432</v>
      </c>
      <c r="E32" s="5" t="s">
        <v>288</v>
      </c>
      <c r="F32" s="5"/>
      <c r="G32" s="59" t="s">
        <v>400</v>
      </c>
      <c r="I32" s="57" t="s">
        <v>382</v>
      </c>
      <c r="J32" s="57">
        <v>2.0</v>
      </c>
      <c r="K32" s="58"/>
    </row>
    <row r="33">
      <c r="B33" s="5" t="s">
        <v>400</v>
      </c>
      <c r="C33" s="5" t="s">
        <v>34</v>
      </c>
      <c r="D33" s="5" t="s">
        <v>288</v>
      </c>
      <c r="E33" s="64"/>
      <c r="F33" s="5"/>
      <c r="G33" s="59" t="s">
        <v>92</v>
      </c>
      <c r="I33" s="57" t="s">
        <v>432</v>
      </c>
      <c r="J33" s="57">
        <v>3.0</v>
      </c>
      <c r="K33" s="58"/>
    </row>
    <row r="34">
      <c r="B34" s="5" t="s">
        <v>92</v>
      </c>
      <c r="C34" s="5" t="s">
        <v>381</v>
      </c>
      <c r="D34" s="63" t="s">
        <v>392</v>
      </c>
      <c r="E34" s="5"/>
      <c r="G34" s="59" t="s">
        <v>389</v>
      </c>
      <c r="I34" s="57" t="s">
        <v>78</v>
      </c>
      <c r="J34" s="57">
        <v>3.0</v>
      </c>
      <c r="K34" s="58"/>
    </row>
    <row r="35">
      <c r="B35" s="5" t="s">
        <v>389</v>
      </c>
      <c r="C35" s="5" t="s">
        <v>230</v>
      </c>
      <c r="D35" s="5"/>
      <c r="E35" s="5"/>
      <c r="F35" s="58"/>
      <c r="G35" s="59" t="s">
        <v>34</v>
      </c>
      <c r="I35" s="57" t="s">
        <v>274</v>
      </c>
      <c r="J35" s="57">
        <v>4.0</v>
      </c>
      <c r="K35" s="58"/>
    </row>
    <row r="36">
      <c r="B36" t="s">
        <v>34</v>
      </c>
      <c r="C36" s="5" t="s">
        <v>288</v>
      </c>
      <c r="D36" s="5"/>
      <c r="E36" s="5"/>
      <c r="F36" s="58"/>
      <c r="G36" s="59" t="s">
        <v>381</v>
      </c>
      <c r="I36" s="57" t="s">
        <v>479</v>
      </c>
      <c r="J36" s="57">
        <v>4.0</v>
      </c>
      <c r="K36" s="58"/>
    </row>
    <row r="37">
      <c r="B37" s="5" t="s">
        <v>381</v>
      </c>
      <c r="C37" s="5" t="s">
        <v>392</v>
      </c>
      <c r="D37" s="5"/>
      <c r="E37" s="5"/>
      <c r="F37" s="58"/>
      <c r="G37" s="59" t="s">
        <v>432</v>
      </c>
      <c r="I37" s="57" t="s">
        <v>403</v>
      </c>
      <c r="J37" s="57">
        <v>2.0</v>
      </c>
      <c r="K37" s="58"/>
    </row>
    <row r="38">
      <c r="B38" s="5" t="s">
        <v>432</v>
      </c>
      <c r="C38" s="64"/>
      <c r="D38" s="5"/>
      <c r="E38" s="5"/>
      <c r="G38" s="59" t="s">
        <v>288</v>
      </c>
      <c r="I38" s="57" t="s">
        <v>512</v>
      </c>
      <c r="J38" s="57">
        <v>1.0</v>
      </c>
      <c r="K38" s="58"/>
    </row>
    <row r="39">
      <c r="B39" s="5" t="s">
        <v>288</v>
      </c>
      <c r="C39" s="5"/>
      <c r="D39" s="5"/>
      <c r="G39" s="59" t="s">
        <v>392</v>
      </c>
      <c r="I39" s="57" t="s">
        <v>513</v>
      </c>
      <c r="J39" s="57">
        <v>1.0</v>
      </c>
      <c r="K39" s="58"/>
    </row>
    <row r="40">
      <c r="B40" s="5" t="s">
        <v>392</v>
      </c>
      <c r="C40" s="5"/>
      <c r="D40" s="5"/>
      <c r="G40" s="59" t="s">
        <v>479</v>
      </c>
      <c r="I40" s="57" t="s">
        <v>514</v>
      </c>
      <c r="J40" s="57">
        <v>2.0</v>
      </c>
      <c r="K40" s="58"/>
    </row>
    <row r="41">
      <c r="B41" s="5"/>
      <c r="C41" s="5"/>
      <c r="D41" s="5"/>
      <c r="G41" s="59" t="s">
        <v>427</v>
      </c>
      <c r="I41" s="57" t="s">
        <v>515</v>
      </c>
      <c r="J41" s="57">
        <v>1.0</v>
      </c>
      <c r="K41" s="58"/>
    </row>
    <row r="42">
      <c r="B42" s="5"/>
      <c r="C42" s="5"/>
      <c r="D42" s="5"/>
      <c r="E42" s="5"/>
      <c r="G42" s="59" t="s">
        <v>428</v>
      </c>
      <c r="I42" s="57" t="s">
        <v>365</v>
      </c>
      <c r="J42" s="57">
        <v>2.0</v>
      </c>
      <c r="K42" s="58"/>
    </row>
    <row r="43">
      <c r="C43" s="5"/>
      <c r="E43" s="5"/>
      <c r="G43" s="59" t="s">
        <v>510</v>
      </c>
      <c r="I43" s="57" t="s">
        <v>392</v>
      </c>
      <c r="J43" s="57">
        <v>3.0</v>
      </c>
    </row>
    <row r="44">
      <c r="B44" s="5"/>
      <c r="C44" s="5"/>
      <c r="E44" s="5"/>
      <c r="G44" s="59" t="s">
        <v>509</v>
      </c>
      <c r="I44" s="57" t="s">
        <v>288</v>
      </c>
      <c r="J44" s="57">
        <v>4.0</v>
      </c>
      <c r="K44" s="58"/>
    </row>
    <row r="45">
      <c r="B45" s="5"/>
      <c r="C45" s="5"/>
      <c r="D45" s="5"/>
      <c r="E45" s="5"/>
      <c r="G45" s="59" t="s">
        <v>516</v>
      </c>
      <c r="I45" s="57" t="s">
        <v>89</v>
      </c>
      <c r="J45" s="57">
        <v>4.0</v>
      </c>
      <c r="K45" s="58"/>
    </row>
    <row r="46">
      <c r="D46" s="5"/>
      <c r="E46" s="5"/>
      <c r="G46" s="59" t="s">
        <v>517</v>
      </c>
      <c r="I46" s="57" t="s">
        <v>363</v>
      </c>
      <c r="J46" s="57">
        <v>2.0</v>
      </c>
      <c r="K46" s="58"/>
    </row>
    <row r="47">
      <c r="D47" s="5"/>
      <c r="G47" s="59" t="s">
        <v>514</v>
      </c>
      <c r="I47" s="57" t="s">
        <v>389</v>
      </c>
      <c r="J47" s="57">
        <v>4.0</v>
      </c>
      <c r="K47" s="58"/>
    </row>
    <row r="48">
      <c r="G48" s="59" t="s">
        <v>383</v>
      </c>
      <c r="I48" s="57" t="s">
        <v>95</v>
      </c>
      <c r="J48" s="57">
        <v>3.0</v>
      </c>
      <c r="K48" s="58"/>
    </row>
    <row r="49">
      <c r="G49" s="59" t="s">
        <v>53</v>
      </c>
      <c r="I49" s="57" t="s">
        <v>185</v>
      </c>
      <c r="J49" s="57">
        <v>2.0</v>
      </c>
      <c r="K49" s="58"/>
    </row>
    <row r="50">
      <c r="G50" s="59" t="s">
        <v>368</v>
      </c>
      <c r="I50" s="57" t="s">
        <v>100</v>
      </c>
      <c r="J50" s="57">
        <v>4.0</v>
      </c>
      <c r="K50" s="58"/>
    </row>
    <row r="51">
      <c r="G51" s="59" t="s">
        <v>68</v>
      </c>
      <c r="I51" s="57" t="s">
        <v>391</v>
      </c>
      <c r="J51" s="57">
        <v>4.0</v>
      </c>
      <c r="K51" s="58"/>
    </row>
    <row r="52">
      <c r="G52" s="59" t="s">
        <v>147</v>
      </c>
      <c r="I52" s="57" t="s">
        <v>384</v>
      </c>
      <c r="J52" s="57">
        <v>2.0</v>
      </c>
      <c r="K52" s="58"/>
    </row>
    <row r="53">
      <c r="B53" s="67" t="str">
        <f>IFERROR(__xludf.DUMMYFUNCTION("if(IsBlank(Attendance!E17),"""",transpose(split(Attendance!E17,CHAR(10),FALSE)))"),"Joseph")</f>
        <v>Joseph</v>
      </c>
      <c r="C53" s="67" t="str">
        <f>IFERROR(__xludf.DUMMYFUNCTION("if(IsBlank(Attendance!E18),"""",transpose(split(Attendance!E18,CHAR(10),FALSE)))"),"Guda 1")</f>
        <v>Guda 1</v>
      </c>
      <c r="D53" t="str">
        <f>IFERROR(__xludf.DUMMYFUNCTION("if(IsBlank(Attendance!E19),"""",transpose(split(Attendance!E19,CHAR(10),FALSE)))"),"Guda 1")</f>
        <v>Guda 1</v>
      </c>
      <c r="E53" s="67" t="str">
        <f>IFERROR(__xludf.DUMMYFUNCTION("if(IsBlank(Attendance!E20),"""",transpose(split(Attendance!E20,CHAR(10),FALSE)))"),"April")</f>
        <v>April</v>
      </c>
      <c r="F53" s="67" t="str">
        <f>IFERROR(__xludf.DUMMYFUNCTION("if(IsBlank(Attendance!E26),"""",transpose(split(Attendance!E26,CHAR(10),FALSE)))"),"")</f>
        <v/>
      </c>
      <c r="G53" s="59" t="s">
        <v>373</v>
      </c>
      <c r="I53" s="57" t="s">
        <v>368</v>
      </c>
      <c r="J53" s="57">
        <v>4.0</v>
      </c>
      <c r="K53" s="58"/>
    </row>
    <row r="54">
      <c r="B54" t="s">
        <v>427</v>
      </c>
      <c r="C54" t="s">
        <v>428</v>
      </c>
      <c r="D54" t="s">
        <v>428</v>
      </c>
      <c r="E54" t="s">
        <v>475</v>
      </c>
      <c r="G54" s="59" t="s">
        <v>376</v>
      </c>
      <c r="I54" s="57" t="s">
        <v>373</v>
      </c>
      <c r="J54" s="57">
        <v>2.0</v>
      </c>
      <c r="K54" s="58"/>
    </row>
    <row r="55">
      <c r="B55" t="s">
        <v>428</v>
      </c>
      <c r="C55" t="s">
        <v>475</v>
      </c>
      <c r="D55" t="s">
        <v>511</v>
      </c>
      <c r="E55" t="s">
        <v>545</v>
      </c>
      <c r="G55" s="59" t="s">
        <v>100</v>
      </c>
      <c r="I55" s="57" t="s">
        <v>439</v>
      </c>
      <c r="J55" s="57">
        <v>1.0</v>
      </c>
      <c r="K55" s="58"/>
    </row>
    <row r="56">
      <c r="B56" t="s">
        <v>510</v>
      </c>
      <c r="C56" t="s">
        <v>476</v>
      </c>
      <c r="D56" t="s">
        <v>475</v>
      </c>
      <c r="E56" t="s">
        <v>479</v>
      </c>
      <c r="G56" s="59" t="s">
        <v>504</v>
      </c>
      <c r="I56" s="57" t="s">
        <v>129</v>
      </c>
      <c r="J56" s="57">
        <v>2.0</v>
      </c>
      <c r="K56" s="58"/>
    </row>
    <row r="57">
      <c r="B57" t="s">
        <v>509</v>
      </c>
      <c r="C57" t="s">
        <v>477</v>
      </c>
      <c r="D57" t="s">
        <v>476</v>
      </c>
      <c r="E57" t="s">
        <v>515</v>
      </c>
      <c r="G57" s="59" t="s">
        <v>78</v>
      </c>
      <c r="I57" s="57" t="s">
        <v>297</v>
      </c>
      <c r="J57" s="58">
        <v>4.0</v>
      </c>
      <c r="K57" s="58"/>
    </row>
    <row r="58">
      <c r="B58" t="s">
        <v>516</v>
      </c>
      <c r="C58" t="s">
        <v>551</v>
      </c>
      <c r="D58" s="5" t="s">
        <v>505</v>
      </c>
      <c r="G58" s="59" t="s">
        <v>424</v>
      </c>
      <c r="I58" s="57" t="s">
        <v>516</v>
      </c>
      <c r="J58" s="58">
        <v>1.0</v>
      </c>
      <c r="K58" s="58"/>
    </row>
    <row r="59">
      <c r="B59" t="s">
        <v>517</v>
      </c>
      <c r="C59" t="s">
        <v>554</v>
      </c>
      <c r="D59" t="s">
        <v>479</v>
      </c>
      <c r="G59" s="59" t="s">
        <v>360</v>
      </c>
      <c r="I59" s="57" t="s">
        <v>517</v>
      </c>
      <c r="J59" s="58">
        <v>1.0</v>
      </c>
      <c r="K59" s="58"/>
    </row>
    <row r="60">
      <c r="B60" t="s">
        <v>514</v>
      </c>
      <c r="C60" t="s">
        <v>366</v>
      </c>
      <c r="D60" t="s">
        <v>366</v>
      </c>
      <c r="G60" s="59" t="s">
        <v>386</v>
      </c>
      <c r="I60" s="57" t="s">
        <v>551</v>
      </c>
      <c r="J60" s="58">
        <v>1.0</v>
      </c>
      <c r="K60" s="58"/>
    </row>
    <row r="61">
      <c r="C61" t="s">
        <v>514</v>
      </c>
      <c r="D61" t="s">
        <v>385</v>
      </c>
      <c r="G61" s="59" t="s">
        <v>274</v>
      </c>
      <c r="I61" s="57" t="s">
        <v>554</v>
      </c>
      <c r="J61" s="58">
        <v>1.0</v>
      </c>
      <c r="K61" s="58"/>
    </row>
    <row r="62">
      <c r="C62" t="s">
        <v>479</v>
      </c>
      <c r="D62" t="s">
        <v>512</v>
      </c>
      <c r="G62" s="59" t="s">
        <v>302</v>
      </c>
      <c r="I62" s="57" t="s">
        <v>400</v>
      </c>
      <c r="J62" s="58">
        <v>3.0</v>
      </c>
      <c r="K62" s="58"/>
    </row>
    <row r="63">
      <c r="D63" t="s">
        <v>513</v>
      </c>
      <c r="G63" s="59" t="s">
        <v>375</v>
      </c>
      <c r="I63" s="57" t="s">
        <v>294</v>
      </c>
      <c r="J63" s="58">
        <v>2.0</v>
      </c>
      <c r="K63" s="58"/>
    </row>
    <row r="64">
      <c r="D64" t="s">
        <v>439</v>
      </c>
      <c r="G64" s="59" t="s">
        <v>144</v>
      </c>
      <c r="I64" s="57" t="s">
        <v>504</v>
      </c>
      <c r="J64" s="58">
        <v>1.0</v>
      </c>
      <c r="K64" s="58"/>
    </row>
    <row r="65">
      <c r="G65" s="59" t="s">
        <v>388</v>
      </c>
      <c r="I65" s="57" t="s">
        <v>134</v>
      </c>
      <c r="J65" s="58">
        <v>2.0</v>
      </c>
      <c r="K65" s="58"/>
    </row>
    <row r="66">
      <c r="G66" s="59" t="s">
        <v>391</v>
      </c>
      <c r="I66" s="57" t="s">
        <v>141</v>
      </c>
      <c r="J66" s="58">
        <v>2.0</v>
      </c>
      <c r="K66" s="58"/>
    </row>
    <row r="67">
      <c r="G67" s="59" t="s">
        <v>89</v>
      </c>
      <c r="I67" s="57" t="s">
        <v>144</v>
      </c>
      <c r="J67" s="58">
        <v>3.0</v>
      </c>
      <c r="K67" s="58"/>
    </row>
    <row r="68">
      <c r="G68" s="59" t="s">
        <v>297</v>
      </c>
      <c r="I68" s="57" t="s">
        <v>147</v>
      </c>
      <c r="J68" s="58">
        <v>3.0</v>
      </c>
      <c r="K68" s="58"/>
    </row>
    <row r="69">
      <c r="G69" s="59" t="s">
        <v>377</v>
      </c>
      <c r="I69" s="57" t="s">
        <v>312</v>
      </c>
      <c r="J69" s="58">
        <v>1.0</v>
      </c>
      <c r="K69" s="58"/>
    </row>
    <row r="70">
      <c r="G70" s="59" t="s">
        <v>382</v>
      </c>
      <c r="I70" s="57" t="s">
        <v>376</v>
      </c>
      <c r="J70" s="58">
        <v>2.0</v>
      </c>
      <c r="K70" s="58"/>
    </row>
    <row r="71">
      <c r="G71" s="59" t="s">
        <v>384</v>
      </c>
      <c r="I71" s="57" t="s">
        <v>230</v>
      </c>
      <c r="J71" s="58">
        <v>2.0</v>
      </c>
      <c r="K71" s="58"/>
    </row>
    <row r="72">
      <c r="G72" s="59" t="s">
        <v>141</v>
      </c>
      <c r="I72" t="s">
        <v>545</v>
      </c>
      <c r="J72">
        <v>1.0</v>
      </c>
    </row>
    <row r="73">
      <c r="G73" s="59" t="s">
        <v>95</v>
      </c>
    </row>
    <row r="74">
      <c r="G74" s="59" t="s">
        <v>400</v>
      </c>
    </row>
    <row r="75">
      <c r="G75" s="59" t="s">
        <v>92</v>
      </c>
    </row>
    <row r="76">
      <c r="G76" s="59" t="s">
        <v>389</v>
      </c>
    </row>
    <row r="77">
      <c r="G77" s="59" t="s">
        <v>34</v>
      </c>
    </row>
    <row r="78">
      <c r="G78" s="59" t="s">
        <v>381</v>
      </c>
    </row>
    <row r="79">
      <c r="G79" s="59" t="s">
        <v>230</v>
      </c>
    </row>
    <row r="80">
      <c r="G80" s="59" t="s">
        <v>288</v>
      </c>
    </row>
    <row r="81">
      <c r="G81" s="59" t="s">
        <v>392</v>
      </c>
    </row>
    <row r="82">
      <c r="G82" s="59" t="s">
        <v>427</v>
      </c>
    </row>
    <row r="83">
      <c r="G83" s="59" t="s">
        <v>428</v>
      </c>
    </row>
    <row r="84">
      <c r="G84" s="59" t="s">
        <v>475</v>
      </c>
    </row>
    <row r="85">
      <c r="G85" s="59" t="s">
        <v>476</v>
      </c>
    </row>
    <row r="86">
      <c r="G86" s="59" t="s">
        <v>477</v>
      </c>
    </row>
    <row r="87">
      <c r="G87" s="59" t="s">
        <v>551</v>
      </c>
    </row>
    <row r="88">
      <c r="G88" s="59" t="s">
        <v>554</v>
      </c>
    </row>
    <row r="89">
      <c r="G89" s="59" t="s">
        <v>366</v>
      </c>
    </row>
    <row r="90">
      <c r="G90" s="59" t="s">
        <v>514</v>
      </c>
    </row>
    <row r="91">
      <c r="G91" s="59" t="s">
        <v>479</v>
      </c>
    </row>
    <row r="92">
      <c r="G92" s="59" t="s">
        <v>383</v>
      </c>
    </row>
    <row r="93">
      <c r="G93" s="59" t="s">
        <v>53</v>
      </c>
    </row>
    <row r="94">
      <c r="G94" s="59" t="s">
        <v>368</v>
      </c>
    </row>
    <row r="95">
      <c r="G95" s="59" t="s">
        <v>68</v>
      </c>
    </row>
    <row r="96">
      <c r="G96" s="59" t="s">
        <v>147</v>
      </c>
    </row>
    <row r="97">
      <c r="G97" s="59" t="s">
        <v>100</v>
      </c>
    </row>
    <row r="98">
      <c r="G98" s="59" t="s">
        <v>294</v>
      </c>
    </row>
    <row r="99">
      <c r="G99" s="59" t="s">
        <v>386</v>
      </c>
    </row>
    <row r="100">
      <c r="G100" s="59" t="s">
        <v>274</v>
      </c>
    </row>
    <row r="101">
      <c r="G101" s="59" t="s">
        <v>302</v>
      </c>
    </row>
    <row r="102">
      <c r="G102" s="59" t="s">
        <v>256</v>
      </c>
    </row>
    <row r="103">
      <c r="G103" s="59" t="s">
        <v>375</v>
      </c>
    </row>
    <row r="104">
      <c r="G104" s="59" t="s">
        <v>144</v>
      </c>
    </row>
    <row r="105">
      <c r="G105" s="59" t="s">
        <v>374</v>
      </c>
    </row>
    <row r="106">
      <c r="G106" s="59" t="s">
        <v>185</v>
      </c>
    </row>
    <row r="107">
      <c r="G107" s="59" t="s">
        <v>391</v>
      </c>
    </row>
    <row r="108">
      <c r="G108" s="59" t="s">
        <v>89</v>
      </c>
    </row>
    <row r="109">
      <c r="G109" s="59" t="s">
        <v>297</v>
      </c>
    </row>
    <row r="110">
      <c r="G110" s="59" t="s">
        <v>377</v>
      </c>
    </row>
    <row r="111">
      <c r="G111" s="59" t="s">
        <v>382</v>
      </c>
    </row>
    <row r="112">
      <c r="G112" s="59" t="s">
        <v>384</v>
      </c>
    </row>
    <row r="113">
      <c r="G113" s="59" t="s">
        <v>141</v>
      </c>
    </row>
    <row r="114">
      <c r="G114" s="59" t="s">
        <v>95</v>
      </c>
    </row>
    <row r="115">
      <c r="G115" s="59" t="s">
        <v>400</v>
      </c>
    </row>
    <row r="116">
      <c r="G116" s="59" t="s">
        <v>92</v>
      </c>
    </row>
    <row r="117">
      <c r="G117" s="59" t="s">
        <v>389</v>
      </c>
    </row>
    <row r="118">
      <c r="G118" s="59" t="s">
        <v>34</v>
      </c>
    </row>
    <row r="119">
      <c r="G119" s="59" t="s">
        <v>381</v>
      </c>
    </row>
    <row r="120">
      <c r="G120" s="59" t="s">
        <v>432</v>
      </c>
    </row>
    <row r="121">
      <c r="G121" s="59" t="s">
        <v>288</v>
      </c>
    </row>
    <row r="122">
      <c r="G122" s="59" t="s">
        <v>392</v>
      </c>
    </row>
    <row r="123">
      <c r="G123" s="59" t="s">
        <v>427</v>
      </c>
    </row>
    <row r="124">
      <c r="G124" s="59" t="s">
        <v>428</v>
      </c>
    </row>
    <row r="125">
      <c r="G125" s="59" t="s">
        <v>511</v>
      </c>
    </row>
    <row r="126">
      <c r="G126" s="59" t="s">
        <v>475</v>
      </c>
    </row>
    <row r="127">
      <c r="G127" s="59" t="s">
        <v>476</v>
      </c>
    </row>
    <row r="128">
      <c r="G128" s="59" t="s">
        <v>505</v>
      </c>
    </row>
    <row r="129">
      <c r="G129" s="59" t="s">
        <v>479</v>
      </c>
    </row>
    <row r="130">
      <c r="G130" s="59" t="s">
        <v>366</v>
      </c>
    </row>
    <row r="131">
      <c r="G131" s="59" t="s">
        <v>385</v>
      </c>
    </row>
    <row r="132">
      <c r="G132" s="59" t="s">
        <v>512</v>
      </c>
    </row>
    <row r="133">
      <c r="G133" s="59" t="s">
        <v>513</v>
      </c>
    </row>
    <row r="134">
      <c r="G134" s="59" t="s">
        <v>439</v>
      </c>
    </row>
    <row r="135">
      <c r="G135" s="59" t="s">
        <v>383</v>
      </c>
    </row>
    <row r="136">
      <c r="G136" t="s">
        <v>53</v>
      </c>
    </row>
    <row r="137">
      <c r="G137" t="s">
        <v>365</v>
      </c>
    </row>
    <row r="138">
      <c r="G138" t="s">
        <v>368</v>
      </c>
    </row>
    <row r="139">
      <c r="G139" t="s">
        <v>403</v>
      </c>
    </row>
    <row r="140">
      <c r="G140" t="s">
        <v>363</v>
      </c>
    </row>
    <row r="141">
      <c r="G141" t="s">
        <v>134</v>
      </c>
    </row>
    <row r="142">
      <c r="G142" t="s">
        <v>68</v>
      </c>
    </row>
    <row r="143">
      <c r="G143" t="s">
        <v>100</v>
      </c>
    </row>
    <row r="144">
      <c r="G144" t="s">
        <v>78</v>
      </c>
    </row>
    <row r="145">
      <c r="G145" t="s">
        <v>424</v>
      </c>
    </row>
    <row r="146">
      <c r="G146" t="s">
        <v>294</v>
      </c>
    </row>
    <row r="147">
      <c r="G147" t="s">
        <v>360</v>
      </c>
    </row>
    <row r="148">
      <c r="G148" t="s">
        <v>386</v>
      </c>
    </row>
    <row r="149">
      <c r="G149" t="s">
        <v>274</v>
      </c>
    </row>
    <row r="150">
      <c r="G150" t="s">
        <v>256</v>
      </c>
    </row>
    <row r="151">
      <c r="G151" t="s">
        <v>388</v>
      </c>
    </row>
    <row r="152">
      <c r="G152" t="s">
        <v>391</v>
      </c>
    </row>
    <row r="153">
      <c r="G153" t="s">
        <v>89</v>
      </c>
    </row>
    <row r="154">
      <c r="G154" t="s">
        <v>129</v>
      </c>
    </row>
    <row r="155">
      <c r="G155" t="s">
        <v>297</v>
      </c>
    </row>
    <row r="156">
      <c r="G156" t="s">
        <v>42</v>
      </c>
    </row>
    <row r="157">
      <c r="G157" t="s">
        <v>92</v>
      </c>
    </row>
    <row r="158">
      <c r="G158" t="s">
        <v>389</v>
      </c>
    </row>
    <row r="159">
      <c r="G159" t="s">
        <v>34</v>
      </c>
    </row>
    <row r="160">
      <c r="G160" t="s">
        <v>230</v>
      </c>
    </row>
    <row r="161">
      <c r="G161" t="s">
        <v>56</v>
      </c>
    </row>
    <row r="162">
      <c r="G162" t="s">
        <v>432</v>
      </c>
    </row>
    <row r="163">
      <c r="G163" t="s">
        <v>288</v>
      </c>
    </row>
    <row r="164">
      <c r="G164" t="s">
        <v>502</v>
      </c>
    </row>
    <row r="165">
      <c r="G165" t="s">
        <v>475</v>
      </c>
    </row>
    <row r="166">
      <c r="G166" t="s">
        <v>545</v>
      </c>
    </row>
    <row r="167">
      <c r="G167" t="s">
        <v>479</v>
      </c>
    </row>
    <row r="168">
      <c r="G168" t="s">
        <v>515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5" width="21.57"/>
  </cols>
  <sheetData>
    <row r="1">
      <c r="A1" t="s">
        <v>518</v>
      </c>
      <c r="B1" t="s">
        <v>519</v>
      </c>
      <c r="C1" t="s">
        <v>520</v>
      </c>
      <c r="D1" t="s">
        <v>521</v>
      </c>
      <c r="E1" s="5" t="s">
        <v>522</v>
      </c>
      <c r="F1" t="s">
        <v>523</v>
      </c>
      <c r="G1" s="5" t="s">
        <v>524</v>
      </c>
      <c r="H1" s="5" t="s">
        <v>525</v>
      </c>
      <c r="I1" s="5" t="s">
        <v>526</v>
      </c>
    </row>
    <row r="2">
      <c r="A2" s="84">
        <v>43088.91406241898</v>
      </c>
      <c r="B2" s="5" t="s">
        <v>527</v>
      </c>
      <c r="C2" s="5">
        <v>15.0</v>
      </c>
      <c r="D2" s="5">
        <v>5.0</v>
      </c>
      <c r="E2" s="5" t="s">
        <v>528</v>
      </c>
      <c r="F2" s="5" t="s">
        <v>529</v>
      </c>
      <c r="G2" s="50"/>
      <c r="H2" s="50"/>
      <c r="I2" s="50"/>
    </row>
    <row r="3">
      <c r="A3" s="84">
        <v>43088.922523333335</v>
      </c>
      <c r="B3" s="5" t="s">
        <v>383</v>
      </c>
      <c r="C3" s="5">
        <v>15.0</v>
      </c>
      <c r="D3" s="5">
        <v>5.0</v>
      </c>
      <c r="E3" s="5" t="s">
        <v>530</v>
      </c>
    </row>
    <row r="4">
      <c r="A4" s="84">
        <v>43106.76919258102</v>
      </c>
      <c r="B4" s="5" t="s">
        <v>531</v>
      </c>
      <c r="C4" s="5">
        <v>15.0</v>
      </c>
      <c r="D4" s="5">
        <v>4.0</v>
      </c>
      <c r="E4" s="5" t="s">
        <v>532</v>
      </c>
    </row>
    <row r="5">
      <c r="A5" s="84">
        <v>43113.732687048614</v>
      </c>
      <c r="B5" s="5" t="s">
        <v>533</v>
      </c>
      <c r="C5" s="5">
        <v>15.0</v>
      </c>
      <c r="D5" s="5">
        <v>5.0</v>
      </c>
      <c r="E5" s="5" t="s">
        <v>534</v>
      </c>
    </row>
    <row r="6">
      <c r="A6" s="84">
        <v>43120.81356725695</v>
      </c>
      <c r="B6" s="5" t="s">
        <v>535</v>
      </c>
      <c r="C6" s="5">
        <v>9.0</v>
      </c>
      <c r="D6" s="5">
        <v>4.0</v>
      </c>
      <c r="E6" s="5" t="s">
        <v>536</v>
      </c>
    </row>
    <row r="7">
      <c r="A7" s="84">
        <v>43127.75178268518</v>
      </c>
      <c r="B7" s="5" t="s">
        <v>537</v>
      </c>
      <c r="C7" s="5">
        <v>15.0</v>
      </c>
      <c r="D7" s="5">
        <v>4.0</v>
      </c>
      <c r="E7" s="5" t="s">
        <v>538</v>
      </c>
      <c r="F7" s="5" t="s">
        <v>539</v>
      </c>
      <c r="G7" s="50"/>
      <c r="H7" s="50"/>
      <c r="I7" s="50"/>
    </row>
    <row r="8">
      <c r="A8" s="84">
        <v>43134.77333649306</v>
      </c>
      <c r="B8" s="5" t="s">
        <v>540</v>
      </c>
      <c r="C8" s="5">
        <v>14.0</v>
      </c>
      <c r="D8" s="5">
        <v>5.0</v>
      </c>
      <c r="E8" s="5" t="s">
        <v>541</v>
      </c>
    </row>
    <row r="9">
      <c r="A9" s="84">
        <v>43141.774197928244</v>
      </c>
      <c r="B9" s="5" t="s">
        <v>542</v>
      </c>
      <c r="C9" s="5">
        <v>16.0</v>
      </c>
      <c r="D9" s="5">
        <v>5.0</v>
      </c>
      <c r="E9" s="5" t="s">
        <v>543</v>
      </c>
      <c r="F9" s="5" t="s">
        <v>544</v>
      </c>
      <c r="G9" s="50"/>
      <c r="H9" s="50"/>
      <c r="I9" s="50"/>
    </row>
    <row r="10">
      <c r="A10" s="84">
        <v>43148.79649688657</v>
      </c>
      <c r="B10" s="5" t="s">
        <v>546</v>
      </c>
      <c r="C10" s="5">
        <v>16.0</v>
      </c>
      <c r="D10" s="5">
        <v>6.0</v>
      </c>
      <c r="E10" s="5" t="s">
        <v>547</v>
      </c>
      <c r="F10" s="5" t="s">
        <v>548</v>
      </c>
      <c r="G10" s="50"/>
      <c r="H10" s="50"/>
      <c r="I10" s="50"/>
    </row>
    <row r="11">
      <c r="A11" s="84">
        <v>43155.75838585648</v>
      </c>
      <c r="B11" s="5" t="s">
        <v>549</v>
      </c>
      <c r="C11" s="5">
        <v>16.0</v>
      </c>
      <c r="D11" s="5">
        <v>5.0</v>
      </c>
      <c r="E11" s="5" t="s">
        <v>550</v>
      </c>
    </row>
    <row r="12">
      <c r="A12" s="84">
        <v>43162.81504398148</v>
      </c>
      <c r="B12" s="5" t="s">
        <v>552</v>
      </c>
      <c r="C12" s="5">
        <v>17.0</v>
      </c>
      <c r="D12" s="5">
        <v>5.0</v>
      </c>
      <c r="E12" s="5" t="s">
        <v>553</v>
      </c>
    </row>
    <row r="13">
      <c r="A13" s="84"/>
      <c r="B13" s="5"/>
      <c r="C13" s="5"/>
      <c r="D13" s="5"/>
      <c r="E13" s="5"/>
      <c r="F13" s="5"/>
      <c r="G13" s="5"/>
      <c r="H13" s="5"/>
      <c r="I13" s="50"/>
    </row>
    <row r="14">
      <c r="A14" s="84">
        <v>43169.75600612268</v>
      </c>
      <c r="B14" s="5" t="s">
        <v>555</v>
      </c>
      <c r="C14" s="5">
        <v>17.0</v>
      </c>
      <c r="D14" s="5">
        <v>5.0</v>
      </c>
      <c r="E14" s="5" t="s">
        <v>556</v>
      </c>
      <c r="G14" s="5">
        <v>75.0</v>
      </c>
      <c r="H14" s="5" t="s">
        <v>244</v>
      </c>
    </row>
    <row r="15">
      <c r="A15" s="84">
        <v>43176.8142628125</v>
      </c>
      <c r="B15" s="5" t="s">
        <v>557</v>
      </c>
      <c r="C15" s="5">
        <v>17.0</v>
      </c>
      <c r="D15" s="5">
        <v>5.0</v>
      </c>
      <c r="E15" s="5" t="s">
        <v>558</v>
      </c>
      <c r="F15" s="5" t="s">
        <v>419</v>
      </c>
      <c r="G15" s="5">
        <v>80.0</v>
      </c>
      <c r="H15" s="5" t="s">
        <v>393</v>
      </c>
    </row>
    <row r="16">
      <c r="A16" s="84">
        <v>43183.74656625</v>
      </c>
      <c r="B16" s="5" t="s">
        <v>559</v>
      </c>
      <c r="C16" s="5">
        <v>16.0</v>
      </c>
      <c r="D16" s="5">
        <v>6.0</v>
      </c>
      <c r="E16" s="5" t="s">
        <v>560</v>
      </c>
      <c r="G16" s="5">
        <v>105.0</v>
      </c>
      <c r="H16" s="5" t="s">
        <v>244</v>
      </c>
    </row>
    <row r="17">
      <c r="A17" s="84">
        <v>43197.86257373843</v>
      </c>
      <c r="B17" s="5" t="s">
        <v>561</v>
      </c>
      <c r="C17" s="5">
        <v>14.0</v>
      </c>
      <c r="D17" s="5">
        <v>6.0</v>
      </c>
      <c r="E17" s="5" t="s">
        <v>562</v>
      </c>
      <c r="F17" s="5" t="s">
        <v>563</v>
      </c>
      <c r="G17" s="5">
        <v>105.0</v>
      </c>
      <c r="H17" s="5" t="s">
        <v>242</v>
      </c>
    </row>
    <row r="18">
      <c r="A18" s="84">
        <v>43204.78514723379</v>
      </c>
      <c r="B18" s="5" t="s">
        <v>564</v>
      </c>
      <c r="C18" s="5">
        <v>17.0</v>
      </c>
      <c r="D18" s="5">
        <v>6.0</v>
      </c>
      <c r="E18" s="5" t="s">
        <v>565</v>
      </c>
      <c r="F18" s="5" t="s">
        <v>566</v>
      </c>
      <c r="G18" s="5">
        <v>155.0</v>
      </c>
      <c r="H18" s="5" t="s">
        <v>244</v>
      </c>
    </row>
    <row r="19">
      <c r="A19" s="84">
        <v>43211.87666928241</v>
      </c>
      <c r="B19" s="5" t="s">
        <v>567</v>
      </c>
      <c r="C19" s="5">
        <v>16.0</v>
      </c>
      <c r="D19" s="5">
        <v>6.0</v>
      </c>
      <c r="E19" s="5" t="s">
        <v>568</v>
      </c>
      <c r="F19" s="5" t="s">
        <v>569</v>
      </c>
      <c r="G19" s="5">
        <v>170.0</v>
      </c>
      <c r="H19" s="5" t="s">
        <v>242</v>
      </c>
    </row>
    <row r="20">
      <c r="A20" s="84">
        <v>43218.761613807874</v>
      </c>
      <c r="B20" s="5" t="s">
        <v>570</v>
      </c>
      <c r="C20" s="5">
        <v>19.0</v>
      </c>
      <c r="D20" s="5">
        <v>6.0</v>
      </c>
      <c r="E20" s="5" t="s">
        <v>571</v>
      </c>
      <c r="F20" s="5" t="s">
        <v>572</v>
      </c>
      <c r="G20" s="5">
        <v>70.0</v>
      </c>
      <c r="H20" s="5" t="s">
        <v>242</v>
      </c>
    </row>
    <row r="21">
      <c r="A21" s="84">
        <v>43225.74451712963</v>
      </c>
      <c r="B21" s="5" t="s">
        <v>573</v>
      </c>
      <c r="C21" s="5">
        <v>16.0</v>
      </c>
      <c r="D21" s="5">
        <v>6.0</v>
      </c>
      <c r="E21" s="5" t="s">
        <v>574</v>
      </c>
      <c r="F21" s="5" t="s">
        <v>575</v>
      </c>
      <c r="G21" s="5">
        <v>105.0</v>
      </c>
      <c r="H21" s="5" t="s">
        <v>100</v>
      </c>
    </row>
    <row r="22">
      <c r="A22" s="84">
        <v>43232.72248303241</v>
      </c>
      <c r="B22" s="5" t="s">
        <v>576</v>
      </c>
      <c r="C22" s="5">
        <v>16.0</v>
      </c>
      <c r="D22" s="5">
        <v>5.0</v>
      </c>
      <c r="E22" s="5" t="s">
        <v>577</v>
      </c>
      <c r="F22" s="5" t="s">
        <v>578</v>
      </c>
      <c r="G22" s="5">
        <v>90.0</v>
      </c>
      <c r="H22" s="5" t="s">
        <v>242</v>
      </c>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4.57"/>
    <col customWidth="1" min="2" max="2" width="16.86"/>
    <col customWidth="1" min="3" max="3" width="20.86"/>
    <col customWidth="1" min="4" max="4" width="25.57"/>
    <col customWidth="1" min="5" max="5" width="36.43"/>
    <col customWidth="1" min="6" max="6" width="7.0"/>
    <col customWidth="1" min="7" max="7" width="51.14"/>
    <col customWidth="1" min="8" max="9" width="14.86"/>
    <col customWidth="1" min="10" max="10" width="19.29"/>
    <col customWidth="1" min="11" max="11" width="13.29"/>
    <col customWidth="1" min="12" max="12" width="11.14"/>
  </cols>
  <sheetData>
    <row r="1">
      <c r="A1" s="45" t="s">
        <v>320</v>
      </c>
      <c r="B1" s="45" t="s">
        <v>321</v>
      </c>
      <c r="C1" s="45" t="s">
        <v>4</v>
      </c>
      <c r="D1" s="45" t="s">
        <v>322</v>
      </c>
      <c r="E1" s="45" t="s">
        <v>1</v>
      </c>
      <c r="F1" s="45" t="s">
        <v>323</v>
      </c>
      <c r="G1" s="45" t="s">
        <v>324</v>
      </c>
      <c r="H1" s="46" t="s">
        <v>325</v>
      </c>
      <c r="I1" s="45" t="s">
        <v>329</v>
      </c>
      <c r="J1" s="45" t="s">
        <v>330</v>
      </c>
      <c r="K1" s="48" t="s">
        <v>331</v>
      </c>
      <c r="L1" s="48" t="s">
        <v>338</v>
      </c>
    </row>
    <row r="2">
      <c r="A2" s="49" t="s">
        <v>88</v>
      </c>
      <c r="B2" s="49" t="s">
        <v>18</v>
      </c>
      <c r="C2" s="51" t="str">
        <f t="shared" ref="C2:C48" si="1">CONCATENATE(A2, " ",B2)</f>
        <v>Dar Adriano</v>
      </c>
      <c r="D2" s="49" t="s">
        <v>20</v>
      </c>
      <c r="E2" s="53" t="str">
        <f>vlookup(D2,'Invoice ClientIds'!$B$2:$D$100,3,0)</f>
        <v>8</v>
      </c>
      <c r="F2" s="18">
        <v>15.0</v>
      </c>
      <c r="G2" s="56" t="str">
        <f t="shared" ref="G2:G48" si="2">CONCATENATE(A2," ",B2, " May Attendance - ",K2, if(K2=1," session", " sessions"))</f>
        <v>Dar Adriano May Attendance - 2 sessions</v>
      </c>
      <c r="H2" s="26" t="s">
        <v>348</v>
      </c>
      <c r="I2" s="18">
        <v>1.0</v>
      </c>
      <c r="J2" s="56">
        <f t="shared" ref="J2:J48" si="3">if(H2="J",25, if(K2&lt;=2,25, 40))</f>
        <v>25</v>
      </c>
      <c r="K2" s="56">
        <f>if(IsNA(vlookup(C2,'May Att'!$I$2:$J$76,2,0)),0,vlookup(C2,'May Att'!$I$2:$J$76,2,0))</f>
        <v>2</v>
      </c>
      <c r="L2" s="60">
        <f t="shared" ref="L2:L30" si="4">I2*J2</f>
        <v>25</v>
      </c>
    </row>
    <row r="3">
      <c r="A3" s="61" t="s">
        <v>36</v>
      </c>
      <c r="B3" s="61" t="s">
        <v>18</v>
      </c>
      <c r="C3" s="51" t="str">
        <f t="shared" si="1"/>
        <v>Paulo Adriano</v>
      </c>
      <c r="D3" s="49" t="s">
        <v>20</v>
      </c>
      <c r="E3" s="53" t="str">
        <f>vlookup(D3,'Invoice ClientIds'!$B$2:$D$100,3,0)</f>
        <v>8</v>
      </c>
      <c r="F3" s="18">
        <v>15.0</v>
      </c>
      <c r="G3" s="56" t="str">
        <f t="shared" si="2"/>
        <v>Paulo Adriano May Attendance - 1 session</v>
      </c>
      <c r="H3" s="26" t="s">
        <v>357</v>
      </c>
      <c r="I3" s="18">
        <v>1.0</v>
      </c>
      <c r="J3" s="56">
        <f t="shared" si="3"/>
        <v>25</v>
      </c>
      <c r="K3" s="56">
        <f>if(IsNA(vlookup(C3,'May Att'!$I$2:$J$76,2,0)),0,vlookup(C3,'May Att'!$I$2:$J$76,2,0))</f>
        <v>1</v>
      </c>
      <c r="L3" s="60">
        <f t="shared" si="4"/>
        <v>25</v>
      </c>
    </row>
    <row r="4">
      <c r="A4" s="61" t="s">
        <v>16</v>
      </c>
      <c r="B4" s="61" t="s">
        <v>18</v>
      </c>
      <c r="C4" s="51" t="str">
        <f t="shared" si="1"/>
        <v>Chez Adriano</v>
      </c>
      <c r="D4" s="49" t="s">
        <v>20</v>
      </c>
      <c r="E4" s="53" t="str">
        <f>vlookup(D4,'Invoice ClientIds'!$B$2:$D$100,3,0)</f>
        <v>8</v>
      </c>
      <c r="F4" s="18">
        <v>15.0</v>
      </c>
      <c r="G4" s="56" t="str">
        <f t="shared" si="2"/>
        <v>Chez Adriano May Attendance - 1 session</v>
      </c>
      <c r="H4" s="26" t="s">
        <v>357</v>
      </c>
      <c r="I4" s="18">
        <v>1.0</v>
      </c>
      <c r="J4" s="56">
        <f t="shared" si="3"/>
        <v>25</v>
      </c>
      <c r="K4" s="56">
        <f>if(IsNA(vlookup(C4,'May Att'!$I$2:$J$76,2,0)),0,vlookup(C4,'May Att'!$I$2:$J$76,2,0))</f>
        <v>1</v>
      </c>
      <c r="L4" s="60">
        <f t="shared" si="4"/>
        <v>25</v>
      </c>
    </row>
    <row r="5">
      <c r="A5" s="61" t="s">
        <v>380</v>
      </c>
      <c r="B5" s="61" t="s">
        <v>18</v>
      </c>
      <c r="C5" s="51" t="str">
        <f t="shared" si="1"/>
        <v>Kyle Adriano</v>
      </c>
      <c r="D5" s="49" t="s">
        <v>20</v>
      </c>
      <c r="E5" s="53" t="str">
        <f>vlookup(D5,'Invoice ClientIds'!$B$2:$D$100,3,0)</f>
        <v>8</v>
      </c>
      <c r="F5" s="18">
        <v>15.0</v>
      </c>
      <c r="G5" s="56" t="str">
        <f t="shared" si="2"/>
        <v>Kyle Adriano May Attendance - 1 session</v>
      </c>
      <c r="H5" s="26" t="s">
        <v>348</v>
      </c>
      <c r="I5" s="18">
        <v>1.0</v>
      </c>
      <c r="J5" s="56">
        <f t="shared" si="3"/>
        <v>25</v>
      </c>
      <c r="K5" s="56">
        <f>if(IsNA(vlookup(C5,'May Att'!$I$2:$J$76,2,0)),0,vlookup(C5,'May Att'!$I$2:$J$76,2,0))</f>
        <v>1</v>
      </c>
      <c r="L5" s="60">
        <f t="shared" si="4"/>
        <v>25</v>
      </c>
    </row>
    <row r="6">
      <c r="A6" s="61" t="s">
        <v>60</v>
      </c>
      <c r="B6" s="61" t="s">
        <v>18</v>
      </c>
      <c r="C6" s="51" t="str">
        <f t="shared" si="1"/>
        <v>Kim Adriano</v>
      </c>
      <c r="D6" s="49" t="s">
        <v>20</v>
      </c>
      <c r="E6" s="53" t="str">
        <f>vlookup(D6,'Invoice ClientIds'!$B$2:$D$100,3,0)</f>
        <v>8</v>
      </c>
      <c r="F6" s="18">
        <v>15.0</v>
      </c>
      <c r="G6" s="56" t="str">
        <f t="shared" si="2"/>
        <v>Kim Adriano May Attendance - 0 sessions</v>
      </c>
      <c r="H6" s="26" t="s">
        <v>348</v>
      </c>
      <c r="I6" s="18">
        <v>1.0</v>
      </c>
      <c r="J6" s="56">
        <f t="shared" si="3"/>
        <v>25</v>
      </c>
      <c r="K6" s="56">
        <f>if(IsNA(vlookup(C6,'May Att'!$I$2:$J$76,2,0)),0,vlookup(C6,'May Att'!$I$2:$J$76,2,0))</f>
        <v>0</v>
      </c>
      <c r="L6" s="60">
        <f t="shared" si="4"/>
        <v>25</v>
      </c>
    </row>
    <row r="7">
      <c r="A7" s="61" t="s">
        <v>97</v>
      </c>
      <c r="B7" s="49" t="s">
        <v>99</v>
      </c>
      <c r="C7" s="51" t="str">
        <f t="shared" si="1"/>
        <v>Majan Almazan</v>
      </c>
      <c r="D7" s="49" t="s">
        <v>104</v>
      </c>
      <c r="E7" s="53" t="str">
        <f>vlookup(D7,'Invoice ClientIds'!$B$2:$D$100,3,0)</f>
        <v>33</v>
      </c>
      <c r="F7" s="18">
        <v>15.0</v>
      </c>
      <c r="G7" s="56" t="str">
        <f t="shared" si="2"/>
        <v>Majan Almazan May Attendance - 1 session</v>
      </c>
      <c r="H7" s="26" t="s">
        <v>357</v>
      </c>
      <c r="I7" s="18">
        <v>1.0</v>
      </c>
      <c r="J7" s="56">
        <f t="shared" si="3"/>
        <v>25</v>
      </c>
      <c r="K7" s="56">
        <f>if(IsNA(vlookup(C7,'May Att'!$I$2:$J$76,2,0)),0,vlookup(C7,'May Att'!$I$2:$J$76,2,0))</f>
        <v>1</v>
      </c>
      <c r="L7" s="60">
        <f t="shared" si="4"/>
        <v>25</v>
      </c>
    </row>
    <row r="8">
      <c r="A8" s="49" t="s">
        <v>135</v>
      </c>
      <c r="B8" s="49" t="s">
        <v>99</v>
      </c>
      <c r="C8" s="51" t="str">
        <f t="shared" si="1"/>
        <v>Ruth Almazan</v>
      </c>
      <c r="D8" s="49" t="s">
        <v>104</v>
      </c>
      <c r="E8" s="53" t="str">
        <f>vlookup(D8,'Invoice ClientIds'!$B$2:$D$100,3,0)</f>
        <v>33</v>
      </c>
      <c r="F8" s="18">
        <v>15.0</v>
      </c>
      <c r="G8" s="56" t="str">
        <f t="shared" si="2"/>
        <v>Ruth Almazan May Attendance - 2 sessions</v>
      </c>
      <c r="H8" s="26" t="s">
        <v>348</v>
      </c>
      <c r="I8" s="18">
        <v>1.0</v>
      </c>
      <c r="J8" s="56">
        <f t="shared" si="3"/>
        <v>25</v>
      </c>
      <c r="K8" s="56">
        <f>if(IsNA(vlookup(C8,'May Att'!$I$2:$J$76,2,0)),0,vlookup(C8,'May Att'!$I$2:$J$76,2,0))</f>
        <v>2</v>
      </c>
      <c r="L8" s="60">
        <f t="shared" si="4"/>
        <v>25</v>
      </c>
    </row>
    <row r="9">
      <c r="A9" s="61" t="s">
        <v>152</v>
      </c>
      <c r="B9" s="61" t="s">
        <v>153</v>
      </c>
      <c r="C9" s="51" t="str">
        <f t="shared" si="1"/>
        <v>Gloria Araullo</v>
      </c>
      <c r="D9" s="49" t="s">
        <v>67</v>
      </c>
      <c r="E9" s="66">
        <v>12.0</v>
      </c>
      <c r="F9" s="18">
        <v>15.0</v>
      </c>
      <c r="G9" s="56" t="str">
        <f t="shared" si="2"/>
        <v>Gloria Araullo May Attendance - 2 sessions</v>
      </c>
      <c r="H9" s="26" t="s">
        <v>348</v>
      </c>
      <c r="I9" s="18">
        <v>1.0</v>
      </c>
      <c r="J9" s="56">
        <f t="shared" si="3"/>
        <v>25</v>
      </c>
      <c r="K9" s="56">
        <f>if(IsNA(vlookup(C9,'May Att'!$I$2:$J$76,2,0)),0,vlookup(C9,'May Att'!$I$2:$J$76,2,0))</f>
        <v>2</v>
      </c>
      <c r="L9" s="60">
        <f t="shared" si="4"/>
        <v>25</v>
      </c>
    </row>
    <row r="10">
      <c r="A10" s="49" t="s">
        <v>175</v>
      </c>
      <c r="B10" s="49" t="s">
        <v>176</v>
      </c>
      <c r="C10" s="51" t="str">
        <f t="shared" si="1"/>
        <v>Tina Castillo</v>
      </c>
      <c r="D10" s="49" t="s">
        <v>146</v>
      </c>
      <c r="E10" s="53" t="str">
        <f>vlookup(D10,'Invoice ClientIds'!$B$2:$D$100,3,0)</f>
        <v>37</v>
      </c>
      <c r="F10" s="18">
        <v>15.0</v>
      </c>
      <c r="G10" s="56" t="str">
        <f t="shared" si="2"/>
        <v>Tina Castillo May Attendance - 2 sessions</v>
      </c>
      <c r="H10" s="26" t="s">
        <v>348</v>
      </c>
      <c r="I10" s="18">
        <v>1.0</v>
      </c>
      <c r="J10" s="56">
        <f t="shared" si="3"/>
        <v>25</v>
      </c>
      <c r="K10" s="56">
        <f>if(IsNA(vlookup(C10,'May Att'!$I$2:$J$76,2,0)),0,vlookup(C10,'May Att'!$I$2:$J$76,2,0))</f>
        <v>2</v>
      </c>
      <c r="L10" s="60">
        <f t="shared" si="4"/>
        <v>25</v>
      </c>
    </row>
    <row r="11">
      <c r="A11" s="49" t="s">
        <v>193</v>
      </c>
      <c r="B11" s="49" t="s">
        <v>194</v>
      </c>
      <c r="C11" s="51" t="str">
        <f t="shared" si="1"/>
        <v>Racquel Cruz</v>
      </c>
      <c r="D11" s="61" t="s">
        <v>149</v>
      </c>
      <c r="E11" s="53" t="str">
        <f>vlookup(D11,'Invoice ClientIds'!$B$2:$D$100,3,0)</f>
        <v>38</v>
      </c>
      <c r="F11" s="18">
        <v>15.0</v>
      </c>
      <c r="G11" s="56" t="str">
        <f t="shared" si="2"/>
        <v>Racquel Cruz May Attendance - 1 session</v>
      </c>
      <c r="H11" s="26" t="s">
        <v>348</v>
      </c>
      <c r="I11" s="18">
        <v>1.0</v>
      </c>
      <c r="J11" s="56">
        <f t="shared" si="3"/>
        <v>25</v>
      </c>
      <c r="K11" s="56">
        <f>if(IsNA(vlookup(C11,'May Att'!$I$2:$J$76,2,0)),0,vlookup(C11,'May Att'!$I$2:$J$76,2,0))</f>
        <v>1</v>
      </c>
      <c r="L11" s="60">
        <f t="shared" si="4"/>
        <v>25</v>
      </c>
    </row>
    <row r="12">
      <c r="A12" s="49" t="s">
        <v>218</v>
      </c>
      <c r="B12" s="49" t="s">
        <v>194</v>
      </c>
      <c r="C12" s="51" t="str">
        <f t="shared" si="1"/>
        <v>West Cruz</v>
      </c>
      <c r="D12" s="61" t="s">
        <v>149</v>
      </c>
      <c r="E12" s="53" t="str">
        <f>vlookup(D12,'Invoice ClientIds'!$B$2:$D$100,3,0)</f>
        <v>38</v>
      </c>
      <c r="F12" s="18">
        <v>15.0</v>
      </c>
      <c r="G12" s="56" t="str">
        <f t="shared" si="2"/>
        <v>West Cruz May Attendance - 1 session</v>
      </c>
      <c r="H12" s="26" t="s">
        <v>348</v>
      </c>
      <c r="I12" s="18">
        <v>1.0</v>
      </c>
      <c r="J12" s="56">
        <f t="shared" si="3"/>
        <v>25</v>
      </c>
      <c r="K12" s="56">
        <f>if(IsNA(vlookup(C12,'May Att'!$I$2:$J$76,2,0)),0,vlookup(C12,'May Att'!$I$2:$J$76,2,0))</f>
        <v>1</v>
      </c>
      <c r="L12" s="60">
        <f t="shared" si="4"/>
        <v>25</v>
      </c>
    </row>
    <row r="13">
      <c r="A13" s="49" t="s">
        <v>242</v>
      </c>
      <c r="B13" s="49" t="s">
        <v>244</v>
      </c>
      <c r="C13" s="51" t="str">
        <f t="shared" si="1"/>
        <v>Mark Dasco</v>
      </c>
      <c r="D13" s="49" t="s">
        <v>98</v>
      </c>
      <c r="E13" s="53" t="str">
        <f>vlookup(D13,'Invoice ClientIds'!$B$2:$D$100,3,0)</f>
        <v>21</v>
      </c>
      <c r="F13" s="18">
        <v>15.0</v>
      </c>
      <c r="G13" s="56" t="str">
        <f t="shared" si="2"/>
        <v>Mark Dasco May Attendance - 2 sessions</v>
      </c>
      <c r="H13" s="26" t="s">
        <v>348</v>
      </c>
      <c r="I13" s="18">
        <v>1.0</v>
      </c>
      <c r="J13" s="56">
        <f t="shared" si="3"/>
        <v>25</v>
      </c>
      <c r="K13" s="56">
        <f>if(IsNA(vlookup(C13,'May Att'!$I$2:$J$76,2,0)),0,vlookup(C13,'May Att'!$I$2:$J$76,2,0))</f>
        <v>2</v>
      </c>
      <c r="L13" s="60">
        <f t="shared" si="4"/>
        <v>25</v>
      </c>
    </row>
    <row r="14">
      <c r="A14" s="61" t="s">
        <v>263</v>
      </c>
      <c r="B14" s="61" t="s">
        <v>264</v>
      </c>
      <c r="C14" s="51" t="str">
        <f t="shared" si="1"/>
        <v>Roldan Discaya</v>
      </c>
      <c r="D14" s="49" t="s">
        <v>265</v>
      </c>
      <c r="E14" s="53" t="str">
        <f>vlookup(D14,'Invoice ClientIds'!$B$2:$D$100,3,0)</f>
        <v>1e8ef7fe-5922-4927-8471-70cab702e874</v>
      </c>
      <c r="F14" s="18">
        <v>15.0</v>
      </c>
      <c r="G14" s="56" t="str">
        <f t="shared" si="2"/>
        <v>Roldan Discaya May Attendance - 2 sessions</v>
      </c>
      <c r="H14" s="26" t="s">
        <v>348</v>
      </c>
      <c r="I14" s="18">
        <v>1.0</v>
      </c>
      <c r="J14" s="56">
        <f t="shared" si="3"/>
        <v>25</v>
      </c>
      <c r="K14" s="56">
        <f>if(IsNA(vlookup(C14,'May Att'!$I$2:$J$76,2,0)),0,vlookup(C14,'May Att'!$I$2:$J$76,2,0))</f>
        <v>2</v>
      </c>
      <c r="L14" s="60">
        <f t="shared" si="4"/>
        <v>25</v>
      </c>
    </row>
    <row r="15">
      <c r="A15" s="49" t="s">
        <v>275</v>
      </c>
      <c r="B15" s="49" t="s">
        <v>276</v>
      </c>
      <c r="C15" s="51" t="str">
        <f t="shared" si="1"/>
        <v>Jonathan De Guzman</v>
      </c>
      <c r="D15" s="49" t="s">
        <v>77</v>
      </c>
      <c r="E15" s="53" t="str">
        <f>vlookup(D15,'Invoice ClientIds'!$B$2:$D$100,3,0)</f>
        <v>15</v>
      </c>
      <c r="F15" s="18">
        <v>15.0</v>
      </c>
      <c r="G15" s="56" t="str">
        <f t="shared" si="2"/>
        <v>Jonathan De Guzman May Attendance - 2 sessions</v>
      </c>
      <c r="H15" s="26" t="s">
        <v>348</v>
      </c>
      <c r="I15" s="18">
        <v>1.0</v>
      </c>
      <c r="J15" s="56">
        <f t="shared" si="3"/>
        <v>25</v>
      </c>
      <c r="K15" s="56">
        <f>if(IsNA(vlookup(C15,'May Att'!$I$2:$J$76,2,0)),0,vlookup(C15,'May Att'!$I$2:$J$76,2,0))</f>
        <v>2</v>
      </c>
      <c r="L15" s="60">
        <f t="shared" si="4"/>
        <v>25</v>
      </c>
    </row>
    <row r="16">
      <c r="A16" s="49" t="s">
        <v>292</v>
      </c>
      <c r="B16" s="49" t="s">
        <v>276</v>
      </c>
      <c r="C16" s="51" t="str">
        <f t="shared" si="1"/>
        <v>Ime De Guzman</v>
      </c>
      <c r="D16" s="49" t="s">
        <v>77</v>
      </c>
      <c r="E16" s="53" t="str">
        <f>vlookup(D16,'Invoice ClientIds'!$B$2:$D$100,3,0)</f>
        <v>15</v>
      </c>
      <c r="F16" s="18">
        <v>15.0</v>
      </c>
      <c r="G16" s="56" t="str">
        <f t="shared" si="2"/>
        <v>Ime De Guzman May Attendance - 2 sessions</v>
      </c>
      <c r="H16" s="26" t="s">
        <v>348</v>
      </c>
      <c r="I16" s="18">
        <v>1.0</v>
      </c>
      <c r="J16" s="56">
        <f t="shared" si="3"/>
        <v>25</v>
      </c>
      <c r="K16" s="56">
        <f>if(IsNA(vlookup(C16,'May Att'!$I$2:$J$76,2,0)),0,vlookup(C16,'May Att'!$I$2:$J$76,2,0))</f>
        <v>2</v>
      </c>
      <c r="L16" s="60">
        <f t="shared" si="4"/>
        <v>25</v>
      </c>
    </row>
    <row r="17">
      <c r="A17" s="49" t="s">
        <v>313</v>
      </c>
      <c r="B17" s="49" t="s">
        <v>299</v>
      </c>
      <c r="C17" s="51" t="str">
        <f t="shared" si="1"/>
        <v>Jed Garcia</v>
      </c>
      <c r="D17" s="49" t="s">
        <v>273</v>
      </c>
      <c r="E17" s="53">
        <v>72.0</v>
      </c>
      <c r="F17" s="18">
        <v>15.0</v>
      </c>
      <c r="G17" s="56" t="str">
        <f t="shared" si="2"/>
        <v>Jed Garcia May Attendance - 2 sessions</v>
      </c>
      <c r="H17" s="26" t="s">
        <v>357</v>
      </c>
      <c r="I17" s="18">
        <v>1.0</v>
      </c>
      <c r="J17" s="56">
        <f t="shared" si="3"/>
        <v>25</v>
      </c>
      <c r="K17" s="56">
        <f>if(IsNA(vlookup(C17,'May Att'!$I$2:$J$76,2,0)),0,vlookup(C17,'May Att'!$I$2:$J$76,2,0))</f>
        <v>2</v>
      </c>
      <c r="L17" s="60">
        <f t="shared" si="4"/>
        <v>25</v>
      </c>
    </row>
    <row r="18">
      <c r="A18" s="61" t="s">
        <v>298</v>
      </c>
      <c r="B18" s="61" t="s">
        <v>299</v>
      </c>
      <c r="C18" s="51" t="str">
        <f t="shared" si="1"/>
        <v>Josel Garcia</v>
      </c>
      <c r="D18" s="61" t="s">
        <v>273</v>
      </c>
      <c r="E18" s="53">
        <f>vlookup(D18,'Invoice ClientIds'!$B$2:$D$100,3,0)</f>
        <v>72</v>
      </c>
      <c r="F18" s="18">
        <v>15.0</v>
      </c>
      <c r="G18" s="56" t="str">
        <f t="shared" si="2"/>
        <v>Josel Garcia May Attendance - 2 sessions</v>
      </c>
      <c r="H18" s="26" t="s">
        <v>348</v>
      </c>
      <c r="I18" s="18">
        <v>1.0</v>
      </c>
      <c r="J18" s="56">
        <f t="shared" si="3"/>
        <v>25</v>
      </c>
      <c r="K18" s="56">
        <f>if(IsNA(vlookup(C18,'May Att'!$I$2:$J$76,2,0)),0,vlookup(C18,'May Att'!$I$2:$J$76,2,0))</f>
        <v>2</v>
      </c>
      <c r="L18" s="60">
        <f t="shared" si="4"/>
        <v>25</v>
      </c>
    </row>
    <row r="19">
      <c r="A19" s="61" t="s">
        <v>309</v>
      </c>
      <c r="B19" s="61" t="s">
        <v>299</v>
      </c>
      <c r="C19" s="51" t="str">
        <f t="shared" si="1"/>
        <v>Aileen Garcia</v>
      </c>
      <c r="D19" s="61" t="s">
        <v>273</v>
      </c>
      <c r="E19" s="53">
        <f>vlookup(D19,'Invoice ClientIds'!$B$2:$D$100,3,0)</f>
        <v>72</v>
      </c>
      <c r="F19" s="18">
        <v>15.0</v>
      </c>
      <c r="G19" s="56" t="str">
        <f t="shared" si="2"/>
        <v>Aileen Garcia May Attendance - 2 sessions</v>
      </c>
      <c r="H19" s="26" t="s">
        <v>348</v>
      </c>
      <c r="I19" s="18">
        <v>1.0</v>
      </c>
      <c r="J19" s="56">
        <f t="shared" si="3"/>
        <v>25</v>
      </c>
      <c r="K19" s="56">
        <f>if(IsNA(vlookup(C19,'May Att'!$I$2:$J$76,2,0)),0,vlookup(C19,'May Att'!$I$2:$J$76,2,0))</f>
        <v>2</v>
      </c>
      <c r="L19" s="60">
        <f t="shared" si="4"/>
        <v>25</v>
      </c>
    </row>
    <row r="20">
      <c r="A20" s="61" t="s">
        <v>314</v>
      </c>
      <c r="B20" s="61" t="s">
        <v>417</v>
      </c>
      <c r="C20" s="51" t="str">
        <f t="shared" si="1"/>
        <v>Aashish Kumar</v>
      </c>
      <c r="D20" s="61" t="s">
        <v>301</v>
      </c>
      <c r="E20" s="53" t="str">
        <f>vlookup(D20,'Invoice ClientIds'!$B$2:$D$100,3,0)</f>
        <v>d82e7614-b40a-46ae-a48b-143c809bca66</v>
      </c>
      <c r="F20" s="18">
        <v>15.0</v>
      </c>
      <c r="G20" s="56" t="str">
        <f t="shared" si="2"/>
        <v>Aashish Kumar May Attendance - 2 sessions</v>
      </c>
      <c r="H20" s="26" t="s">
        <v>348</v>
      </c>
      <c r="I20" s="18">
        <v>1.0</v>
      </c>
      <c r="J20" s="56">
        <f t="shared" si="3"/>
        <v>25</v>
      </c>
      <c r="K20" s="56">
        <f>if(IsNA(vlookup(C20,'May Att'!$I$2:$J$76,2,0)),0,vlookup(C20,'May Att'!$I$2:$J$76,2,0))</f>
        <v>2</v>
      </c>
      <c r="L20" s="60">
        <f t="shared" si="4"/>
        <v>25</v>
      </c>
    </row>
    <row r="21">
      <c r="A21" s="77" t="s">
        <v>316</v>
      </c>
      <c r="B21" s="77" t="s">
        <v>317</v>
      </c>
      <c r="C21" s="78" t="str">
        <f t="shared" si="1"/>
        <v>Rohith Krishna</v>
      </c>
      <c r="D21" s="77" t="s">
        <v>304</v>
      </c>
      <c r="E21" s="79" t="str">
        <f>vlookup(D21,'Invoice ClientIds'!$B$2:$D$100,3,0)</f>
        <v>5d744242-e398-4705-b209-5c1d3de276bd</v>
      </c>
      <c r="F21" s="80">
        <v>15.0</v>
      </c>
      <c r="G21" s="81" t="str">
        <f t="shared" si="2"/>
        <v>Rohith Krishna May Attendance - 0 sessions</v>
      </c>
      <c r="H21" s="82" t="s">
        <v>348</v>
      </c>
      <c r="I21" s="80">
        <v>1.0</v>
      </c>
      <c r="J21" s="81">
        <f t="shared" si="3"/>
        <v>25</v>
      </c>
      <c r="K21" s="81">
        <f>if(IsNA(vlookup(C21,'May Att'!$I$2:$J$76,2,0)),0,vlookup(C21,'May Att'!$I$2:$J$76,2,0))</f>
        <v>0</v>
      </c>
      <c r="L21" s="83">
        <f t="shared" si="4"/>
        <v>25</v>
      </c>
    </row>
    <row r="22">
      <c r="A22" s="49" t="s">
        <v>318</v>
      </c>
      <c r="B22" s="49" t="s">
        <v>319</v>
      </c>
      <c r="C22" s="51" t="str">
        <f t="shared" si="1"/>
        <v>Glen Macaraeg</v>
      </c>
      <c r="D22" s="49" t="s">
        <v>143</v>
      </c>
      <c r="E22" s="53" t="str">
        <f>vlookup(D22,'Invoice ClientIds'!$B$2:$D$100,3,0)</f>
        <v>36</v>
      </c>
      <c r="F22" s="18">
        <v>15.0</v>
      </c>
      <c r="G22" s="56" t="str">
        <f t="shared" si="2"/>
        <v>Glen Macaraeg May Attendance - 1 session</v>
      </c>
      <c r="H22" s="26" t="s">
        <v>348</v>
      </c>
      <c r="I22" s="18">
        <v>1.0</v>
      </c>
      <c r="J22" s="56">
        <f t="shared" si="3"/>
        <v>25</v>
      </c>
      <c r="K22" s="56">
        <f>if(IsNA(vlookup(C22,'May Att'!$I$2:$J$76,2,0)),0,vlookup(C22,'May Att'!$I$2:$J$76,2,0))</f>
        <v>1</v>
      </c>
      <c r="L22" s="60">
        <f t="shared" si="4"/>
        <v>25</v>
      </c>
    </row>
    <row r="23">
      <c r="A23" s="49" t="s">
        <v>328</v>
      </c>
      <c r="B23" s="49" t="s">
        <v>319</v>
      </c>
      <c r="C23" s="51" t="str">
        <f t="shared" si="1"/>
        <v>Tess Macaraeg</v>
      </c>
      <c r="D23" s="49" t="s">
        <v>143</v>
      </c>
      <c r="E23" s="53" t="str">
        <f>vlookup(D23,'Invoice ClientIds'!$B$2:$D$100,3,0)</f>
        <v>36</v>
      </c>
      <c r="F23" s="18">
        <v>15.0</v>
      </c>
      <c r="G23" s="56" t="str">
        <f t="shared" si="2"/>
        <v>Tess Macaraeg May Attendance - 1 session</v>
      </c>
      <c r="H23" s="26" t="s">
        <v>348</v>
      </c>
      <c r="I23" s="18">
        <v>1.0</v>
      </c>
      <c r="J23" s="56">
        <f t="shared" si="3"/>
        <v>25</v>
      </c>
      <c r="K23" s="56">
        <f>if(IsNA(vlookup(C23,'May Att'!$I$2:$J$76,2,0)),0,vlookup(C23,'May Att'!$I$2:$J$76,2,0))</f>
        <v>1</v>
      </c>
      <c r="L23" s="60">
        <f t="shared" si="4"/>
        <v>25</v>
      </c>
    </row>
    <row r="24">
      <c r="A24" s="49" t="s">
        <v>333</v>
      </c>
      <c r="B24" s="49" t="s">
        <v>335</v>
      </c>
      <c r="C24" s="51" t="str">
        <f t="shared" si="1"/>
        <v>Alex Marundan</v>
      </c>
      <c r="D24" s="49" t="s">
        <v>255</v>
      </c>
      <c r="E24" s="53">
        <v>67.0</v>
      </c>
      <c r="F24" s="18">
        <v>15.0</v>
      </c>
      <c r="G24" s="56" t="str">
        <f t="shared" si="2"/>
        <v>Alex Marundan May Attendance - 0 sessions</v>
      </c>
      <c r="H24" s="26" t="s">
        <v>348</v>
      </c>
      <c r="I24" s="18">
        <v>1.0</v>
      </c>
      <c r="J24" s="56">
        <f t="shared" si="3"/>
        <v>25</v>
      </c>
      <c r="K24" s="56">
        <f>if(IsNA(vlookup(C24,'May Att'!$I$2:$J$76,2,0)),0,vlookup(C24,'May Att'!$I$2:$J$76,2,0))</f>
        <v>0</v>
      </c>
      <c r="L24" s="60">
        <f t="shared" si="4"/>
        <v>25</v>
      </c>
    </row>
    <row r="25">
      <c r="A25" s="49" t="s">
        <v>340</v>
      </c>
      <c r="B25" s="49" t="s">
        <v>341</v>
      </c>
      <c r="C25" s="51" t="str">
        <f t="shared" si="1"/>
        <v>Maritoni Mesina</v>
      </c>
      <c r="D25" s="49" t="s">
        <v>184</v>
      </c>
      <c r="E25" s="53">
        <f>vlookup(D25,'Invoice ClientIds'!$B$2:$D$100,3,0)</f>
        <v>46</v>
      </c>
      <c r="F25" s="18">
        <v>15.0</v>
      </c>
      <c r="G25" s="56" t="str">
        <f t="shared" si="2"/>
        <v>Maritoni Mesina May Attendance - 1 session</v>
      </c>
      <c r="H25" s="26" t="s">
        <v>348</v>
      </c>
      <c r="I25" s="18">
        <v>1.0</v>
      </c>
      <c r="J25" s="56">
        <f t="shared" si="3"/>
        <v>25</v>
      </c>
      <c r="K25" s="56">
        <f>if(IsNA(vlookup(C25,'May Att'!$I$2:$J$76,2,0)),0,vlookup(C25,'May Att'!$I$2:$J$76,2,0))</f>
        <v>1</v>
      </c>
      <c r="L25" s="60">
        <f t="shared" si="4"/>
        <v>25</v>
      </c>
    </row>
    <row r="26">
      <c r="A26" s="49" t="s">
        <v>342</v>
      </c>
      <c r="B26" s="49" t="s">
        <v>341</v>
      </c>
      <c r="C26" s="51" t="str">
        <f t="shared" si="1"/>
        <v>Bimbo Mesina</v>
      </c>
      <c r="D26" s="49" t="s">
        <v>184</v>
      </c>
      <c r="E26" s="53">
        <f>vlookup(D26,'Invoice ClientIds'!$B$2:$D$100,3,0)</f>
        <v>46</v>
      </c>
      <c r="F26" s="18">
        <v>15.0</v>
      </c>
      <c r="G26" s="56" t="str">
        <f t="shared" si="2"/>
        <v>Bimbo Mesina May Attendance - 1 session</v>
      </c>
      <c r="H26" s="26" t="s">
        <v>348</v>
      </c>
      <c r="I26" s="18">
        <v>1.0</v>
      </c>
      <c r="J26" s="56">
        <f t="shared" si="3"/>
        <v>25</v>
      </c>
      <c r="K26" s="56">
        <f>if(IsNA(vlookup(C26,'May Att'!$I$2:$J$76,2,0)),0,vlookup(C26,'May Att'!$I$2:$J$76,2,0))</f>
        <v>1</v>
      </c>
      <c r="L26" s="60">
        <f t="shared" si="4"/>
        <v>25</v>
      </c>
    </row>
    <row r="27">
      <c r="A27" s="61" t="s">
        <v>343</v>
      </c>
      <c r="B27" s="61" t="s">
        <v>344</v>
      </c>
      <c r="C27" s="51" t="str">
        <f t="shared" si="1"/>
        <v>Vikram Murthi</v>
      </c>
      <c r="D27" s="61" t="s">
        <v>311</v>
      </c>
      <c r="E27" s="53" t="str">
        <f>vlookup(D27,'Invoice ClientIds'!$B$2:$D$100,3,0)</f>
        <v>27e08fe4-d057-4932-b633-7cfbf4b5a83a</v>
      </c>
      <c r="F27" s="18">
        <v>15.0</v>
      </c>
      <c r="G27" s="56" t="str">
        <f t="shared" si="2"/>
        <v>Vikram Murthi May Attendance - 2 sessions</v>
      </c>
      <c r="H27" s="26" t="s">
        <v>348</v>
      </c>
      <c r="I27" s="18">
        <v>1.0</v>
      </c>
      <c r="J27" s="56">
        <f t="shared" si="3"/>
        <v>25</v>
      </c>
      <c r="K27" s="56">
        <f>if(IsNA(vlookup(C27,'May Att'!$I$2:$J$76,2,0)),0,vlookup(C27,'May Att'!$I$2:$J$76,2,0))</f>
        <v>2</v>
      </c>
      <c r="L27" s="60">
        <f t="shared" si="4"/>
        <v>25</v>
      </c>
    </row>
    <row r="28">
      <c r="A28" s="49" t="s">
        <v>345</v>
      </c>
      <c r="B28" s="49" t="s">
        <v>346</v>
      </c>
      <c r="C28" s="51" t="str">
        <f t="shared" si="1"/>
        <v>Marlon Nacua</v>
      </c>
      <c r="D28" s="49" t="s">
        <v>87</v>
      </c>
      <c r="E28" s="53" t="str">
        <f>vlookup(D28,'Invoice ClientIds'!$B$2:$D$100,3,0)</f>
        <v>18</v>
      </c>
      <c r="F28" s="18">
        <v>15.0</v>
      </c>
      <c r="G28" s="56" t="str">
        <f t="shared" si="2"/>
        <v>Marlon Nacua May Attendance - 2 sessions</v>
      </c>
      <c r="H28" s="26" t="s">
        <v>348</v>
      </c>
      <c r="I28" s="18">
        <v>1.0</v>
      </c>
      <c r="J28" s="56">
        <f t="shared" si="3"/>
        <v>25</v>
      </c>
      <c r="K28" s="56">
        <f>if(IsNA(vlookup(C28,'May Att'!$I$2:$J$76,2,0)),0,vlookup(C28,'May Att'!$I$2:$J$76,2,0))</f>
        <v>2</v>
      </c>
      <c r="L28" s="60">
        <f t="shared" si="4"/>
        <v>25</v>
      </c>
    </row>
    <row r="29">
      <c r="A29" s="49" t="s">
        <v>347</v>
      </c>
      <c r="B29" s="49" t="s">
        <v>346</v>
      </c>
      <c r="C29" s="51" t="str">
        <f t="shared" si="1"/>
        <v>Lorraine Nacua</v>
      </c>
      <c r="D29" s="49" t="s">
        <v>87</v>
      </c>
      <c r="E29" s="53" t="str">
        <f>vlookup(D29,'Invoice ClientIds'!$B$2:$D$100,3,0)</f>
        <v>18</v>
      </c>
      <c r="F29" s="18">
        <v>15.0</v>
      </c>
      <c r="G29" s="56" t="str">
        <f t="shared" si="2"/>
        <v>Lorraine Nacua May Attendance - 2 sessions</v>
      </c>
      <c r="H29" s="26" t="s">
        <v>348</v>
      </c>
      <c r="I29" s="18">
        <v>1.0</v>
      </c>
      <c r="J29" s="56">
        <f t="shared" si="3"/>
        <v>25</v>
      </c>
      <c r="K29" s="56">
        <f>if(IsNA(vlookup(C29,'May Att'!$I$2:$J$76,2,0)),0,vlookup(C29,'May Att'!$I$2:$J$76,2,0))</f>
        <v>2</v>
      </c>
      <c r="L29" s="60">
        <f t="shared" si="4"/>
        <v>25</v>
      </c>
    </row>
    <row r="30">
      <c r="A30" s="61" t="s">
        <v>351</v>
      </c>
      <c r="B30" s="49" t="s">
        <v>350</v>
      </c>
      <c r="C30" s="51" t="str">
        <f t="shared" si="1"/>
        <v>Reiner Nalzaro</v>
      </c>
      <c r="D30" s="49" t="s">
        <v>128</v>
      </c>
      <c r="E30" s="53" t="str">
        <f>vlookup(D30,'Invoice ClientIds'!$B$2:$D$100,3,0)</f>
        <v>31</v>
      </c>
      <c r="F30" s="18">
        <v>15.0</v>
      </c>
      <c r="G30" s="56" t="str">
        <f t="shared" si="2"/>
        <v>Reiner Nalzaro May Attendance - 2 sessions</v>
      </c>
      <c r="H30" s="26" t="s">
        <v>348</v>
      </c>
      <c r="I30" s="18">
        <v>1.0</v>
      </c>
      <c r="J30" s="56">
        <f t="shared" si="3"/>
        <v>25</v>
      </c>
      <c r="K30" s="56">
        <f>if(IsNA(vlookup(C30,'May Att'!$I$2:$J$76,2,0)),0,vlookup(C30,'May Att'!$I$2:$J$76,2,0))</f>
        <v>2</v>
      </c>
      <c r="L30" s="60">
        <f t="shared" si="4"/>
        <v>25</v>
      </c>
    </row>
    <row r="31">
      <c r="A31" s="49" t="s">
        <v>349</v>
      </c>
      <c r="B31" s="49" t="s">
        <v>350</v>
      </c>
      <c r="C31" s="51" t="str">
        <f t="shared" si="1"/>
        <v>Reinhardt Nalzaro</v>
      </c>
      <c r="D31" s="61" t="s">
        <v>296</v>
      </c>
      <c r="E31" s="53" t="str">
        <f>vlookup(D31,'Invoice ClientIds'!$B$2:$D$100,3,0)</f>
        <v>e7de831f-d2aa-4e7a-b94c-36977657934d</v>
      </c>
      <c r="F31" s="18">
        <v>15.0</v>
      </c>
      <c r="G31" s="56" t="str">
        <f t="shared" si="2"/>
        <v>Reinhardt Nalzaro May Attendance - 1 session</v>
      </c>
      <c r="H31" s="26" t="s">
        <v>357</v>
      </c>
      <c r="I31" s="18">
        <v>1.0</v>
      </c>
      <c r="J31" s="56">
        <f t="shared" si="3"/>
        <v>25</v>
      </c>
      <c r="K31" s="56">
        <f>if(IsNA(vlookup(C31,'May Att'!$I$2:$J$76,2,0)),0,vlookup(C31,'May Att'!$I$2:$J$76,2,0))</f>
        <v>1</v>
      </c>
      <c r="L31" s="68">
        <v>25.0</v>
      </c>
    </row>
    <row r="32">
      <c r="A32" s="49" t="s">
        <v>352</v>
      </c>
      <c r="B32" s="49" t="s">
        <v>353</v>
      </c>
      <c r="C32" s="51" t="str">
        <f t="shared" si="1"/>
        <v>Jess Pangilinan</v>
      </c>
      <c r="D32" s="49" t="s">
        <v>140</v>
      </c>
      <c r="E32" s="53" t="str">
        <f>vlookup(D32,'Invoice ClientIds'!$B$2:$D$100,3,0)</f>
        <v>35</v>
      </c>
      <c r="F32" s="18">
        <v>15.0</v>
      </c>
      <c r="G32" s="56" t="str">
        <f t="shared" si="2"/>
        <v>Jess Pangilinan May Attendance - 0 sessions</v>
      </c>
      <c r="H32" s="26" t="s">
        <v>348</v>
      </c>
      <c r="I32" s="18">
        <v>1.0</v>
      </c>
      <c r="J32" s="56">
        <f t="shared" si="3"/>
        <v>25</v>
      </c>
      <c r="K32" s="56">
        <f>if(IsNA(vlookup(C32,'May Att'!$I$2:$J$76,2,0)),0,vlookup(C32,'May Att'!$I$2:$J$76,2,0))</f>
        <v>0</v>
      </c>
      <c r="L32" s="60">
        <f t="shared" ref="L32:L33" si="5">I32*J32</f>
        <v>25</v>
      </c>
    </row>
    <row r="33">
      <c r="A33" s="49" t="s">
        <v>354</v>
      </c>
      <c r="B33" s="49" t="s">
        <v>353</v>
      </c>
      <c r="C33" s="51" t="str">
        <f t="shared" si="1"/>
        <v>Terry Pangilinan</v>
      </c>
      <c r="D33" s="49" t="s">
        <v>140</v>
      </c>
      <c r="E33" s="53" t="str">
        <f>vlookup(D33,'Invoice ClientIds'!$B$2:$D$100,3,0)</f>
        <v>35</v>
      </c>
      <c r="F33" s="18">
        <v>15.0</v>
      </c>
      <c r="G33" s="56" t="str">
        <f t="shared" si="2"/>
        <v>Terry Pangilinan May Attendance - 0 sessions</v>
      </c>
      <c r="H33" s="26" t="s">
        <v>348</v>
      </c>
      <c r="I33" s="18">
        <v>1.0</v>
      </c>
      <c r="J33" s="56">
        <f t="shared" si="3"/>
        <v>25</v>
      </c>
      <c r="K33" s="56">
        <f>if(IsNA(vlookup(C33,'May Att'!$I$2:$J$76,2,0)),0,vlookup(C33,'May Att'!$I$2:$J$76,2,0))</f>
        <v>0</v>
      </c>
      <c r="L33" s="60">
        <f t="shared" si="5"/>
        <v>25</v>
      </c>
    </row>
    <row r="34">
      <c r="A34" s="49" t="s">
        <v>356</v>
      </c>
      <c r="B34" s="49" t="s">
        <v>353</v>
      </c>
      <c r="C34" s="51" t="str">
        <f t="shared" si="1"/>
        <v>Nina Pangilinan</v>
      </c>
      <c r="D34" s="49" t="s">
        <v>140</v>
      </c>
      <c r="E34" s="53" t="str">
        <f>vlookup(D34,'Invoice ClientIds'!$B$2:$D$100,3,0)</f>
        <v>35</v>
      </c>
      <c r="F34" s="18">
        <v>15.0</v>
      </c>
      <c r="G34" s="56" t="str">
        <f t="shared" si="2"/>
        <v>Nina Pangilinan May Attendance - 0 sessions</v>
      </c>
      <c r="H34" s="26" t="s">
        <v>357</v>
      </c>
      <c r="I34" s="18">
        <v>1.0</v>
      </c>
      <c r="J34" s="56">
        <f t="shared" si="3"/>
        <v>25</v>
      </c>
      <c r="K34" s="56">
        <f>if(IsNA(vlookup(C34,'May Att'!$I$2:$J$76,2,0)),0,vlookup(C34,'May Att'!$I$2:$J$76,2,0))</f>
        <v>0</v>
      </c>
      <c r="L34" s="68">
        <v>25.0</v>
      </c>
    </row>
    <row r="35">
      <c r="A35" s="49" t="s">
        <v>355</v>
      </c>
      <c r="B35" s="49" t="s">
        <v>353</v>
      </c>
      <c r="C35" s="51" t="str">
        <f t="shared" si="1"/>
        <v>Ceth Pangilinan</v>
      </c>
      <c r="D35" s="49" t="s">
        <v>140</v>
      </c>
      <c r="E35" s="53" t="str">
        <f>vlookup(D35,'Invoice ClientIds'!$B$2:$D$100,3,0)</f>
        <v>35</v>
      </c>
      <c r="F35" s="18">
        <v>15.0</v>
      </c>
      <c r="G35" s="56" t="str">
        <f t="shared" si="2"/>
        <v>Ceth Pangilinan May Attendance - 0 sessions</v>
      </c>
      <c r="H35" s="26" t="s">
        <v>357</v>
      </c>
      <c r="I35" s="18">
        <v>1.0</v>
      </c>
      <c r="J35" s="56">
        <f t="shared" si="3"/>
        <v>25</v>
      </c>
      <c r="K35" s="56">
        <f>if(IsNA(vlookup(C35,'May Att'!$I$2:$J$76,2,0)),0,vlookup(C35,'May Att'!$I$2:$J$76,2,0))</f>
        <v>0</v>
      </c>
      <c r="L35" s="68">
        <v>25.0</v>
      </c>
    </row>
    <row r="36">
      <c r="A36" s="49" t="s">
        <v>358</v>
      </c>
      <c r="B36" s="49" t="s">
        <v>359</v>
      </c>
      <c r="C36" s="51" t="str">
        <f t="shared" si="1"/>
        <v>Allan Puente</v>
      </c>
      <c r="D36" s="49" t="s">
        <v>41</v>
      </c>
      <c r="E36" s="53" t="str">
        <f>vlookup(D36,'Invoice ClientIds'!$B$2:$D$100,3,0)</f>
        <v>4</v>
      </c>
      <c r="F36" s="18">
        <v>15.0</v>
      </c>
      <c r="G36" s="56" t="str">
        <f t="shared" si="2"/>
        <v>Allan Puente May Attendance - 1 session</v>
      </c>
      <c r="H36" s="26" t="s">
        <v>348</v>
      </c>
      <c r="I36" s="18">
        <v>1.0</v>
      </c>
      <c r="J36" s="56">
        <f t="shared" si="3"/>
        <v>25</v>
      </c>
      <c r="K36" s="56">
        <f>if(IsNA(vlookup(C36,'May Att'!$I$2:$J$76,2,0)),0,vlookup(C36,'May Att'!$I$2:$J$76,2,0))</f>
        <v>1</v>
      </c>
      <c r="L36" s="60">
        <f t="shared" ref="L36:L48" si="6">I36*J36</f>
        <v>25</v>
      </c>
    </row>
    <row r="37">
      <c r="A37" s="49" t="s">
        <v>361</v>
      </c>
      <c r="B37" s="49" t="s">
        <v>362</v>
      </c>
      <c r="C37" s="51" t="str">
        <f t="shared" si="1"/>
        <v>Rodel Rillera</v>
      </c>
      <c r="D37" s="49" t="s">
        <v>94</v>
      </c>
      <c r="E37" s="53" t="str">
        <f>vlookup(D37,'Invoice ClientIds'!$B$2:$D$100,3,0)</f>
        <v>20</v>
      </c>
      <c r="F37" s="18">
        <v>15.0</v>
      </c>
      <c r="G37" s="56" t="str">
        <f t="shared" si="2"/>
        <v>Rodel Rillera May Attendance - 2 sessions</v>
      </c>
      <c r="H37" s="26" t="s">
        <v>348</v>
      </c>
      <c r="I37" s="18">
        <v>1.0</v>
      </c>
      <c r="J37" s="56">
        <f t="shared" si="3"/>
        <v>25</v>
      </c>
      <c r="K37" s="56">
        <f>if(IsNA(vlookup(C37,'May Att'!$I$2:$J$76,2,0)),0,vlookup(C37,'May Att'!$I$2:$J$76,2,0))</f>
        <v>2</v>
      </c>
      <c r="L37" s="60">
        <f t="shared" si="6"/>
        <v>25</v>
      </c>
    </row>
    <row r="38">
      <c r="A38" s="49" t="s">
        <v>367</v>
      </c>
      <c r="B38" s="49" t="s">
        <v>362</v>
      </c>
      <c r="C38" s="51" t="str">
        <f t="shared" si="1"/>
        <v>Marianne Rillera</v>
      </c>
      <c r="D38" s="49" t="s">
        <v>94</v>
      </c>
      <c r="E38" s="53" t="str">
        <f>vlookup(D38,'Invoice ClientIds'!$B$2:$D$100,3,0)</f>
        <v>20</v>
      </c>
      <c r="F38" s="18">
        <v>15.0</v>
      </c>
      <c r="G38" s="56" t="str">
        <f t="shared" si="2"/>
        <v>Marianne Rillera May Attendance - 2 sessions</v>
      </c>
      <c r="H38" s="26" t="s">
        <v>348</v>
      </c>
      <c r="I38" s="18">
        <v>1.0</v>
      </c>
      <c r="J38" s="56">
        <f t="shared" si="3"/>
        <v>25</v>
      </c>
      <c r="K38" s="56">
        <f>if(IsNA(vlookup(C38,'May Att'!$I$2:$J$76,2,0)),0,vlookup(C38,'May Att'!$I$2:$J$76,2,0))</f>
        <v>2</v>
      </c>
      <c r="L38" s="60">
        <f t="shared" si="6"/>
        <v>25</v>
      </c>
    </row>
    <row r="39">
      <c r="A39" s="77" t="s">
        <v>370</v>
      </c>
      <c r="B39" s="77" t="s">
        <v>372</v>
      </c>
      <c r="C39" s="78" t="str">
        <f t="shared" si="1"/>
        <v>Rinaldi Roque</v>
      </c>
      <c r="D39" s="77" t="s">
        <v>307</v>
      </c>
      <c r="E39" s="79" t="str">
        <f>vlookup(D39,'Invoice ClientIds'!$B$2:$D$100,3,0)</f>
        <v>d03b3e08-1f8e-489e-a104-04f382902878</v>
      </c>
      <c r="F39" s="80">
        <v>15.0</v>
      </c>
      <c r="G39" s="81" t="str">
        <f t="shared" si="2"/>
        <v>Rinaldi Roque May Attendance - 0 sessions</v>
      </c>
      <c r="H39" s="82" t="s">
        <v>348</v>
      </c>
      <c r="I39" s="80">
        <v>1.0</v>
      </c>
      <c r="J39" s="81">
        <f t="shared" si="3"/>
        <v>25</v>
      </c>
      <c r="K39" s="81">
        <f>if(IsNA(vlookup(C39,'May Att'!$I$2:$J$76,2,0)),0,vlookup(C39,'May Att'!$I$2:$J$76,2,0))</f>
        <v>0</v>
      </c>
      <c r="L39" s="83">
        <f t="shared" si="6"/>
        <v>25</v>
      </c>
    </row>
    <row r="40">
      <c r="A40" s="49" t="s">
        <v>378</v>
      </c>
      <c r="B40" s="49" t="s">
        <v>379</v>
      </c>
      <c r="C40" s="51" t="str">
        <f t="shared" si="1"/>
        <v>Gay Salac</v>
      </c>
      <c r="D40" s="49" t="s">
        <v>91</v>
      </c>
      <c r="E40" s="53" t="str">
        <f>vlookup(D40,'Invoice ClientIds'!$B$2:$D$100,3,0)</f>
        <v>19</v>
      </c>
      <c r="F40" s="18">
        <v>15.0</v>
      </c>
      <c r="G40" s="56" t="str">
        <f t="shared" si="2"/>
        <v>Gay Salac May Attendance - 2 sessions</v>
      </c>
      <c r="H40" s="26" t="s">
        <v>348</v>
      </c>
      <c r="I40" s="18">
        <v>1.0</v>
      </c>
      <c r="J40" s="56">
        <f t="shared" si="3"/>
        <v>25</v>
      </c>
      <c r="K40" s="56">
        <f>if(IsNA(vlookup(C40,'May Att'!$I$2:$J$76,2,0)),0,vlookup(C40,'May Att'!$I$2:$J$76,2,0))</f>
        <v>2</v>
      </c>
      <c r="L40" s="60">
        <f t="shared" si="6"/>
        <v>25</v>
      </c>
    </row>
    <row r="41">
      <c r="A41" s="49" t="s">
        <v>387</v>
      </c>
      <c r="B41" s="49" t="s">
        <v>379</v>
      </c>
      <c r="C41" s="51" t="str">
        <f t="shared" si="1"/>
        <v>Manny Salac</v>
      </c>
      <c r="D41" s="49" t="s">
        <v>91</v>
      </c>
      <c r="E41" s="53" t="str">
        <f>vlookup(D41,'Invoice ClientIds'!$B$2:$D$100,3,0)</f>
        <v>19</v>
      </c>
      <c r="F41" s="18">
        <v>15.0</v>
      </c>
      <c r="G41" s="56" t="str">
        <f t="shared" si="2"/>
        <v>Manny Salac May Attendance - 2 sessions</v>
      </c>
      <c r="H41" s="26" t="s">
        <v>348</v>
      </c>
      <c r="I41" s="18">
        <v>1.0</v>
      </c>
      <c r="J41" s="56">
        <f t="shared" si="3"/>
        <v>25</v>
      </c>
      <c r="K41" s="56">
        <f>if(IsNA(vlookup(C41,'May Att'!$I$2:$J$76,2,0)),0,vlookup(C41,'May Att'!$I$2:$J$76,2,0))</f>
        <v>2</v>
      </c>
      <c r="L41" s="60">
        <f t="shared" si="6"/>
        <v>25</v>
      </c>
    </row>
    <row r="42">
      <c r="A42" s="49" t="s">
        <v>393</v>
      </c>
      <c r="B42" s="49" t="s">
        <v>394</v>
      </c>
      <c r="C42" s="51" t="str">
        <f t="shared" si="1"/>
        <v>Al Saulon</v>
      </c>
      <c r="D42" s="49" t="s">
        <v>30</v>
      </c>
      <c r="E42" s="53" t="str">
        <f>vlookup(D42,'Invoice ClientIds'!$B$2:$D$100,3,0)</f>
        <v>2</v>
      </c>
      <c r="F42" s="18">
        <v>15.0</v>
      </c>
      <c r="G42" s="56" t="str">
        <f t="shared" si="2"/>
        <v>Al Saulon May Attendance - 1 session</v>
      </c>
      <c r="H42" s="26" t="s">
        <v>348</v>
      </c>
      <c r="I42" s="18">
        <v>1.0</v>
      </c>
      <c r="J42" s="56">
        <f t="shared" si="3"/>
        <v>25</v>
      </c>
      <c r="K42" s="56">
        <f>if(IsNA(vlookup(C42,'May Att'!$I$2:$J$76,2,0)),0,vlookup(C42,'May Att'!$I$2:$J$76,2,0))</f>
        <v>1</v>
      </c>
      <c r="L42" s="60">
        <f t="shared" si="6"/>
        <v>25</v>
      </c>
    </row>
    <row r="43">
      <c r="A43" s="49" t="s">
        <v>396</v>
      </c>
      <c r="B43" s="49" t="s">
        <v>394</v>
      </c>
      <c r="C43" s="51" t="str">
        <f t="shared" si="1"/>
        <v>Charrylou Saulon</v>
      </c>
      <c r="D43" s="49" t="s">
        <v>30</v>
      </c>
      <c r="E43" s="53" t="str">
        <f>vlookup(D43,'Invoice ClientIds'!$B$2:$D$100,3,0)</f>
        <v>2</v>
      </c>
      <c r="F43" s="18">
        <v>15.0</v>
      </c>
      <c r="G43" s="56" t="str">
        <f t="shared" si="2"/>
        <v>Charrylou Saulon May Attendance - 1 session</v>
      </c>
      <c r="H43" s="26" t="s">
        <v>348</v>
      </c>
      <c r="I43" s="18">
        <v>1.0</v>
      </c>
      <c r="J43" s="56">
        <f t="shared" si="3"/>
        <v>25</v>
      </c>
      <c r="K43" s="56">
        <f>if(IsNA(vlookup(C43,'May Att'!$I$2:$J$76,2,0)),0,vlookup(C43,'May Att'!$I$2:$J$76,2,0))</f>
        <v>1</v>
      </c>
      <c r="L43" s="60">
        <f t="shared" si="6"/>
        <v>25</v>
      </c>
    </row>
    <row r="44">
      <c r="A44" s="61" t="s">
        <v>401</v>
      </c>
      <c r="B44" s="49" t="s">
        <v>402</v>
      </c>
      <c r="C44" s="51" t="str">
        <f t="shared" si="1"/>
        <v>Ding Vega</v>
      </c>
      <c r="D44" s="49" t="s">
        <v>55</v>
      </c>
      <c r="E44" s="53" t="str">
        <f>vlookup(D44,'Invoice ClientIds'!$B$2:$D$100,3,0)</f>
        <v>9</v>
      </c>
      <c r="F44" s="18">
        <v>15.0</v>
      </c>
      <c r="G44" s="56" t="str">
        <f t="shared" si="2"/>
        <v>Ding Vega May Attendance - 0 sessions</v>
      </c>
      <c r="H44" s="26" t="s">
        <v>348</v>
      </c>
      <c r="I44" s="18">
        <v>1.0</v>
      </c>
      <c r="J44" s="56">
        <f t="shared" si="3"/>
        <v>25</v>
      </c>
      <c r="K44" s="56">
        <f>if(IsNA(vlookup(C44,'May Att'!$I$2:$J$76,2,0)),0,vlookup(C44,'May Att'!$I$2:$J$76,2,0))</f>
        <v>0</v>
      </c>
      <c r="L44" s="60">
        <f t="shared" si="6"/>
        <v>25</v>
      </c>
    </row>
    <row r="45">
      <c r="A45" s="61" t="s">
        <v>404</v>
      </c>
      <c r="B45" s="49" t="s">
        <v>402</v>
      </c>
      <c r="C45" s="51" t="str">
        <f t="shared" si="1"/>
        <v>Jodee Vega</v>
      </c>
      <c r="D45" s="49" t="s">
        <v>55</v>
      </c>
      <c r="E45" s="53" t="str">
        <f>vlookup(D45,'Invoice ClientIds'!$B$2:$D$100,3,0)</f>
        <v>9</v>
      </c>
      <c r="F45" s="18">
        <v>15.0</v>
      </c>
      <c r="G45" s="56" t="str">
        <f t="shared" si="2"/>
        <v>Jodee Vega May Attendance - 0 sessions</v>
      </c>
      <c r="H45" s="26" t="s">
        <v>357</v>
      </c>
      <c r="I45" s="18">
        <v>1.0</v>
      </c>
      <c r="J45" s="56">
        <f t="shared" si="3"/>
        <v>25</v>
      </c>
      <c r="K45" s="56">
        <f>if(IsNA(vlookup(C45,'May Att'!$I$2:$J$76,2,0)),0,vlookup(C45,'May Att'!$I$2:$J$76,2,0))</f>
        <v>0</v>
      </c>
      <c r="L45" s="60">
        <f t="shared" si="6"/>
        <v>25</v>
      </c>
    </row>
    <row r="46">
      <c r="A46" s="61" t="s">
        <v>405</v>
      </c>
      <c r="B46" s="61" t="s">
        <v>406</v>
      </c>
      <c r="C46" s="51" t="str">
        <f t="shared" si="1"/>
        <v>Leo Villanueva</v>
      </c>
      <c r="D46" s="49" t="s">
        <v>287</v>
      </c>
      <c r="E46" s="66">
        <v>76.0</v>
      </c>
      <c r="F46" s="18">
        <v>15.0</v>
      </c>
      <c r="G46" s="56" t="str">
        <f t="shared" si="2"/>
        <v>Leo Villanueva May Attendance - 0 sessions</v>
      </c>
      <c r="H46" s="26" t="s">
        <v>348</v>
      </c>
      <c r="I46" s="18">
        <v>1.0</v>
      </c>
      <c r="J46" s="56">
        <f t="shared" si="3"/>
        <v>25</v>
      </c>
      <c r="K46" s="56">
        <f>if(IsNA(vlookup(C46,'May Att'!$I$2:$J$76,2,0)),0,vlookup(C46,'May Att'!$I$2:$J$76,2,0))</f>
        <v>0</v>
      </c>
      <c r="L46" s="60">
        <f t="shared" si="6"/>
        <v>25</v>
      </c>
    </row>
    <row r="47">
      <c r="A47" s="61" t="s">
        <v>407</v>
      </c>
      <c r="B47" s="61" t="s">
        <v>406</v>
      </c>
      <c r="C47" s="51" t="str">
        <f t="shared" si="1"/>
        <v>Lance Villanueva</v>
      </c>
      <c r="D47" s="49" t="s">
        <v>287</v>
      </c>
      <c r="E47" s="66">
        <v>76.0</v>
      </c>
      <c r="F47" s="18">
        <v>15.0</v>
      </c>
      <c r="G47" s="56" t="str">
        <f t="shared" si="2"/>
        <v>Lance Villanueva May Attendance - 0 sessions</v>
      </c>
      <c r="H47" s="26" t="s">
        <v>357</v>
      </c>
      <c r="I47" s="18">
        <v>1.0</v>
      </c>
      <c r="J47" s="56">
        <f t="shared" si="3"/>
        <v>25</v>
      </c>
      <c r="K47" s="56">
        <f>if(IsNA(vlookup(C47,'May Att'!$I$2:$J$76,2,0)),0,vlookup(C47,'May Att'!$I$2:$J$76,2,0))</f>
        <v>0</v>
      </c>
      <c r="L47" s="60">
        <f t="shared" si="6"/>
        <v>25</v>
      </c>
    </row>
    <row r="48">
      <c r="A48" s="49" t="s">
        <v>398</v>
      </c>
      <c r="B48" s="49" t="s">
        <v>399</v>
      </c>
      <c r="C48" s="51" t="str">
        <f t="shared" si="1"/>
        <v>Wilfred Tupaz</v>
      </c>
      <c r="D48" s="49" t="s">
        <v>229</v>
      </c>
      <c r="E48" s="53">
        <f>vlookup(D48,'Invoice ClientIds'!$B$2:$D$100,3,0)</f>
        <v>59</v>
      </c>
      <c r="F48" s="18">
        <v>15.0</v>
      </c>
      <c r="G48" s="56" t="str">
        <f t="shared" si="2"/>
        <v>Wilfred Tupaz May Attendance - 2 sessions</v>
      </c>
      <c r="H48" s="26" t="s">
        <v>348</v>
      </c>
      <c r="I48" s="18">
        <v>1.0</v>
      </c>
      <c r="J48" s="56">
        <f t="shared" si="3"/>
        <v>25</v>
      </c>
      <c r="K48" s="56">
        <f>if(IsNA(vlookup(C48,'May Att'!$I$2:$J$76,2,0)),0,vlookup(C48,'May Att'!$I$2:$J$76,2,0))</f>
        <v>2</v>
      </c>
      <c r="L48" s="60">
        <f t="shared" si="6"/>
        <v>25</v>
      </c>
    </row>
    <row r="49">
      <c r="E49" s="69"/>
    </row>
    <row r="50">
      <c r="A50" s="49" t="s">
        <v>242</v>
      </c>
      <c r="B50" s="49" t="s">
        <v>244</v>
      </c>
      <c r="C50" s="51" t="str">
        <f t="shared" ref="C50:C57" si="7">CONCATENATE(A50, " ",B50)</f>
        <v>Mark Dasco</v>
      </c>
      <c r="D50" s="49" t="s">
        <v>98</v>
      </c>
      <c r="E50" s="53" t="str">
        <f>vlookup(D50,'Invoice ClientIds'!$B$2:$D$100,3,0)</f>
        <v>21</v>
      </c>
      <c r="F50" s="18">
        <v>15.0</v>
      </c>
      <c r="G50" s="70" t="s">
        <v>633</v>
      </c>
      <c r="H50" s="71" t="s">
        <v>441</v>
      </c>
      <c r="I50" s="70">
        <v>7.0</v>
      </c>
      <c r="J50" s="70">
        <v>15.0</v>
      </c>
      <c r="K50" s="70"/>
      <c r="L50" s="60">
        <f t="shared" ref="L50:L57" si="8">I50*J50</f>
        <v>105</v>
      </c>
    </row>
    <row r="51">
      <c r="A51" s="49" t="s">
        <v>242</v>
      </c>
      <c r="B51" s="49" t="s">
        <v>244</v>
      </c>
      <c r="C51" s="51" t="str">
        <f t="shared" si="7"/>
        <v>Mark Dasco</v>
      </c>
      <c r="D51" s="49" t="s">
        <v>98</v>
      </c>
      <c r="E51" s="53" t="str">
        <f>vlookup(D51,'Invoice ClientIds'!$B$2:$D$100,3,0)</f>
        <v>21</v>
      </c>
      <c r="F51" s="18">
        <v>15.0</v>
      </c>
      <c r="G51" s="70" t="s">
        <v>634</v>
      </c>
      <c r="H51" s="71" t="s">
        <v>441</v>
      </c>
      <c r="I51" s="70">
        <v>6.0</v>
      </c>
      <c r="J51" s="70">
        <v>15.0</v>
      </c>
      <c r="K51" s="70"/>
      <c r="L51" s="60">
        <f t="shared" si="8"/>
        <v>90</v>
      </c>
    </row>
    <row r="52">
      <c r="A52" s="49" t="s">
        <v>242</v>
      </c>
      <c r="B52" s="49" t="s">
        <v>244</v>
      </c>
      <c r="C52" s="51" t="str">
        <f t="shared" si="7"/>
        <v>Mark Dasco</v>
      </c>
      <c r="D52" s="49" t="s">
        <v>98</v>
      </c>
      <c r="E52" s="53" t="str">
        <f>vlookup(D52,'Invoice ClientIds'!$B$2:$D$100,3,0)</f>
        <v>21</v>
      </c>
      <c r="F52" s="18">
        <v>15.0</v>
      </c>
      <c r="G52" s="70" t="s">
        <v>635</v>
      </c>
      <c r="H52" s="71" t="s">
        <v>441</v>
      </c>
      <c r="I52" s="70"/>
      <c r="J52" s="70">
        <v>15.0</v>
      </c>
      <c r="K52" s="70"/>
      <c r="L52" s="60">
        <f t="shared" si="8"/>
        <v>0</v>
      </c>
    </row>
    <row r="53">
      <c r="A53" s="49" t="s">
        <v>242</v>
      </c>
      <c r="B53" s="49" t="s">
        <v>244</v>
      </c>
      <c r="C53" s="51" t="str">
        <f t="shared" si="7"/>
        <v>Mark Dasco</v>
      </c>
      <c r="D53" s="49" t="s">
        <v>98</v>
      </c>
      <c r="E53" s="53" t="str">
        <f>vlookup(D53,'Invoice ClientIds'!$B$2:$D$100,3,0)</f>
        <v>21</v>
      </c>
      <c r="F53" s="18">
        <v>15.0</v>
      </c>
      <c r="G53" s="70" t="s">
        <v>636</v>
      </c>
      <c r="H53" s="71" t="s">
        <v>441</v>
      </c>
      <c r="I53" s="70"/>
      <c r="J53" s="70">
        <v>15.0</v>
      </c>
      <c r="K53" s="70"/>
      <c r="L53" s="60">
        <f t="shared" si="8"/>
        <v>0</v>
      </c>
    </row>
    <row r="54">
      <c r="A54" s="49" t="s">
        <v>242</v>
      </c>
      <c r="B54" s="49" t="s">
        <v>244</v>
      </c>
      <c r="C54" s="51" t="str">
        <f t="shared" si="7"/>
        <v>Mark Dasco</v>
      </c>
      <c r="D54" s="49" t="s">
        <v>98</v>
      </c>
      <c r="E54" s="53" t="str">
        <f>vlookup(D54,'Invoice ClientIds'!$B$2:$D$100,3,0)</f>
        <v>21</v>
      </c>
      <c r="F54" s="18">
        <v>15.0</v>
      </c>
      <c r="G54" s="70" t="s">
        <v>633</v>
      </c>
      <c r="H54" s="71" t="s">
        <v>446</v>
      </c>
      <c r="I54" s="70">
        <v>0.0</v>
      </c>
      <c r="J54" s="70">
        <v>10.0</v>
      </c>
      <c r="K54" s="70"/>
      <c r="L54" s="60">
        <f t="shared" si="8"/>
        <v>0</v>
      </c>
    </row>
    <row r="55">
      <c r="A55" s="49" t="s">
        <v>242</v>
      </c>
      <c r="B55" s="49" t="s">
        <v>244</v>
      </c>
      <c r="C55" s="51" t="str">
        <f t="shared" si="7"/>
        <v>Mark Dasco</v>
      </c>
      <c r="D55" s="49" t="s">
        <v>98</v>
      </c>
      <c r="E55" s="53" t="str">
        <f>vlookup(D55,'Invoice ClientIds'!$B$2:$D$100,3,0)</f>
        <v>21</v>
      </c>
      <c r="F55" s="18">
        <v>15.0</v>
      </c>
      <c r="G55" s="70" t="s">
        <v>634</v>
      </c>
      <c r="H55" s="71" t="s">
        <v>446</v>
      </c>
      <c r="I55" s="70">
        <v>1.0</v>
      </c>
      <c r="J55" s="70">
        <v>10.0</v>
      </c>
      <c r="K55" s="70"/>
      <c r="L55" s="60">
        <f t="shared" si="8"/>
        <v>10</v>
      </c>
    </row>
    <row r="56">
      <c r="A56" s="49" t="s">
        <v>242</v>
      </c>
      <c r="B56" s="49" t="s">
        <v>244</v>
      </c>
      <c r="C56" s="51" t="str">
        <f t="shared" si="7"/>
        <v>Mark Dasco</v>
      </c>
      <c r="D56" s="49" t="s">
        <v>98</v>
      </c>
      <c r="E56" s="53" t="str">
        <f>vlookup(D56,'Invoice ClientIds'!$B$2:$D$100,3,0)</f>
        <v>21</v>
      </c>
      <c r="F56" s="18">
        <v>15.0</v>
      </c>
      <c r="G56" s="70" t="s">
        <v>635</v>
      </c>
      <c r="H56" s="71" t="s">
        <v>446</v>
      </c>
      <c r="I56" s="70"/>
      <c r="J56" s="70">
        <v>10.0</v>
      </c>
      <c r="K56" s="70"/>
      <c r="L56" s="60">
        <f t="shared" si="8"/>
        <v>0</v>
      </c>
    </row>
    <row r="57">
      <c r="A57" s="49" t="s">
        <v>242</v>
      </c>
      <c r="B57" s="49" t="s">
        <v>244</v>
      </c>
      <c r="C57" s="51" t="str">
        <f t="shared" si="7"/>
        <v>Mark Dasco</v>
      </c>
      <c r="D57" s="49" t="s">
        <v>98</v>
      </c>
      <c r="E57" s="53" t="str">
        <f>vlookup(D57,'Invoice ClientIds'!$B$2:$D$100,3,0)</f>
        <v>21</v>
      </c>
      <c r="F57" s="18">
        <v>15.0</v>
      </c>
      <c r="G57" s="70" t="s">
        <v>636</v>
      </c>
      <c r="H57" s="71" t="s">
        <v>446</v>
      </c>
      <c r="I57" s="70"/>
      <c r="J57" s="70">
        <v>10.0</v>
      </c>
      <c r="K57" s="70"/>
      <c r="L57" s="60">
        <f t="shared" si="8"/>
        <v>0</v>
      </c>
    </row>
    <row r="58">
      <c r="A58" s="61"/>
      <c r="B58" s="61"/>
      <c r="C58" s="51"/>
      <c r="D58" s="49"/>
      <c r="E58" s="66"/>
      <c r="F58" s="18"/>
      <c r="G58" s="70"/>
      <c r="H58" s="71"/>
      <c r="I58" s="70"/>
      <c r="J58" s="70"/>
      <c r="K58" s="70"/>
      <c r="L58" s="60"/>
    </row>
    <row r="59">
      <c r="A59" s="61" t="s">
        <v>152</v>
      </c>
      <c r="B59" s="61" t="s">
        <v>153</v>
      </c>
      <c r="C59" s="51" t="str">
        <f t="shared" ref="C59:C61" si="9">CONCATENATE(A59, " ",B59)</f>
        <v>Gloria Araullo</v>
      </c>
      <c r="D59" s="49" t="s">
        <v>67</v>
      </c>
      <c r="E59" s="66">
        <v>12.0</v>
      </c>
      <c r="F59" s="18">
        <v>15.0</v>
      </c>
      <c r="G59" s="70" t="s">
        <v>637</v>
      </c>
      <c r="H59" s="71" t="s">
        <v>441</v>
      </c>
      <c r="I59" s="70">
        <v>1.0</v>
      </c>
      <c r="J59" s="70">
        <v>15.0</v>
      </c>
      <c r="K59" s="70"/>
      <c r="L59" s="60">
        <f t="shared" ref="L59:L61" si="10">I59*J59</f>
        <v>15</v>
      </c>
    </row>
    <row r="60">
      <c r="A60" s="61" t="s">
        <v>152</v>
      </c>
      <c r="B60" s="61" t="s">
        <v>153</v>
      </c>
      <c r="C60" s="51" t="str">
        <f t="shared" si="9"/>
        <v>Gloria Araullo</v>
      </c>
      <c r="D60" s="49" t="s">
        <v>67</v>
      </c>
      <c r="E60" s="66">
        <v>12.0</v>
      </c>
      <c r="F60" s="18">
        <v>15.0</v>
      </c>
      <c r="G60" s="70" t="s">
        <v>638</v>
      </c>
      <c r="H60" s="71" t="s">
        <v>446</v>
      </c>
      <c r="I60" s="70">
        <v>1.0</v>
      </c>
      <c r="J60" s="70">
        <v>10.0</v>
      </c>
      <c r="K60" s="70"/>
      <c r="L60" s="60">
        <f t="shared" si="10"/>
        <v>10</v>
      </c>
    </row>
    <row r="61">
      <c r="A61" s="61" t="s">
        <v>152</v>
      </c>
      <c r="B61" s="61" t="s">
        <v>153</v>
      </c>
      <c r="C61" s="51" t="str">
        <f t="shared" si="9"/>
        <v>Gloria Araullo</v>
      </c>
      <c r="D61" s="49" t="s">
        <v>67</v>
      </c>
      <c r="E61" s="66">
        <v>12.0</v>
      </c>
      <c r="F61" s="18">
        <v>15.0</v>
      </c>
      <c r="G61" s="70" t="s">
        <v>639</v>
      </c>
      <c r="H61" s="71" t="s">
        <v>441</v>
      </c>
      <c r="I61" s="70">
        <v>1.0</v>
      </c>
      <c r="J61" s="70">
        <v>15.0</v>
      </c>
      <c r="K61" s="70"/>
      <c r="L61" s="60">
        <f t="shared" si="10"/>
        <v>15</v>
      </c>
    </row>
    <row r="62">
      <c r="A62" s="61"/>
      <c r="B62" s="61"/>
      <c r="C62" s="51"/>
      <c r="D62" s="49"/>
      <c r="E62" s="66"/>
      <c r="F62" s="27"/>
      <c r="G62" s="70"/>
      <c r="H62" s="71"/>
      <c r="I62" s="70"/>
      <c r="J62" s="70"/>
      <c r="K62" s="70"/>
      <c r="L62" s="60"/>
    </row>
    <row r="63">
      <c r="A63" s="61"/>
      <c r="B63" s="61"/>
      <c r="C63" s="51"/>
      <c r="D63" s="49"/>
      <c r="E63" s="66"/>
      <c r="F63" s="27"/>
      <c r="G63" s="70"/>
      <c r="H63" s="71"/>
      <c r="I63" s="70"/>
      <c r="J63" s="70"/>
      <c r="K63" s="70"/>
      <c r="L63" s="60"/>
    </row>
    <row r="64">
      <c r="A64" s="61"/>
      <c r="B64" s="61"/>
      <c r="C64" s="51"/>
      <c r="D64" s="49"/>
      <c r="E64" s="66"/>
      <c r="F64" s="27"/>
      <c r="G64" s="70"/>
      <c r="H64" s="71"/>
      <c r="I64" s="70"/>
      <c r="J64" s="70"/>
      <c r="K64" s="70"/>
      <c r="L64" s="60"/>
    </row>
    <row r="65">
      <c r="A65" s="49"/>
      <c r="B65" s="49"/>
      <c r="C65" s="51"/>
      <c r="D65" s="49"/>
      <c r="E65" s="53"/>
      <c r="F65" s="18"/>
      <c r="G65" s="70"/>
      <c r="H65" s="71"/>
      <c r="I65" s="70"/>
      <c r="J65" s="70"/>
      <c r="K65" s="70"/>
      <c r="L65" s="60"/>
    </row>
    <row r="66">
      <c r="A66" s="61" t="s">
        <v>316</v>
      </c>
      <c r="B66" s="61" t="s">
        <v>317</v>
      </c>
      <c r="C66" s="51" t="str">
        <f t="shared" ref="C66:C67" si="11">CONCATENATE(A66, " ",B66)</f>
        <v>Rohith Krishna</v>
      </c>
      <c r="D66" s="61" t="s">
        <v>304</v>
      </c>
      <c r="E66" s="53" t="str">
        <f>vlookup(D66,'Invoice ClientIds'!$B$2:$D$100,3,0)</f>
        <v>5d744242-e398-4705-b209-5c1d3de276bd</v>
      </c>
      <c r="F66" s="18">
        <v>15.0</v>
      </c>
      <c r="G66" s="70" t="s">
        <v>606</v>
      </c>
      <c r="H66" s="71" t="s">
        <v>450</v>
      </c>
      <c r="I66" s="70">
        <v>1.0</v>
      </c>
      <c r="J66" s="70">
        <v>-25.0</v>
      </c>
      <c r="K66" s="70"/>
      <c r="L66" s="60">
        <f t="shared" ref="L66:L67" si="12">I66*J66</f>
        <v>-25</v>
      </c>
    </row>
    <row r="67">
      <c r="A67" s="61" t="s">
        <v>60</v>
      </c>
      <c r="B67" s="61" t="s">
        <v>18</v>
      </c>
      <c r="C67" s="51" t="str">
        <f t="shared" si="11"/>
        <v>Kim Adriano</v>
      </c>
      <c r="D67" s="49" t="s">
        <v>20</v>
      </c>
      <c r="E67" s="53" t="str">
        <f>vlookup(D67,'Invoice ClientIds'!$B$2:$D$100,3,0)</f>
        <v>8</v>
      </c>
      <c r="F67" s="18">
        <v>15.0</v>
      </c>
      <c r="G67" s="70" t="s">
        <v>467</v>
      </c>
      <c r="H67" s="71" t="s">
        <v>450</v>
      </c>
      <c r="I67" s="70">
        <v>1.0</v>
      </c>
      <c r="J67" s="70">
        <v>-25.0</v>
      </c>
      <c r="K67" s="70"/>
      <c r="L67" s="60">
        <f t="shared" si="12"/>
        <v>-25</v>
      </c>
    </row>
    <row r="68">
      <c r="E68" s="69"/>
      <c r="I68" s="5"/>
    </row>
    <row r="69">
      <c r="A69" s="61" t="s">
        <v>316</v>
      </c>
      <c r="B69" s="61" t="s">
        <v>317</v>
      </c>
      <c r="C69" s="51" t="str">
        <f t="shared" ref="C69:C70" si="13">CONCATENATE(A69, " ",B69)</f>
        <v>Rohith Krishna</v>
      </c>
      <c r="D69" s="61" t="s">
        <v>304</v>
      </c>
      <c r="E69" s="53" t="str">
        <f>vlookup(D69,'Invoice ClientIds'!$B$2:$D$100,3,0)</f>
        <v>5d744242-e398-4705-b209-5c1d3de276bd</v>
      </c>
      <c r="F69" s="18">
        <v>15.0</v>
      </c>
      <c r="G69" s="70" t="s">
        <v>608</v>
      </c>
      <c r="H69" s="72" t="s">
        <v>458</v>
      </c>
      <c r="I69" s="27">
        <v>1.0</v>
      </c>
      <c r="J69" s="27">
        <v>50.0</v>
      </c>
      <c r="K69" s="18"/>
      <c r="L69" s="60">
        <f t="shared" ref="L69:L70" si="14">I69*J69</f>
        <v>50</v>
      </c>
    </row>
    <row r="70">
      <c r="A70" s="49" t="s">
        <v>135</v>
      </c>
      <c r="B70" s="49" t="s">
        <v>99</v>
      </c>
      <c r="C70" s="51" t="str">
        <f t="shared" si="13"/>
        <v>Ruth Almazan</v>
      </c>
      <c r="D70" s="49" t="s">
        <v>104</v>
      </c>
      <c r="E70" s="53" t="str">
        <f>vlookup(D70,'Invoice ClientIds'!$B$2:$D$100,3,0)</f>
        <v>33</v>
      </c>
      <c r="F70" s="18">
        <v>15.0</v>
      </c>
      <c r="G70" s="70" t="s">
        <v>609</v>
      </c>
      <c r="H70" s="72" t="s">
        <v>458</v>
      </c>
      <c r="I70" s="27">
        <v>1.0</v>
      </c>
      <c r="J70" s="27">
        <f>130-50</f>
        <v>80</v>
      </c>
      <c r="K70" s="18"/>
      <c r="L70" s="60">
        <f t="shared" si="14"/>
        <v>80</v>
      </c>
    </row>
    <row r="71">
      <c r="A71" s="73"/>
      <c r="B71" s="73"/>
      <c r="C71" s="74"/>
      <c r="D71" s="73"/>
      <c r="E71" s="59"/>
      <c r="F71" s="50"/>
      <c r="K71" s="55"/>
      <c r="L71" s="75"/>
    </row>
    <row r="72">
      <c r="A72" s="73"/>
      <c r="B72" s="73"/>
      <c r="C72" s="74"/>
      <c r="D72" s="73"/>
      <c r="E72" s="59"/>
      <c r="F72" s="50"/>
      <c r="H72" s="76"/>
      <c r="I72" s="76" t="s">
        <v>468</v>
      </c>
      <c r="J72">
        <f>sum(J69:J71)</f>
        <v>130</v>
      </c>
      <c r="K72" s="55"/>
      <c r="L72" s="75"/>
    </row>
    <row r="73">
      <c r="A73" s="73"/>
      <c r="B73" s="73"/>
      <c r="C73" s="74"/>
      <c r="D73" s="73"/>
      <c r="E73" s="59"/>
      <c r="F73" s="50"/>
      <c r="K73" s="55"/>
      <c r="L73" s="75"/>
    </row>
    <row r="74">
      <c r="A74" s="73"/>
      <c r="B74" s="73"/>
      <c r="C74" s="74"/>
      <c r="D74" s="73"/>
      <c r="E74" s="59"/>
      <c r="F74" s="50"/>
      <c r="K74" s="55"/>
      <c r="L74" s="75">
        <f>Sum(L2:L73)</f>
        <v>1500</v>
      </c>
    </row>
    <row r="75">
      <c r="A75" s="73"/>
      <c r="B75" s="73"/>
      <c r="C75" s="74"/>
      <c r="D75" s="73"/>
      <c r="E75" s="59"/>
      <c r="F75" s="50"/>
      <c r="K75" s="55"/>
      <c r="L75" s="75"/>
    </row>
    <row r="76">
      <c r="A76" s="73"/>
      <c r="B76" s="73"/>
      <c r="C76" s="74"/>
      <c r="D76" s="73"/>
      <c r="E76" s="59"/>
      <c r="F76" s="50"/>
      <c r="K76" s="55"/>
      <c r="L76" s="7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29"/>
    <col customWidth="1" min="2" max="2" width="36.14"/>
    <col customWidth="1" min="3" max="3" width="30.71"/>
    <col customWidth="1" min="4" max="4" width="35.57"/>
    <col customWidth="1" min="5" max="5" width="33.29"/>
    <col customWidth="1" min="6" max="6" width="28.29"/>
    <col customWidth="1" min="7" max="7" width="33.29"/>
    <col customWidth="1" min="8" max="8" width="17.29"/>
    <col customWidth="1" min="9" max="9" width="35.0"/>
    <col customWidth="1" min="10" max="10" width="17.29"/>
    <col customWidth="1" min="11" max="11" width="26.14"/>
    <col customWidth="1" min="12" max="59" width="17.29"/>
  </cols>
  <sheetData>
    <row r="1">
      <c r="A1" s="45" t="s">
        <v>326</v>
      </c>
      <c r="B1" s="47" t="s">
        <v>327</v>
      </c>
      <c r="C1" s="47" t="s">
        <v>332</v>
      </c>
      <c r="D1" s="47" t="s">
        <v>334</v>
      </c>
      <c r="E1" s="47" t="s">
        <v>336</v>
      </c>
      <c r="F1" s="48" t="s">
        <v>337</v>
      </c>
      <c r="G1" s="50" t="s">
        <v>339</v>
      </c>
    </row>
    <row r="2">
      <c r="A2" s="52">
        <f>sum(B2:F2)/(COUNTIF(B2:F2,"&gt;0"))</f>
        <v>36.5</v>
      </c>
      <c r="B2" s="54">
        <f t="shared" ref="B2:F2" si="1">IFERROR(__xludf.DUMMYFUNCTION("COUNTUNIQUE(B3:B69)"),"36")</f>
        <v>36</v>
      </c>
      <c r="C2" s="54">
        <f t="shared" si="1"/>
        <v>37</v>
      </c>
      <c r="D2" s="54">
        <f t="shared" si="1"/>
        <v>0</v>
      </c>
      <c r="E2" s="54">
        <f t="shared" si="1"/>
        <v>0</v>
      </c>
      <c r="F2" s="54">
        <f t="shared" si="1"/>
        <v>0</v>
      </c>
      <c r="G2" s="55"/>
      <c r="I2" s="57"/>
      <c r="J2" s="57">
        <v>0.0</v>
      </c>
      <c r="K2" s="58"/>
      <c r="L2" s="55"/>
      <c r="M2" s="55"/>
    </row>
    <row r="3">
      <c r="G3" s="59" t="str">
        <f>IFERROR(__xludf.DUMMYFUNCTION("transpose(split(join("";"",B3:B90)&amp;join("";"",C3:C90)&amp;join("";"",D3:D90)&amp;join("";"",E3:E90)&amp;join("";"",F3:F90),"";""))"),"Dar Adriano")</f>
        <v>Dar Adriano</v>
      </c>
      <c r="I3" s="57" t="s">
        <v>302</v>
      </c>
      <c r="J3" s="57">
        <v>2.0</v>
      </c>
      <c r="K3" s="58"/>
    </row>
    <row r="4">
      <c r="B4" s="62" t="str">
        <f>IFERROR(__xludf.DUMMYFUNCTION("if(IsBlank(Attendance!$B$21),"""",Transpose(SPLIT(Transpose(Attendance!$B$21),"", "",False)))"),"Dar Adriano")</f>
        <v>Dar Adriano</v>
      </c>
      <c r="C4" s="62" t="str">
        <f>IFERROR(__xludf.DUMMYFUNCTION("if(IsBlank(Attendance!$B$22),"""",Transpose(SPLIT(Transpose(Attendance!$B$22),"", "",False)))"),"Chez Adriano")</f>
        <v>Chez Adriano</v>
      </c>
      <c r="D4" s="86" t="str">
        <f>IFERROR(__xludf.DUMMYFUNCTION("if(IsBlank(Attendance!$B$23),"""",Transpose(SPLIT(Transpose(Attendance!$B$23),"", "",False)))"),"")</f>
        <v/>
      </c>
      <c r="E4" s="86" t="str">
        <f>IFERROR(__xludf.DUMMYFUNCTION("if(IsBlank(Attendance!$B$24),"""",Transpose(SPLIT(Transpose(Attendance!$B$24),"", "",False)))"),"")</f>
        <v/>
      </c>
      <c r="F4" s="62"/>
      <c r="G4" s="59" t="s">
        <v>403</v>
      </c>
      <c r="I4" s="57" t="s">
        <v>360</v>
      </c>
      <c r="J4" s="57">
        <v>2.0</v>
      </c>
      <c r="K4" s="58"/>
    </row>
    <row r="5">
      <c r="B5" s="59" t="s">
        <v>403</v>
      </c>
      <c r="C5" s="59" t="s">
        <v>53</v>
      </c>
      <c r="D5" s="59"/>
      <c r="E5" s="59"/>
      <c r="F5" s="59"/>
      <c r="G5" s="59" t="s">
        <v>134</v>
      </c>
      <c r="I5" s="57" t="s">
        <v>34</v>
      </c>
      <c r="J5" s="57">
        <v>1.0</v>
      </c>
      <c r="K5" s="58"/>
    </row>
    <row r="6">
      <c r="B6" s="59" t="s">
        <v>134</v>
      </c>
      <c r="C6" s="59" t="s">
        <v>365</v>
      </c>
      <c r="D6" s="59"/>
      <c r="E6" s="59"/>
      <c r="F6" s="59"/>
      <c r="G6" s="59" t="s">
        <v>68</v>
      </c>
      <c r="I6" s="57" t="s">
        <v>421</v>
      </c>
      <c r="J6" s="57">
        <v>1.0</v>
      </c>
      <c r="K6" s="58"/>
    </row>
    <row r="7">
      <c r="B7" s="59" t="s">
        <v>68</v>
      </c>
      <c r="C7" s="59" t="s">
        <v>368</v>
      </c>
      <c r="D7" s="59"/>
      <c r="E7" s="59"/>
      <c r="F7" s="59"/>
      <c r="G7" s="59" t="s">
        <v>147</v>
      </c>
      <c r="I7" s="57" t="s">
        <v>42</v>
      </c>
      <c r="J7" s="57">
        <v>1.0</v>
      </c>
      <c r="K7" s="58"/>
    </row>
    <row r="8">
      <c r="B8" s="59" t="s">
        <v>147</v>
      </c>
      <c r="C8" s="59" t="s">
        <v>403</v>
      </c>
      <c r="D8" s="59"/>
      <c r="E8" s="59"/>
      <c r="F8" s="59"/>
      <c r="G8" s="59" t="s">
        <v>373</v>
      </c>
      <c r="I8" s="57" t="s">
        <v>374</v>
      </c>
      <c r="J8" s="57">
        <v>1.0</v>
      </c>
      <c r="K8" s="58"/>
      <c r="M8" s="58"/>
    </row>
    <row r="9">
      <c r="B9" s="59" t="s">
        <v>373</v>
      </c>
      <c r="C9" s="59" t="s">
        <v>363</v>
      </c>
      <c r="D9" s="59"/>
      <c r="E9" s="59"/>
      <c r="F9" s="59"/>
      <c r="G9" s="59" t="s">
        <v>376</v>
      </c>
      <c r="I9" s="57" t="s">
        <v>381</v>
      </c>
      <c r="J9" s="57">
        <v>1.0</v>
      </c>
      <c r="K9" s="58"/>
      <c r="M9" s="58"/>
    </row>
    <row r="10">
      <c r="B10" s="59" t="s">
        <v>376</v>
      </c>
      <c r="C10" s="59" t="s">
        <v>134</v>
      </c>
      <c r="D10" s="59"/>
      <c r="E10" s="59"/>
      <c r="F10" s="59"/>
      <c r="G10" s="59" t="s">
        <v>100</v>
      </c>
      <c r="I10" s="57" t="s">
        <v>383</v>
      </c>
      <c r="J10" s="57">
        <v>1.0</v>
      </c>
      <c r="K10" s="58"/>
    </row>
    <row r="11">
      <c r="B11" s="59" t="s">
        <v>100</v>
      </c>
      <c r="C11" s="59" t="s">
        <v>68</v>
      </c>
      <c r="D11" s="59"/>
      <c r="E11" s="59"/>
      <c r="F11" s="59"/>
      <c r="G11" s="59" t="s">
        <v>78</v>
      </c>
      <c r="I11" s="57" t="s">
        <v>385</v>
      </c>
      <c r="J11" s="57">
        <v>2.0</v>
      </c>
      <c r="K11" s="58"/>
    </row>
    <row r="12">
      <c r="B12" s="59" t="s">
        <v>78</v>
      </c>
      <c r="C12" s="59" t="s">
        <v>147</v>
      </c>
      <c r="D12" s="59"/>
      <c r="E12" s="59"/>
      <c r="F12" s="59"/>
      <c r="G12" s="59" t="s">
        <v>424</v>
      </c>
      <c r="I12" s="57" t="s">
        <v>53</v>
      </c>
      <c r="J12" s="57">
        <v>2.0</v>
      </c>
      <c r="K12" s="58"/>
    </row>
    <row r="13">
      <c r="B13" s="59" t="s">
        <v>424</v>
      </c>
      <c r="C13" s="59" t="s">
        <v>100</v>
      </c>
      <c r="D13" s="59"/>
      <c r="E13" s="59"/>
      <c r="F13" s="59"/>
      <c r="G13" s="59" t="s">
        <v>294</v>
      </c>
      <c r="I13" s="57" t="s">
        <v>390</v>
      </c>
      <c r="J13" s="57">
        <v>1.0</v>
      </c>
      <c r="K13" s="58"/>
    </row>
    <row r="14">
      <c r="B14" s="59" t="s">
        <v>294</v>
      </c>
      <c r="C14" s="59" t="s">
        <v>78</v>
      </c>
      <c r="D14" s="59"/>
      <c r="E14" s="59"/>
      <c r="F14" s="59"/>
      <c r="G14" s="59" t="s">
        <v>360</v>
      </c>
      <c r="I14" s="57" t="s">
        <v>92</v>
      </c>
      <c r="J14" s="57">
        <v>2.0</v>
      </c>
      <c r="K14" s="58"/>
    </row>
    <row r="15">
      <c r="B15" s="59" t="s">
        <v>360</v>
      </c>
      <c r="C15" s="59" t="s">
        <v>424</v>
      </c>
      <c r="D15" s="59"/>
      <c r="E15" s="59"/>
      <c r="F15" s="59"/>
      <c r="G15" s="59" t="s">
        <v>386</v>
      </c>
      <c r="I15" s="57" t="s">
        <v>375</v>
      </c>
      <c r="J15" s="57">
        <v>1.0</v>
      </c>
      <c r="K15" s="58"/>
    </row>
    <row r="16">
      <c r="B16" s="59" t="s">
        <v>386</v>
      </c>
      <c r="C16" s="59" t="s">
        <v>294</v>
      </c>
      <c r="D16" s="59"/>
      <c r="E16" s="59"/>
      <c r="F16" s="59"/>
      <c r="G16" s="59" t="s">
        <v>274</v>
      </c>
      <c r="I16" s="57" t="s">
        <v>68</v>
      </c>
      <c r="J16" s="57">
        <v>2.0</v>
      </c>
      <c r="K16" s="58"/>
    </row>
    <row r="17">
      <c r="B17" s="59" t="s">
        <v>274</v>
      </c>
      <c r="C17" s="59" t="s">
        <v>360</v>
      </c>
      <c r="D17" s="59"/>
      <c r="E17" s="59"/>
      <c r="F17" s="59"/>
      <c r="G17" s="59" t="s">
        <v>302</v>
      </c>
      <c r="I17" s="57" t="s">
        <v>579</v>
      </c>
      <c r="J17" s="57">
        <v>2.0</v>
      </c>
      <c r="K17" s="58"/>
    </row>
    <row r="18">
      <c r="B18" s="59" t="s">
        <v>302</v>
      </c>
      <c r="C18" s="59" t="s">
        <v>386</v>
      </c>
      <c r="D18" s="59"/>
      <c r="E18" s="59"/>
      <c r="F18" s="59"/>
      <c r="G18" s="59" t="s">
        <v>375</v>
      </c>
      <c r="I18" s="57" t="s">
        <v>424</v>
      </c>
      <c r="J18" s="57">
        <v>2.0</v>
      </c>
      <c r="K18" s="58"/>
    </row>
    <row r="19">
      <c r="B19" s="59" t="s">
        <v>375</v>
      </c>
      <c r="C19" s="59" t="s">
        <v>274</v>
      </c>
      <c r="D19" s="59"/>
      <c r="E19" s="59"/>
      <c r="F19" s="59"/>
      <c r="G19" s="59" t="s">
        <v>144</v>
      </c>
      <c r="I19" s="57" t="s">
        <v>388</v>
      </c>
      <c r="J19" s="57">
        <v>2.0</v>
      </c>
      <c r="K19" s="58"/>
    </row>
    <row r="20">
      <c r="B20" s="59" t="s">
        <v>144</v>
      </c>
      <c r="C20" s="59" t="s">
        <v>302</v>
      </c>
      <c r="D20" s="59"/>
      <c r="E20" s="59"/>
      <c r="F20" s="59"/>
      <c r="G20" s="59" t="s">
        <v>312</v>
      </c>
      <c r="I20" s="57" t="s">
        <v>386</v>
      </c>
      <c r="J20" s="57">
        <v>2.0</v>
      </c>
      <c r="K20" s="58"/>
    </row>
    <row r="21">
      <c r="B21" s="59" t="s">
        <v>312</v>
      </c>
      <c r="C21" s="59" t="s">
        <v>374</v>
      </c>
      <c r="D21" s="59"/>
      <c r="E21" s="63"/>
      <c r="F21" s="59"/>
      <c r="G21" s="59" t="s">
        <v>388</v>
      </c>
      <c r="I21" s="57" t="s">
        <v>78</v>
      </c>
      <c r="J21" s="57">
        <v>2.0</v>
      </c>
      <c r="K21" s="58"/>
    </row>
    <row r="22">
      <c r="B22" s="59" t="s">
        <v>388</v>
      </c>
      <c r="C22" s="59" t="s">
        <v>185</v>
      </c>
      <c r="D22" s="59"/>
      <c r="E22" s="63"/>
      <c r="F22" s="59"/>
      <c r="G22" s="59" t="s">
        <v>391</v>
      </c>
      <c r="I22" s="57" t="s">
        <v>274</v>
      </c>
      <c r="J22" s="57">
        <v>2.0</v>
      </c>
      <c r="K22" s="58"/>
    </row>
    <row r="23">
      <c r="B23" s="59" t="s">
        <v>391</v>
      </c>
      <c r="C23" s="59" t="s">
        <v>312</v>
      </c>
      <c r="D23" s="59"/>
      <c r="E23" s="63"/>
      <c r="F23" s="59"/>
      <c r="G23" s="59" t="s">
        <v>89</v>
      </c>
      <c r="I23" s="57" t="s">
        <v>479</v>
      </c>
      <c r="J23" s="57">
        <v>2.0</v>
      </c>
      <c r="K23" s="58"/>
    </row>
    <row r="24">
      <c r="B24" s="59" t="s">
        <v>89</v>
      </c>
      <c r="C24" s="59" t="s">
        <v>388</v>
      </c>
      <c r="D24" s="59"/>
      <c r="E24" s="63"/>
      <c r="F24" s="59"/>
      <c r="G24" s="59" t="s">
        <v>129</v>
      </c>
      <c r="I24" s="57" t="s">
        <v>580</v>
      </c>
      <c r="J24" s="57">
        <v>1.0</v>
      </c>
      <c r="K24" s="58"/>
    </row>
    <row r="25">
      <c r="B25" s="59" t="s">
        <v>129</v>
      </c>
      <c r="C25" s="59" t="s">
        <v>391</v>
      </c>
      <c r="D25" s="59"/>
      <c r="E25" s="59"/>
      <c r="F25" s="59"/>
      <c r="G25" s="59" t="s">
        <v>42</v>
      </c>
      <c r="I25" s="57" t="s">
        <v>403</v>
      </c>
      <c r="J25" s="57">
        <v>2.0</v>
      </c>
      <c r="K25" s="58"/>
    </row>
    <row r="26">
      <c r="B26" s="63" t="s">
        <v>42</v>
      </c>
      <c r="C26" s="59" t="s">
        <v>89</v>
      </c>
      <c r="D26" s="59"/>
      <c r="E26" s="59"/>
      <c r="F26" s="59"/>
      <c r="G26" s="59" t="s">
        <v>95</v>
      </c>
      <c r="I26" s="57" t="s">
        <v>365</v>
      </c>
      <c r="J26" s="57">
        <v>1.0</v>
      </c>
      <c r="K26" s="58"/>
    </row>
    <row r="27">
      <c r="B27" t="s">
        <v>95</v>
      </c>
      <c r="C27" s="63" t="s">
        <v>129</v>
      </c>
      <c r="D27" s="63"/>
      <c r="G27" s="59" t="s">
        <v>400</v>
      </c>
      <c r="I27" s="57" t="s">
        <v>89</v>
      </c>
      <c r="J27" s="57">
        <v>2.0</v>
      </c>
      <c r="K27" s="58"/>
    </row>
    <row r="28">
      <c r="B28" s="63" t="s">
        <v>400</v>
      </c>
      <c r="C28" s="63" t="s">
        <v>297</v>
      </c>
      <c r="D28" s="63"/>
      <c r="E28" s="5"/>
      <c r="F28" s="5"/>
      <c r="G28" s="59" t="s">
        <v>92</v>
      </c>
      <c r="I28" s="57" t="s">
        <v>363</v>
      </c>
      <c r="J28" s="57">
        <v>1.0</v>
      </c>
      <c r="K28" s="58"/>
    </row>
    <row r="29">
      <c r="B29" s="5" t="s">
        <v>92</v>
      </c>
      <c r="C29" s="5" t="s">
        <v>95</v>
      </c>
      <c r="D29" s="63"/>
      <c r="E29" s="5"/>
      <c r="F29" s="5"/>
      <c r="G29" s="59" t="s">
        <v>389</v>
      </c>
      <c r="I29" s="57" t="s">
        <v>389</v>
      </c>
      <c r="J29" s="57">
        <v>2.0</v>
      </c>
      <c r="K29" s="58"/>
    </row>
    <row r="30">
      <c r="B30" s="63" t="s">
        <v>389</v>
      </c>
      <c r="C30" s="5" t="s">
        <v>400</v>
      </c>
      <c r="D30" s="63"/>
      <c r="E30" s="5"/>
      <c r="F30" s="5"/>
      <c r="G30" s="59" t="s">
        <v>381</v>
      </c>
      <c r="I30" s="57" t="s">
        <v>95</v>
      </c>
      <c r="J30" s="57">
        <v>2.0</v>
      </c>
      <c r="K30" s="58"/>
    </row>
    <row r="31">
      <c r="B31" s="63" t="s">
        <v>381</v>
      </c>
      <c r="C31" s="63" t="s">
        <v>92</v>
      </c>
      <c r="D31" s="63"/>
      <c r="E31" s="5"/>
      <c r="F31" s="5"/>
      <c r="G31" s="59" t="s">
        <v>230</v>
      </c>
      <c r="I31" s="57" t="s">
        <v>185</v>
      </c>
      <c r="J31" s="57">
        <v>1.0</v>
      </c>
      <c r="K31" s="58"/>
    </row>
    <row r="32">
      <c r="B32" s="63" t="s">
        <v>230</v>
      </c>
      <c r="C32" s="63" t="s">
        <v>389</v>
      </c>
      <c r="D32" s="63"/>
      <c r="E32" s="5"/>
      <c r="F32" s="5"/>
      <c r="G32" s="59" t="s">
        <v>409</v>
      </c>
      <c r="I32" s="57" t="s">
        <v>408</v>
      </c>
      <c r="J32" s="57">
        <v>1.0</v>
      </c>
      <c r="K32" s="58"/>
    </row>
    <row r="33">
      <c r="B33" s="5"/>
      <c r="C33" s="5" t="s">
        <v>34</v>
      </c>
      <c r="D33" s="5"/>
      <c r="E33" s="64"/>
      <c r="F33" s="5"/>
      <c r="G33" s="59" t="s">
        <v>479</v>
      </c>
      <c r="I33" s="57" t="s">
        <v>100</v>
      </c>
      <c r="J33" s="57">
        <v>2.0</v>
      </c>
      <c r="K33" s="58"/>
    </row>
    <row r="34">
      <c r="B34" s="5"/>
      <c r="C34" s="5" t="s">
        <v>230</v>
      </c>
      <c r="D34" s="63"/>
      <c r="E34" s="5"/>
      <c r="G34" s="59" t="s">
        <v>580</v>
      </c>
      <c r="I34" s="57" t="s">
        <v>391</v>
      </c>
      <c r="J34" s="57">
        <v>2.0</v>
      </c>
      <c r="K34" s="58"/>
    </row>
    <row r="35">
      <c r="B35" s="5"/>
      <c r="C35" s="5"/>
      <c r="D35" s="5"/>
      <c r="E35" s="5"/>
      <c r="F35" s="58"/>
      <c r="G35" s="59" t="s">
        <v>579</v>
      </c>
      <c r="I35" s="57" t="s">
        <v>368</v>
      </c>
      <c r="J35" s="57">
        <v>1.0</v>
      </c>
      <c r="K35" s="58"/>
    </row>
    <row r="36">
      <c r="C36" s="5"/>
      <c r="D36" s="5"/>
      <c r="E36" s="5"/>
      <c r="F36" s="58"/>
      <c r="G36" s="59" t="s">
        <v>385</v>
      </c>
      <c r="I36" s="57" t="s">
        <v>373</v>
      </c>
      <c r="J36" s="57">
        <v>1.0</v>
      </c>
      <c r="K36" s="58"/>
    </row>
    <row r="37">
      <c r="B37" s="5"/>
      <c r="C37" s="5"/>
      <c r="D37" s="5"/>
      <c r="E37" s="5"/>
      <c r="F37" s="58"/>
      <c r="G37" s="59" t="s">
        <v>421</v>
      </c>
      <c r="I37" s="57" t="s">
        <v>409</v>
      </c>
      <c r="J37" s="57">
        <v>1.0</v>
      </c>
      <c r="K37" s="58"/>
    </row>
    <row r="38">
      <c r="B38" s="5"/>
      <c r="C38" s="64"/>
      <c r="D38" s="5"/>
      <c r="E38" s="5"/>
      <c r="G38" s="59" t="s">
        <v>545</v>
      </c>
      <c r="I38" s="57" t="s">
        <v>129</v>
      </c>
      <c r="J38" s="57">
        <v>2.0</v>
      </c>
      <c r="K38" s="58"/>
    </row>
    <row r="39">
      <c r="B39" s="5"/>
      <c r="C39" s="5"/>
      <c r="D39" s="5"/>
      <c r="G39" s="59" t="s">
        <v>383</v>
      </c>
      <c r="I39" s="57" t="s">
        <v>297</v>
      </c>
      <c r="J39" s="57">
        <v>1.0</v>
      </c>
      <c r="K39" s="58"/>
    </row>
    <row r="40">
      <c r="B40" s="5"/>
      <c r="C40" s="5"/>
      <c r="D40" s="5"/>
      <c r="G40" s="59" t="s">
        <v>53</v>
      </c>
      <c r="I40" s="57" t="s">
        <v>400</v>
      </c>
      <c r="J40" s="57">
        <v>2.0</v>
      </c>
      <c r="K40" s="58"/>
    </row>
    <row r="41">
      <c r="B41" s="5"/>
      <c r="C41" s="5"/>
      <c r="D41" s="5"/>
      <c r="G41" s="59" t="s">
        <v>365</v>
      </c>
      <c r="I41" s="57" t="s">
        <v>294</v>
      </c>
      <c r="J41" s="57">
        <v>2.0</v>
      </c>
      <c r="K41" s="58"/>
    </row>
    <row r="42">
      <c r="B42" s="5"/>
      <c r="C42" s="5"/>
      <c r="D42" s="5"/>
      <c r="E42" s="5"/>
      <c r="G42" s="59" t="s">
        <v>368</v>
      </c>
      <c r="I42" s="57" t="s">
        <v>134</v>
      </c>
      <c r="J42" s="57">
        <v>2.0</v>
      </c>
      <c r="K42" s="58"/>
    </row>
    <row r="43">
      <c r="C43" s="5"/>
      <c r="E43" s="5"/>
      <c r="G43" s="59" t="s">
        <v>403</v>
      </c>
      <c r="I43" s="57" t="s">
        <v>144</v>
      </c>
      <c r="J43" s="57">
        <v>1.0</v>
      </c>
    </row>
    <row r="44">
      <c r="B44" s="5"/>
      <c r="C44" s="5"/>
      <c r="E44" s="5"/>
      <c r="G44" s="59" t="s">
        <v>363</v>
      </c>
      <c r="I44" s="57" t="s">
        <v>147</v>
      </c>
      <c r="J44" s="57">
        <v>2.0</v>
      </c>
      <c r="K44" s="58"/>
    </row>
    <row r="45">
      <c r="B45" s="5"/>
      <c r="C45" s="5"/>
      <c r="D45" s="5"/>
      <c r="E45" s="5"/>
      <c r="G45" s="59" t="s">
        <v>134</v>
      </c>
      <c r="I45" s="57" t="s">
        <v>312</v>
      </c>
      <c r="J45" s="57">
        <v>2.0</v>
      </c>
      <c r="K45" s="58"/>
    </row>
    <row r="46">
      <c r="D46" s="5"/>
      <c r="E46" s="5"/>
      <c r="G46" s="59" t="s">
        <v>68</v>
      </c>
      <c r="I46" s="57" t="s">
        <v>376</v>
      </c>
      <c r="J46" s="57">
        <v>1.0</v>
      </c>
      <c r="K46" s="58"/>
    </row>
    <row r="47">
      <c r="D47" s="5"/>
      <c r="G47" s="59" t="s">
        <v>147</v>
      </c>
      <c r="I47" s="57" t="s">
        <v>581</v>
      </c>
      <c r="J47" s="57">
        <v>1.0</v>
      </c>
      <c r="K47" s="58"/>
    </row>
    <row r="48">
      <c r="G48" s="59" t="s">
        <v>100</v>
      </c>
      <c r="I48" s="57" t="s">
        <v>230</v>
      </c>
      <c r="J48" s="57">
        <v>2.0</v>
      </c>
      <c r="K48" s="58"/>
    </row>
    <row r="49">
      <c r="G49" s="59" t="s">
        <v>78</v>
      </c>
      <c r="I49" s="57" t="s">
        <v>545</v>
      </c>
      <c r="J49" s="57">
        <v>1.0</v>
      </c>
      <c r="K49" s="58"/>
    </row>
    <row r="50">
      <c r="G50" s="59" t="s">
        <v>424</v>
      </c>
      <c r="I50" s="57"/>
      <c r="J50" s="57"/>
      <c r="K50" s="58"/>
    </row>
    <row r="51">
      <c r="G51" s="59" t="s">
        <v>294</v>
      </c>
      <c r="I51" s="57"/>
      <c r="J51" s="57"/>
      <c r="K51" s="58"/>
    </row>
    <row r="52">
      <c r="G52" s="59" t="s">
        <v>360</v>
      </c>
      <c r="I52" s="57"/>
      <c r="J52" s="57"/>
      <c r="K52" s="58"/>
    </row>
    <row r="53">
      <c r="B53" s="67" t="str">
        <f>IFERROR(__xludf.DUMMYFUNCTION("if(IsBlank(Attendance!E21),"""",transpose(split(Attendance!E21,CHAR(10),FALSE)))"),"Rams")</f>
        <v>Rams</v>
      </c>
      <c r="C53" s="67" t="str">
        <f>IFERROR(__xludf.DUMMYFUNCTION("if(IsBlank(Attendance!E22),"""",transpose(split(Attendance!E22,CHAR(10),FALSE)))"),"Marivic")</f>
        <v>Marivic</v>
      </c>
      <c r="D53" s="87" t="str">
        <f>IFERROR(__xludf.DUMMYFUNCTION("if(IsBlank(Attendance!E23),"""",transpose(split(Attendance!E23,CHAR(10),FALSE)))"),"")</f>
        <v/>
      </c>
      <c r="E53" s="88" t="str">
        <f>IFERROR(__xludf.DUMMYFUNCTION("if(IsBlank(Attendance!E24),"""",transpose(split(Attendance!E24,CHAR(10),FALSE)))"),"")</f>
        <v/>
      </c>
      <c r="F53" s="67" t="str">
        <f>IFERROR(__xludf.DUMMYFUNCTION("if(IsBlank(Attendance!E26),"""",transpose(split(Attendance!E26,CHAR(10),FALSE)))"),"")</f>
        <v/>
      </c>
      <c r="G53" s="59" t="s">
        <v>386</v>
      </c>
      <c r="I53" s="57"/>
      <c r="J53" s="57"/>
      <c r="K53" s="58"/>
    </row>
    <row r="54">
      <c r="B54" t="s">
        <v>479</v>
      </c>
      <c r="C54" t="s">
        <v>390</v>
      </c>
      <c r="G54" s="59" t="s">
        <v>274</v>
      </c>
      <c r="I54" s="57"/>
      <c r="J54" s="57"/>
      <c r="K54" s="58"/>
    </row>
    <row r="55">
      <c r="B55" t="s">
        <v>580</v>
      </c>
      <c r="C55" t="s">
        <v>479</v>
      </c>
      <c r="G55" s="59" t="s">
        <v>302</v>
      </c>
      <c r="I55" s="57"/>
      <c r="J55" s="57"/>
      <c r="K55" s="58"/>
    </row>
    <row r="56">
      <c r="B56" t="s">
        <v>579</v>
      </c>
      <c r="C56" t="s">
        <v>385</v>
      </c>
      <c r="G56" s="59" t="s">
        <v>374</v>
      </c>
      <c r="I56" s="57"/>
      <c r="J56" s="57"/>
      <c r="K56" s="58"/>
    </row>
    <row r="57">
      <c r="B57" t="s">
        <v>385</v>
      </c>
      <c r="C57" t="s">
        <v>581</v>
      </c>
      <c r="G57" s="59" t="s">
        <v>185</v>
      </c>
      <c r="I57" s="58"/>
      <c r="J57" s="58"/>
      <c r="K57" s="58"/>
    </row>
    <row r="58">
      <c r="B58" t="s">
        <v>421</v>
      </c>
      <c r="C58" t="s">
        <v>579</v>
      </c>
      <c r="D58" s="5"/>
      <c r="G58" s="59" t="s">
        <v>312</v>
      </c>
      <c r="I58" s="58"/>
      <c r="J58" s="58"/>
      <c r="K58" s="58"/>
    </row>
    <row r="59">
      <c r="B59" t="s">
        <v>545</v>
      </c>
      <c r="G59" s="59" t="s">
        <v>388</v>
      </c>
      <c r="I59" s="58"/>
      <c r="J59" s="58"/>
      <c r="K59" s="58"/>
    </row>
    <row r="60">
      <c r="G60" s="59" t="s">
        <v>391</v>
      </c>
      <c r="I60" s="58"/>
      <c r="J60" s="58"/>
      <c r="K60" s="58"/>
    </row>
    <row r="61">
      <c r="G61" s="59" t="s">
        <v>89</v>
      </c>
      <c r="I61" s="58"/>
      <c r="J61" s="58"/>
      <c r="K61" s="58"/>
    </row>
    <row r="62">
      <c r="G62" s="59" t="s">
        <v>129</v>
      </c>
      <c r="I62" s="58"/>
      <c r="J62" s="58"/>
      <c r="K62" s="58"/>
    </row>
    <row r="63">
      <c r="G63" s="59" t="s">
        <v>297</v>
      </c>
      <c r="I63" s="58"/>
      <c r="J63" s="58"/>
      <c r="K63" s="58"/>
    </row>
    <row r="64">
      <c r="G64" s="59" t="s">
        <v>95</v>
      </c>
      <c r="I64" s="58"/>
      <c r="J64" s="58"/>
      <c r="K64" s="58"/>
    </row>
    <row r="65">
      <c r="G65" s="59" t="s">
        <v>400</v>
      </c>
      <c r="I65" s="58"/>
      <c r="J65" s="58"/>
      <c r="K65" s="58"/>
    </row>
    <row r="66">
      <c r="G66" s="59" t="s">
        <v>92</v>
      </c>
      <c r="I66" s="58"/>
      <c r="J66" s="58"/>
      <c r="K66" s="58"/>
    </row>
    <row r="67">
      <c r="G67" s="59" t="s">
        <v>389</v>
      </c>
      <c r="I67" s="58"/>
      <c r="J67" s="58"/>
      <c r="K67" s="58"/>
    </row>
    <row r="68">
      <c r="G68" s="59" t="s">
        <v>34</v>
      </c>
      <c r="I68" s="58"/>
      <c r="J68" s="58"/>
      <c r="K68" s="58"/>
    </row>
    <row r="69">
      <c r="G69" s="59" t="s">
        <v>230</v>
      </c>
      <c r="I69" s="58"/>
      <c r="J69" s="58"/>
      <c r="K69" s="58"/>
    </row>
    <row r="70">
      <c r="G70" s="59" t="s">
        <v>408</v>
      </c>
      <c r="I70" s="58"/>
      <c r="J70" s="58"/>
      <c r="K70" s="58"/>
    </row>
    <row r="71">
      <c r="G71" s="59" t="s">
        <v>390</v>
      </c>
      <c r="I71" s="58"/>
      <c r="J71" s="58"/>
      <c r="K71" s="58"/>
    </row>
    <row r="72">
      <c r="G72" s="59" t="s">
        <v>479</v>
      </c>
    </row>
    <row r="73">
      <c r="G73" s="59" t="s">
        <v>385</v>
      </c>
    </row>
    <row r="74">
      <c r="G74" s="59" t="s">
        <v>581</v>
      </c>
    </row>
    <row r="75">
      <c r="G75" s="59" t="s">
        <v>579</v>
      </c>
    </row>
    <row r="76">
      <c r="G76" s="59"/>
    </row>
    <row r="77">
      <c r="G77" s="59"/>
    </row>
    <row r="78">
      <c r="G78" s="59"/>
    </row>
    <row r="79">
      <c r="G79" s="59"/>
    </row>
    <row r="80">
      <c r="G80" s="59"/>
    </row>
    <row r="81">
      <c r="G81" s="59"/>
    </row>
    <row r="82">
      <c r="G82" s="59"/>
    </row>
    <row r="83">
      <c r="G83" s="59"/>
    </row>
    <row r="84">
      <c r="G84" s="59"/>
    </row>
    <row r="85">
      <c r="G85" s="59"/>
    </row>
    <row r="86">
      <c r="G86" s="59"/>
    </row>
    <row r="87">
      <c r="G87" s="59"/>
    </row>
    <row r="88">
      <c r="G88" s="59"/>
    </row>
    <row r="89">
      <c r="G89" s="59"/>
    </row>
    <row r="90">
      <c r="G90" s="59"/>
    </row>
    <row r="91">
      <c r="G91" s="59"/>
    </row>
    <row r="92">
      <c r="G92" s="59"/>
    </row>
    <row r="93">
      <c r="G93" s="59"/>
    </row>
    <row r="94">
      <c r="G94" s="59"/>
    </row>
    <row r="95">
      <c r="G95" s="59"/>
    </row>
    <row r="96">
      <c r="G96" s="59"/>
    </row>
    <row r="97">
      <c r="G97" s="59"/>
    </row>
    <row r="98">
      <c r="G98" s="59"/>
    </row>
    <row r="99">
      <c r="G99" s="59"/>
    </row>
    <row r="100">
      <c r="G100" s="59"/>
    </row>
    <row r="101">
      <c r="G101" s="59"/>
    </row>
    <row r="102">
      <c r="G102" s="59"/>
    </row>
    <row r="103">
      <c r="G103" s="59"/>
    </row>
    <row r="104">
      <c r="G104" s="59"/>
    </row>
    <row r="105">
      <c r="G105" s="59"/>
    </row>
    <row r="106">
      <c r="G106" s="59"/>
    </row>
    <row r="107">
      <c r="G107" s="59"/>
    </row>
    <row r="108">
      <c r="G108" s="59"/>
    </row>
    <row r="109">
      <c r="G109" s="59"/>
    </row>
    <row r="110">
      <c r="G110" s="59"/>
    </row>
    <row r="111">
      <c r="G111" s="59"/>
    </row>
    <row r="112">
      <c r="G112" s="59"/>
    </row>
    <row r="113">
      <c r="G113" s="59"/>
    </row>
    <row r="114">
      <c r="G114" s="59"/>
    </row>
    <row r="115">
      <c r="G115" s="59"/>
    </row>
    <row r="116">
      <c r="G116" s="59"/>
    </row>
    <row r="117">
      <c r="G117" s="59"/>
    </row>
    <row r="118">
      <c r="G118" s="59"/>
    </row>
    <row r="119">
      <c r="G119" s="59"/>
    </row>
    <row r="120">
      <c r="G120" s="59"/>
    </row>
    <row r="121">
      <c r="G121" s="59"/>
    </row>
    <row r="122">
      <c r="G122" s="59"/>
    </row>
    <row r="123">
      <c r="G123" s="59"/>
    </row>
    <row r="124">
      <c r="G124" s="59"/>
    </row>
    <row r="125">
      <c r="G125" s="59"/>
    </row>
    <row r="126">
      <c r="G126" s="59"/>
    </row>
    <row r="127">
      <c r="G127" s="59"/>
    </row>
    <row r="128">
      <c r="G128" s="59"/>
    </row>
    <row r="129">
      <c r="G129" s="59"/>
    </row>
    <row r="130">
      <c r="G130" s="59"/>
    </row>
    <row r="131">
      <c r="G131" s="59"/>
    </row>
    <row r="132">
      <c r="G132" s="59"/>
    </row>
    <row r="133">
      <c r="G133" s="59"/>
    </row>
    <row r="134">
      <c r="G134" s="59"/>
    </row>
    <row r="135">
      <c r="G135" s="5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8.29"/>
  </cols>
  <sheetData>
    <row r="1">
      <c r="B1" s="89" t="s">
        <v>588</v>
      </c>
      <c r="C1" s="76" t="s">
        <v>590</v>
      </c>
      <c r="D1" s="76" t="s">
        <v>591</v>
      </c>
      <c r="E1" s="76" t="s">
        <v>592</v>
      </c>
      <c r="F1" s="76" t="s">
        <v>594</v>
      </c>
      <c r="G1" s="76" t="s">
        <v>593</v>
      </c>
      <c r="H1" s="76" t="s">
        <v>596</v>
      </c>
      <c r="I1" s="76" t="s">
        <v>597</v>
      </c>
      <c r="J1" s="76" t="s">
        <v>598</v>
      </c>
      <c r="K1" s="76" t="s">
        <v>599</v>
      </c>
      <c r="L1" s="76" t="s">
        <v>600</v>
      </c>
      <c r="M1" s="76" t="s">
        <v>601</v>
      </c>
    </row>
    <row r="2">
      <c r="A2" s="76" t="s">
        <v>602</v>
      </c>
    </row>
    <row r="3">
      <c r="A3" s="5" t="s">
        <v>604</v>
      </c>
      <c r="B3" s="17">
        <f>SUMIF(Jan!$H$2:$H$47,"M",Jan!$L$2:$L$47)</f>
        <v>1060</v>
      </c>
      <c r="C3" s="17">
        <f>SUMIF(Feb!$H$2:$H$100,"M",Feb!$L$2:$L$100)</f>
        <v>1310</v>
      </c>
      <c r="D3" s="17">
        <f>SUMIF(Mar!$H$2:$H$102,"M",Mar!$L$2:$L$100)</f>
        <v>1280</v>
      </c>
      <c r="E3" s="17">
        <f>SUMIF(Apr!$H$2:$H$99,"M",Apr!$L$2:$L$97)</f>
        <v>1235</v>
      </c>
      <c r="F3" s="17">
        <f>SUMIF(May!$H$2:$H$100,"M",May!$L$2:$L$98)</f>
        <v>950</v>
      </c>
    </row>
    <row r="4">
      <c r="A4" s="5" t="s">
        <v>607</v>
      </c>
      <c r="B4" s="90">
        <f>SUMIF(Jan!$H$2:$H$68,"J",Jan!$L$2:$L$68)</f>
        <v>225</v>
      </c>
      <c r="C4" s="90">
        <f>SUMIF(Feb!$H$2:$H$100,"J",Feb!$L$2:$L$100)</f>
        <v>225</v>
      </c>
      <c r="D4" s="17">
        <f>SUMIF(Mar!$H$2:$H$102,"J",Mar!$L$2:$L$100)</f>
        <v>225</v>
      </c>
      <c r="E4" s="17">
        <f>SUMIF(Apr!$H$2:$H$99,"J",Apr!$L$2:$L$97)</f>
        <v>225</v>
      </c>
      <c r="F4" s="17">
        <f>SUMIF(May!$H$2:$H$100,"J",May!$L$2:$L$98)</f>
        <v>225</v>
      </c>
    </row>
    <row r="5">
      <c r="A5" s="5" t="s">
        <v>610</v>
      </c>
      <c r="B5" s="90">
        <f>SUMIF(Jan!$H$2:$H$68,"AG",Jan!$L$2:$L$68)</f>
        <v>345</v>
      </c>
      <c r="C5" s="90">
        <f>SUMIF(Feb!$H$2:$H$100,"AG",Feb!$L$2:$L$100)</f>
        <v>375</v>
      </c>
      <c r="D5" s="90">
        <f>SUMIF(Mar!$H$2:$H$102,"AG",Mar!$L$2:$L$102)</f>
        <v>360</v>
      </c>
      <c r="E5" s="90">
        <f>SUMIF(Apr!$H$2:$H$99,"AG",Apr!$L$2:$L$99)</f>
        <v>480</v>
      </c>
      <c r="F5" s="90">
        <f>SUMIF(May!$H$2:$H$100,"AG",May!$L$2:$L$100)</f>
        <v>225</v>
      </c>
    </row>
    <row r="6">
      <c r="A6" s="5" t="s">
        <v>611</v>
      </c>
      <c r="B6" s="90">
        <f>SUMIF(Jan!$H$2:$H$68,"JG",Jan!$L$2:$L$68)</f>
        <v>30</v>
      </c>
      <c r="C6" s="90">
        <f>SUMIF(Feb!$H$2:$H$100,"JG",Feb!$L$2:$L$100)</f>
        <v>30</v>
      </c>
      <c r="D6" s="90">
        <f>SUMIF(Mar!$H$2:$H$102,"JG",Mar!$L$2:$L$102)</f>
        <v>40</v>
      </c>
      <c r="E6" s="90">
        <f>SUMIF(Apr!$H$2:$H$99,"JG",Apr!$L$2:$L$99)</f>
        <v>80</v>
      </c>
      <c r="F6" s="90">
        <f>SUMIF(May!$H$2:$H$100,"JG",May!$L$2:$L$100)</f>
        <v>20</v>
      </c>
    </row>
    <row r="7">
      <c r="A7" s="5" t="s">
        <v>612</v>
      </c>
      <c r="B7" s="90">
        <f>SUMIF(Jan!$H$2:$H$68,"MISC",Jan!$L$2:$L$68)</f>
        <v>-55</v>
      </c>
      <c r="C7" s="90">
        <f>SUMIF(Feb!$H$2:$H$100,"MISC",Feb!$L$2:$L$100)</f>
        <v>-50</v>
      </c>
      <c r="D7" s="90">
        <f>SUMIF(Mar!$H$2:$H$102,"MISC",Mar!$L$2:$L$102)</f>
        <v>-20</v>
      </c>
      <c r="E7" s="90">
        <f>SUMIF(Apr!$H$2:$H$99,"MISC",Apr!$L$2:$L$99)</f>
        <v>-50</v>
      </c>
      <c r="F7" s="90">
        <f>SUMIF(May!$H$2:$H$100,"MISC",May!$L$2:$L$100)</f>
        <v>-50</v>
      </c>
    </row>
    <row r="8">
      <c r="B8" s="17"/>
      <c r="C8" s="17"/>
    </row>
    <row r="9">
      <c r="A9" s="76" t="s">
        <v>613</v>
      </c>
      <c r="B9" s="17"/>
      <c r="C9" s="17"/>
    </row>
    <row r="10">
      <c r="A10" s="5" t="s">
        <v>614</v>
      </c>
      <c r="B10" s="17">
        <f>sum(Attendance!C4:C7)*20</f>
        <v>1080</v>
      </c>
      <c r="C10" s="17">
        <f>sum(Attendance!C8:C11)*20</f>
        <v>1240</v>
      </c>
      <c r="D10" s="17">
        <f>sum(Attendance!C12:C16)*20</f>
        <v>1340</v>
      </c>
      <c r="E10" s="17">
        <f>sum(Attendance!C17:C20)*20</f>
        <v>1320</v>
      </c>
      <c r="F10" s="17">
        <f>sum(Attendance!C21:C24)*20</f>
        <v>640</v>
      </c>
    </row>
    <row r="11">
      <c r="A11" s="5" t="s">
        <v>615</v>
      </c>
      <c r="B11" s="17">
        <f>sum(Attendance!D4:D7)*27.7</f>
        <v>470.9</v>
      </c>
      <c r="C11" s="17">
        <f>sum(Attendance!D8:D11)*27.7</f>
        <v>581.7</v>
      </c>
      <c r="D11" s="90">
        <f>sum(Attendance!D12:D16)*27.7</f>
        <v>581.7</v>
      </c>
      <c r="E11" s="17">
        <f>sum(Attendance!D17:D20)*27.7</f>
        <v>664.8</v>
      </c>
      <c r="F11" s="17">
        <f>sum(Attendance!D21:D24)*27.7</f>
        <v>304.7</v>
      </c>
    </row>
    <row r="12">
      <c r="A12" s="91" t="s">
        <v>616</v>
      </c>
      <c r="B12" s="7">
        <v>10.45</v>
      </c>
      <c r="C12" s="7">
        <v>8.43</v>
      </c>
      <c r="D12" s="7">
        <v>16.66</v>
      </c>
      <c r="E12" s="7">
        <v>13.93</v>
      </c>
      <c r="F12" s="7"/>
    </row>
    <row r="13">
      <c r="A13" s="5" t="s">
        <v>617</v>
      </c>
      <c r="B13" s="17"/>
      <c r="C13" s="7">
        <v>6.65</v>
      </c>
      <c r="D13" s="7">
        <v>6.63</v>
      </c>
      <c r="E13" s="7">
        <v>6.72</v>
      </c>
      <c r="F13" s="7"/>
    </row>
    <row r="14">
      <c r="B14" s="17"/>
      <c r="C14" s="17"/>
    </row>
    <row r="15">
      <c r="A15" s="76" t="s">
        <v>618</v>
      </c>
      <c r="B15" s="13">
        <f t="shared" ref="B15:F15" si="1">SUM(B3:B7) - SUM(B10:B13)</f>
        <v>43.65</v>
      </c>
      <c r="C15" s="13">
        <f t="shared" si="1"/>
        <v>53.22</v>
      </c>
      <c r="D15" s="13">
        <f t="shared" si="1"/>
        <v>-59.99</v>
      </c>
      <c r="E15" s="13">
        <f t="shared" si="1"/>
        <v>-35.45</v>
      </c>
      <c r="F15" s="13">
        <f t="shared" si="1"/>
        <v>425.3</v>
      </c>
    </row>
    <row r="18">
      <c r="A18" s="92" t="s">
        <v>619</v>
      </c>
    </row>
    <row r="19">
      <c r="A19" s="76" t="s">
        <v>620</v>
      </c>
      <c r="B19" s="7"/>
    </row>
    <row r="20">
      <c r="A20" s="5" t="s">
        <v>621</v>
      </c>
      <c r="B20" s="7">
        <v>8238.37</v>
      </c>
    </row>
    <row r="21">
      <c r="A21" s="5" t="s">
        <v>622</v>
      </c>
      <c r="B21" s="7">
        <v>10.0</v>
      </c>
    </row>
    <row r="22">
      <c r="A22" s="5" t="s">
        <v>623</v>
      </c>
      <c r="B22" s="7">
        <v>1945.0</v>
      </c>
    </row>
    <row r="23">
      <c r="B23" s="17"/>
    </row>
    <row r="24">
      <c r="A24" s="76" t="s">
        <v>624</v>
      </c>
      <c r="B24" s="17"/>
    </row>
    <row r="25">
      <c r="A25" s="5" t="s">
        <v>625</v>
      </c>
      <c r="B25" s="17"/>
    </row>
    <row r="26">
      <c r="A26" s="5" t="s">
        <v>626</v>
      </c>
      <c r="B26" s="7">
        <v>1980.0</v>
      </c>
    </row>
    <row r="27">
      <c r="A27" s="5" t="s">
        <v>627</v>
      </c>
      <c r="B27" s="7">
        <v>1080.0</v>
      </c>
    </row>
    <row r="28">
      <c r="A28" s="5" t="s">
        <v>628</v>
      </c>
      <c r="B28" s="7">
        <v>1240.0</v>
      </c>
    </row>
    <row r="29">
      <c r="A29" s="5" t="s">
        <v>629</v>
      </c>
      <c r="B29" s="7">
        <f>D10</f>
        <v>1340</v>
      </c>
    </row>
    <row r="30">
      <c r="A30" s="5"/>
      <c r="B30" s="7"/>
    </row>
    <row r="31">
      <c r="A31" s="5" t="s">
        <v>630</v>
      </c>
      <c r="B31" s="7">
        <v>1385.0</v>
      </c>
    </row>
    <row r="33">
      <c r="A33" s="93" t="s">
        <v>631</v>
      </c>
      <c r="B33" s="94">
        <f>sum(B20:B22)-sum(B26:B31)</f>
        <v>3168.37</v>
      </c>
    </row>
    <row r="35">
      <c r="A35" s="5"/>
      <c r="B35" s="5"/>
      <c r="C35" s="5"/>
    </row>
    <row r="36">
      <c r="A36" s="92" t="s">
        <v>632</v>
      </c>
    </row>
    <row r="37">
      <c r="A37" s="76" t="s">
        <v>620</v>
      </c>
      <c r="B37" s="7"/>
      <c r="D37" s="95"/>
    </row>
    <row r="38">
      <c r="A38" s="5" t="s">
        <v>621</v>
      </c>
      <c r="B38" s="7">
        <v>9297.72</v>
      </c>
    </row>
    <row r="39">
      <c r="A39" s="5" t="s">
        <v>622</v>
      </c>
      <c r="B39" s="7">
        <v>10.0</v>
      </c>
    </row>
    <row r="40">
      <c r="A40" s="5" t="s">
        <v>623</v>
      </c>
      <c r="B40" s="7">
        <v>2100.0</v>
      </c>
    </row>
    <row r="41">
      <c r="B41" s="17"/>
    </row>
    <row r="42">
      <c r="A42" s="76" t="s">
        <v>624</v>
      </c>
      <c r="B42" s="17"/>
    </row>
    <row r="43">
      <c r="A43" s="5" t="s">
        <v>625</v>
      </c>
      <c r="B43" s="17"/>
    </row>
    <row r="44">
      <c r="A44" s="5" t="s">
        <v>626</v>
      </c>
      <c r="B44" s="7">
        <v>1980.0</v>
      </c>
    </row>
    <row r="45">
      <c r="A45" s="5" t="s">
        <v>627</v>
      </c>
      <c r="B45" s="7">
        <v>1080.0</v>
      </c>
    </row>
    <row r="46">
      <c r="A46" s="5" t="s">
        <v>628</v>
      </c>
      <c r="B46" s="7">
        <v>1240.0</v>
      </c>
    </row>
    <row r="47">
      <c r="A47" s="5" t="s">
        <v>629</v>
      </c>
      <c r="B47" s="7">
        <v>1340.0</v>
      </c>
    </row>
    <row r="48">
      <c r="A48" s="5" t="s">
        <v>629</v>
      </c>
      <c r="B48" s="7">
        <v>1320.0</v>
      </c>
    </row>
    <row r="49">
      <c r="A49" s="5"/>
      <c r="B49" s="7"/>
    </row>
    <row r="50">
      <c r="A50" s="5" t="s">
        <v>630</v>
      </c>
      <c r="B50" s="7">
        <v>1385.0</v>
      </c>
    </row>
    <row r="52">
      <c r="A52" s="93" t="s">
        <v>631</v>
      </c>
      <c r="B52" s="94">
        <f>sum(B38:B40)-sum(B44:B50)</f>
        <v>3062.72</v>
      </c>
    </row>
  </sheetData>
  <mergeCells count="2">
    <mergeCell ref="A18:B18"/>
    <mergeCell ref="A36:B3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8.29"/>
    <col customWidth="1" min="2" max="2" width="36.57"/>
    <col customWidth="1" min="3" max="3" width="31.14"/>
    <col customWidth="1" min="4" max="4" width="45.14"/>
    <col customWidth="1" min="5" max="11" width="17.29"/>
  </cols>
  <sheetData>
    <row r="1">
      <c r="A1" s="3" t="s">
        <v>1</v>
      </c>
      <c r="B1" s="3" t="s">
        <v>3</v>
      </c>
      <c r="C1" s="3" t="s">
        <v>5</v>
      </c>
      <c r="D1" s="9" t="s">
        <v>1</v>
      </c>
    </row>
    <row r="2">
      <c r="A2" s="11" t="s">
        <v>17</v>
      </c>
      <c r="B2" s="12" t="s">
        <v>19</v>
      </c>
      <c r="C2" s="12" t="s">
        <v>21</v>
      </c>
      <c r="D2" s="14" t="str">
        <f t="shared" ref="D2:D41" si="1">A2</f>
        <v>1</v>
      </c>
    </row>
    <row r="3">
      <c r="A3" s="16" t="s">
        <v>25</v>
      </c>
      <c r="B3" s="18" t="s">
        <v>30</v>
      </c>
      <c r="C3" s="18" t="s">
        <v>34</v>
      </c>
      <c r="D3" s="20" t="str">
        <f t="shared" si="1"/>
        <v>2</v>
      </c>
    </row>
    <row r="4">
      <c r="A4" s="11" t="s">
        <v>37</v>
      </c>
      <c r="B4" s="12" t="s">
        <v>38</v>
      </c>
      <c r="C4" s="12" t="s">
        <v>39</v>
      </c>
      <c r="D4" s="14" t="str">
        <f t="shared" si="1"/>
        <v>3</v>
      </c>
    </row>
    <row r="5">
      <c r="A5" s="16" t="s">
        <v>40</v>
      </c>
      <c r="B5" s="18" t="s">
        <v>41</v>
      </c>
      <c r="C5" s="18" t="s">
        <v>42</v>
      </c>
      <c r="D5" s="20" t="str">
        <f t="shared" si="1"/>
        <v>4</v>
      </c>
    </row>
    <row r="6">
      <c r="A6" s="11" t="s">
        <v>43</v>
      </c>
      <c r="B6" s="12" t="s">
        <v>44</v>
      </c>
      <c r="C6" s="12" t="s">
        <v>45</v>
      </c>
      <c r="D6" s="14" t="str">
        <f t="shared" si="1"/>
        <v>5</v>
      </c>
    </row>
    <row r="7">
      <c r="A7" s="16" t="s">
        <v>46</v>
      </c>
      <c r="B7" s="18" t="s">
        <v>47</v>
      </c>
      <c r="C7" s="18" t="s">
        <v>48</v>
      </c>
      <c r="D7" s="20" t="str">
        <f t="shared" si="1"/>
        <v>6</v>
      </c>
    </row>
    <row r="8">
      <c r="A8" s="11" t="s">
        <v>49</v>
      </c>
      <c r="B8" s="12" t="s">
        <v>50</v>
      </c>
      <c r="C8" s="12" t="s">
        <v>51</v>
      </c>
      <c r="D8" s="14" t="str">
        <f t="shared" si="1"/>
        <v>7</v>
      </c>
    </row>
    <row r="9">
      <c r="A9" s="16" t="s">
        <v>52</v>
      </c>
      <c r="B9" s="18" t="s">
        <v>20</v>
      </c>
      <c r="C9" s="18" t="s">
        <v>53</v>
      </c>
      <c r="D9" s="20" t="str">
        <f t="shared" si="1"/>
        <v>8</v>
      </c>
    </row>
    <row r="10">
      <c r="A10" s="11" t="s">
        <v>54</v>
      </c>
      <c r="B10" s="12" t="s">
        <v>55</v>
      </c>
      <c r="C10" s="12" t="s">
        <v>56</v>
      </c>
      <c r="D10" s="14" t="str">
        <f t="shared" si="1"/>
        <v>9</v>
      </c>
    </row>
    <row r="11">
      <c r="A11" s="16" t="s">
        <v>57</v>
      </c>
      <c r="B11" s="18" t="s">
        <v>58</v>
      </c>
      <c r="C11" s="18" t="s">
        <v>59</v>
      </c>
      <c r="D11" s="20" t="str">
        <f t="shared" si="1"/>
        <v>10</v>
      </c>
    </row>
    <row r="12">
      <c r="A12" s="11" t="s">
        <v>61</v>
      </c>
      <c r="B12" s="12" t="s">
        <v>62</v>
      </c>
      <c r="C12" s="12" t="s">
        <v>63</v>
      </c>
      <c r="D12" s="14" t="str">
        <f t="shared" si="1"/>
        <v>11</v>
      </c>
    </row>
    <row r="13">
      <c r="A13" s="16" t="s">
        <v>65</v>
      </c>
      <c r="B13" s="18" t="s">
        <v>67</v>
      </c>
      <c r="C13" s="18" t="s">
        <v>68</v>
      </c>
      <c r="D13" s="20" t="str">
        <f t="shared" si="1"/>
        <v>12</v>
      </c>
    </row>
    <row r="14">
      <c r="A14" s="11" t="s">
        <v>69</v>
      </c>
      <c r="B14" s="12" t="s">
        <v>70</v>
      </c>
      <c r="C14" s="12" t="s">
        <v>71</v>
      </c>
      <c r="D14" s="14" t="str">
        <f t="shared" si="1"/>
        <v>13</v>
      </c>
    </row>
    <row r="15">
      <c r="A15" s="16" t="s">
        <v>72</v>
      </c>
      <c r="B15" s="18" t="s">
        <v>73</v>
      </c>
      <c r="C15" s="18" t="s">
        <v>74</v>
      </c>
      <c r="D15" s="20" t="str">
        <f t="shared" si="1"/>
        <v>14</v>
      </c>
    </row>
    <row r="16">
      <c r="A16" s="11" t="s">
        <v>76</v>
      </c>
      <c r="B16" s="12" t="s">
        <v>77</v>
      </c>
      <c r="C16" s="12" t="s">
        <v>78</v>
      </c>
      <c r="D16" s="14" t="str">
        <f t="shared" si="1"/>
        <v>15</v>
      </c>
    </row>
    <row r="17">
      <c r="A17" s="16" t="s">
        <v>79</v>
      </c>
      <c r="B17" s="18" t="s">
        <v>80</v>
      </c>
      <c r="C17" s="18" t="s">
        <v>81</v>
      </c>
      <c r="D17" s="20" t="str">
        <f t="shared" si="1"/>
        <v>16</v>
      </c>
    </row>
    <row r="18">
      <c r="A18" s="11" t="s">
        <v>82</v>
      </c>
      <c r="B18" s="12" t="s">
        <v>83</v>
      </c>
      <c r="C18" s="12" t="s">
        <v>84</v>
      </c>
      <c r="D18" s="14" t="str">
        <f t="shared" si="1"/>
        <v>17</v>
      </c>
    </row>
    <row r="19">
      <c r="A19" s="16" t="s">
        <v>86</v>
      </c>
      <c r="B19" s="27" t="s">
        <v>87</v>
      </c>
      <c r="C19" s="18" t="s">
        <v>89</v>
      </c>
      <c r="D19" s="20" t="str">
        <f t="shared" si="1"/>
        <v>18</v>
      </c>
    </row>
    <row r="20">
      <c r="A20" s="11" t="s">
        <v>90</v>
      </c>
      <c r="B20" s="12" t="s">
        <v>91</v>
      </c>
      <c r="C20" s="12" t="s">
        <v>92</v>
      </c>
      <c r="D20" s="14" t="str">
        <f t="shared" si="1"/>
        <v>19</v>
      </c>
    </row>
    <row r="21">
      <c r="A21" s="16" t="s">
        <v>93</v>
      </c>
      <c r="B21" s="18" t="s">
        <v>94</v>
      </c>
      <c r="C21" s="18" t="s">
        <v>95</v>
      </c>
      <c r="D21" s="20" t="str">
        <f t="shared" si="1"/>
        <v>20</v>
      </c>
    </row>
    <row r="22">
      <c r="A22" s="11" t="s">
        <v>96</v>
      </c>
      <c r="B22" s="12" t="s">
        <v>98</v>
      </c>
      <c r="C22" s="12" t="s">
        <v>100</v>
      </c>
      <c r="D22" s="14" t="str">
        <f t="shared" si="1"/>
        <v>21</v>
      </c>
    </row>
    <row r="23">
      <c r="A23" s="16" t="s">
        <v>101</v>
      </c>
      <c r="B23" s="18" t="s">
        <v>102</v>
      </c>
      <c r="C23" s="18" t="s">
        <v>103</v>
      </c>
      <c r="D23" s="20" t="str">
        <f t="shared" si="1"/>
        <v>22</v>
      </c>
    </row>
    <row r="24">
      <c r="A24" s="11" t="s">
        <v>105</v>
      </c>
      <c r="B24" s="12" t="s">
        <v>106</v>
      </c>
      <c r="C24" s="12" t="s">
        <v>107</v>
      </c>
      <c r="D24" s="14" t="str">
        <f t="shared" si="1"/>
        <v>24</v>
      </c>
    </row>
    <row r="25">
      <c r="A25" s="16" t="s">
        <v>108</v>
      </c>
      <c r="B25" s="18" t="s">
        <v>109</v>
      </c>
      <c r="C25" s="18" t="s">
        <v>110</v>
      </c>
      <c r="D25" s="20" t="str">
        <f t="shared" si="1"/>
        <v>25</v>
      </c>
    </row>
    <row r="26">
      <c r="A26" s="11" t="s">
        <v>111</v>
      </c>
      <c r="B26" s="12" t="s">
        <v>112</v>
      </c>
      <c r="C26" s="12" t="s">
        <v>113</v>
      </c>
      <c r="D26" s="14" t="str">
        <f t="shared" si="1"/>
        <v>26</v>
      </c>
    </row>
    <row r="27">
      <c r="A27" s="16" t="s">
        <v>114</v>
      </c>
      <c r="B27" s="18" t="s">
        <v>115</v>
      </c>
      <c r="C27" s="18" t="s">
        <v>116</v>
      </c>
      <c r="D27" s="20" t="str">
        <f t="shared" si="1"/>
        <v>27</v>
      </c>
    </row>
    <row r="28">
      <c r="A28" s="11" t="s">
        <v>117</v>
      </c>
      <c r="B28" s="12" t="s">
        <v>118</v>
      </c>
      <c r="C28" s="12" t="s">
        <v>119</v>
      </c>
      <c r="D28" s="14" t="str">
        <f t="shared" si="1"/>
        <v>28</v>
      </c>
    </row>
    <row r="29">
      <c r="A29" s="16" t="s">
        <v>120</v>
      </c>
      <c r="B29" s="18" t="s">
        <v>122</v>
      </c>
      <c r="C29" s="18" t="s">
        <v>123</v>
      </c>
      <c r="D29" s="20" t="str">
        <f t="shared" si="1"/>
        <v>29</v>
      </c>
    </row>
    <row r="30">
      <c r="A30" s="11" t="s">
        <v>124</v>
      </c>
      <c r="B30" s="12" t="s">
        <v>125</v>
      </c>
      <c r="C30" s="12" t="s">
        <v>126</v>
      </c>
      <c r="D30" s="14" t="str">
        <f t="shared" si="1"/>
        <v>30</v>
      </c>
    </row>
    <row r="31">
      <c r="A31" s="16" t="s">
        <v>127</v>
      </c>
      <c r="B31" s="18" t="s">
        <v>128</v>
      </c>
      <c r="C31" s="18" t="s">
        <v>129</v>
      </c>
      <c r="D31" s="20" t="str">
        <f t="shared" si="1"/>
        <v>31</v>
      </c>
    </row>
    <row r="32">
      <c r="A32" s="11" t="s">
        <v>130</v>
      </c>
      <c r="B32" s="12" t="s">
        <v>131</v>
      </c>
      <c r="C32" s="12" t="s">
        <v>132</v>
      </c>
      <c r="D32" s="14" t="str">
        <f t="shared" si="1"/>
        <v>32</v>
      </c>
    </row>
    <row r="33">
      <c r="A33" s="16" t="s">
        <v>133</v>
      </c>
      <c r="B33" s="18" t="s">
        <v>104</v>
      </c>
      <c r="C33" s="18" t="s">
        <v>134</v>
      </c>
      <c r="D33" s="20" t="str">
        <f t="shared" si="1"/>
        <v>33</v>
      </c>
    </row>
    <row r="34">
      <c r="A34" s="11" t="s">
        <v>136</v>
      </c>
      <c r="B34" s="12" t="s">
        <v>137</v>
      </c>
      <c r="C34" s="12" t="s">
        <v>138</v>
      </c>
      <c r="D34" s="14" t="str">
        <f t="shared" si="1"/>
        <v>34</v>
      </c>
    </row>
    <row r="35">
      <c r="A35" s="16" t="s">
        <v>139</v>
      </c>
      <c r="B35" s="18" t="s">
        <v>140</v>
      </c>
      <c r="C35" s="18" t="s">
        <v>141</v>
      </c>
      <c r="D35" s="20" t="str">
        <f t="shared" si="1"/>
        <v>35</v>
      </c>
    </row>
    <row r="36">
      <c r="A36" s="11" t="s">
        <v>142</v>
      </c>
      <c r="B36" s="12" t="s">
        <v>143</v>
      </c>
      <c r="C36" s="12" t="s">
        <v>144</v>
      </c>
      <c r="D36" s="14" t="str">
        <f t="shared" si="1"/>
        <v>36</v>
      </c>
    </row>
    <row r="37">
      <c r="A37" s="16" t="s">
        <v>145</v>
      </c>
      <c r="B37" s="18" t="s">
        <v>146</v>
      </c>
      <c r="C37" s="18" t="s">
        <v>147</v>
      </c>
      <c r="D37" s="20" t="str">
        <f t="shared" si="1"/>
        <v>37</v>
      </c>
    </row>
    <row r="38">
      <c r="A38" s="11" t="s">
        <v>148</v>
      </c>
      <c r="B38" s="34" t="s">
        <v>149</v>
      </c>
      <c r="C38" s="12" t="s">
        <v>154</v>
      </c>
      <c r="D38" s="14" t="str">
        <f t="shared" si="1"/>
        <v>38</v>
      </c>
    </row>
    <row r="39">
      <c r="A39" s="16" t="s">
        <v>155</v>
      </c>
      <c r="B39" s="18" t="s">
        <v>156</v>
      </c>
      <c r="C39" s="18" t="s">
        <v>157</v>
      </c>
      <c r="D39" s="20" t="str">
        <f t="shared" si="1"/>
        <v>39</v>
      </c>
    </row>
    <row r="40">
      <c r="A40" s="11" t="s">
        <v>158</v>
      </c>
      <c r="B40" s="12" t="s">
        <v>159</v>
      </c>
      <c r="C40" s="12" t="s">
        <v>160</v>
      </c>
      <c r="D40" s="14" t="str">
        <f t="shared" si="1"/>
        <v>40</v>
      </c>
    </row>
    <row r="41">
      <c r="A41" s="16" t="s">
        <v>161</v>
      </c>
      <c r="B41" s="18" t="s">
        <v>162</v>
      </c>
      <c r="C41" s="18" t="s">
        <v>163</v>
      </c>
      <c r="D41" s="20" t="str">
        <f t="shared" si="1"/>
        <v>41</v>
      </c>
    </row>
    <row r="42">
      <c r="A42" s="11" t="s">
        <v>164</v>
      </c>
      <c r="B42" s="12" t="s">
        <v>165</v>
      </c>
      <c r="C42" s="12" t="s">
        <v>166</v>
      </c>
      <c r="D42" s="36">
        <v>42.0</v>
      </c>
    </row>
    <row r="43">
      <c r="A43" s="16" t="s">
        <v>170</v>
      </c>
      <c r="B43" s="18" t="s">
        <v>171</v>
      </c>
      <c r="C43" s="18" t="s">
        <v>173</v>
      </c>
      <c r="D43" s="38">
        <v>43.0</v>
      </c>
    </row>
    <row r="44">
      <c r="A44" s="11" t="s">
        <v>177</v>
      </c>
      <c r="B44" s="12" t="s">
        <v>178</v>
      </c>
      <c r="C44" s="12" t="s">
        <v>179</v>
      </c>
      <c r="D44" s="36">
        <v>44.0</v>
      </c>
    </row>
    <row r="45">
      <c r="A45" s="16" t="s">
        <v>180</v>
      </c>
      <c r="B45" s="18" t="s">
        <v>181</v>
      </c>
      <c r="C45" s="27" t="s">
        <v>182</v>
      </c>
      <c r="D45" s="38">
        <v>45.0</v>
      </c>
    </row>
    <row r="46">
      <c r="A46" s="11" t="s">
        <v>183</v>
      </c>
      <c r="B46" s="12" t="s">
        <v>184</v>
      </c>
      <c r="C46" s="12" t="s">
        <v>185</v>
      </c>
      <c r="D46" s="36">
        <v>46.0</v>
      </c>
    </row>
    <row r="47">
      <c r="A47" s="16" t="s">
        <v>186</v>
      </c>
      <c r="B47" s="18" t="s">
        <v>187</v>
      </c>
      <c r="C47" s="18" t="s">
        <v>188</v>
      </c>
      <c r="D47" s="38">
        <v>47.0</v>
      </c>
    </row>
    <row r="48">
      <c r="A48" s="11" t="s">
        <v>189</v>
      </c>
      <c r="B48" s="12" t="s">
        <v>190</v>
      </c>
      <c r="C48" s="12" t="s">
        <v>192</v>
      </c>
      <c r="D48" s="36">
        <v>48.0</v>
      </c>
    </row>
    <row r="49">
      <c r="A49" s="16" t="s">
        <v>195</v>
      </c>
      <c r="B49" s="18" t="s">
        <v>196</v>
      </c>
      <c r="C49" s="18" t="s">
        <v>197</v>
      </c>
      <c r="D49" s="38">
        <v>49.0</v>
      </c>
    </row>
    <row r="50">
      <c r="A50" s="11" t="s">
        <v>198</v>
      </c>
      <c r="B50" s="12" t="s">
        <v>199</v>
      </c>
      <c r="C50" s="12" t="s">
        <v>200</v>
      </c>
      <c r="D50" s="36">
        <v>50.0</v>
      </c>
    </row>
    <row r="51">
      <c r="A51" s="16" t="s">
        <v>201</v>
      </c>
      <c r="B51" s="18" t="s">
        <v>202</v>
      </c>
      <c r="C51" s="18" t="s">
        <v>203</v>
      </c>
      <c r="D51" s="38">
        <v>51.0</v>
      </c>
    </row>
    <row r="52">
      <c r="A52" s="11" t="s">
        <v>204</v>
      </c>
      <c r="B52" s="12" t="s">
        <v>205</v>
      </c>
      <c r="C52" s="12" t="s">
        <v>206</v>
      </c>
      <c r="D52" s="36">
        <v>52.0</v>
      </c>
    </row>
    <row r="53">
      <c r="A53" s="16" t="s">
        <v>207</v>
      </c>
      <c r="B53" s="18" t="s">
        <v>208</v>
      </c>
      <c r="C53" s="18" t="s">
        <v>209</v>
      </c>
      <c r="D53" s="38">
        <v>53.0</v>
      </c>
    </row>
    <row r="54">
      <c r="A54" s="11" t="s">
        <v>211</v>
      </c>
      <c r="B54" s="12" t="s">
        <v>212</v>
      </c>
      <c r="C54" s="12" t="s">
        <v>213</v>
      </c>
      <c r="D54" s="36">
        <v>54.0</v>
      </c>
    </row>
    <row r="55">
      <c r="A55" s="16" t="s">
        <v>214</v>
      </c>
      <c r="B55" s="18" t="s">
        <v>215</v>
      </c>
      <c r="C55" s="18" t="s">
        <v>216</v>
      </c>
      <c r="D55" s="38">
        <v>55.0</v>
      </c>
    </row>
    <row r="56">
      <c r="A56" s="11" t="s">
        <v>217</v>
      </c>
      <c r="B56" s="12" t="s">
        <v>219</v>
      </c>
      <c r="C56" s="12" t="s">
        <v>220</v>
      </c>
      <c r="D56" s="36">
        <v>56.0</v>
      </c>
    </row>
    <row r="57">
      <c r="A57" s="16" t="s">
        <v>222</v>
      </c>
      <c r="B57" s="18" t="s">
        <v>223</v>
      </c>
      <c r="C57" s="18" t="s">
        <v>224</v>
      </c>
      <c r="D57" s="38">
        <v>57.0</v>
      </c>
    </row>
    <row r="58">
      <c r="A58" s="11" t="s">
        <v>225</v>
      </c>
      <c r="B58" s="12" t="s">
        <v>226</v>
      </c>
      <c r="C58" s="12" t="s">
        <v>227</v>
      </c>
      <c r="D58" s="36">
        <v>58.0</v>
      </c>
    </row>
    <row r="59">
      <c r="A59" s="16" t="s">
        <v>228</v>
      </c>
      <c r="B59" s="18" t="s">
        <v>229</v>
      </c>
      <c r="C59" s="18" t="s">
        <v>230</v>
      </c>
      <c r="D59" s="38">
        <v>59.0</v>
      </c>
    </row>
    <row r="60">
      <c r="A60" s="11" t="s">
        <v>231</v>
      </c>
      <c r="B60" s="12" t="s">
        <v>232</v>
      </c>
      <c r="C60" s="12" t="s">
        <v>233</v>
      </c>
      <c r="D60" s="36">
        <v>60.0</v>
      </c>
    </row>
    <row r="61">
      <c r="A61" s="11" t="s">
        <v>234</v>
      </c>
      <c r="B61" s="12" t="s">
        <v>235</v>
      </c>
      <c r="C61" s="12" t="s">
        <v>236</v>
      </c>
      <c r="D61" s="36">
        <v>61.0</v>
      </c>
    </row>
    <row r="62">
      <c r="A62" s="16" t="s">
        <v>237</v>
      </c>
      <c r="B62" s="18" t="s">
        <v>238</v>
      </c>
      <c r="C62" s="18" t="s">
        <v>239</v>
      </c>
      <c r="D62" s="38">
        <v>62.0</v>
      </c>
    </row>
    <row r="63">
      <c r="A63" s="11" t="s">
        <v>240</v>
      </c>
      <c r="B63" s="12" t="s">
        <v>241</v>
      </c>
      <c r="C63" s="12" t="s">
        <v>243</v>
      </c>
      <c r="D63" s="36">
        <v>63.0</v>
      </c>
    </row>
    <row r="64">
      <c r="A64" s="16" t="s">
        <v>245</v>
      </c>
      <c r="B64" s="18" t="s">
        <v>246</v>
      </c>
      <c r="C64" s="18" t="s">
        <v>247</v>
      </c>
      <c r="D64" s="38">
        <v>65.0</v>
      </c>
    </row>
    <row r="65">
      <c r="A65" s="11" t="s">
        <v>248</v>
      </c>
      <c r="B65" s="12" t="s">
        <v>249</v>
      </c>
      <c r="C65" s="12" t="s">
        <v>250</v>
      </c>
      <c r="D65" s="36">
        <v>64.0</v>
      </c>
    </row>
    <row r="66">
      <c r="A66" s="16" t="s">
        <v>251</v>
      </c>
      <c r="B66" s="18" t="s">
        <v>252</v>
      </c>
      <c r="C66" s="18" t="s">
        <v>253</v>
      </c>
      <c r="D66" s="38">
        <v>66.0</v>
      </c>
    </row>
    <row r="67">
      <c r="A67" s="11" t="s">
        <v>254</v>
      </c>
      <c r="B67" s="12" t="s">
        <v>255</v>
      </c>
      <c r="C67" s="12" t="s">
        <v>256</v>
      </c>
      <c r="D67" s="36">
        <v>67.0</v>
      </c>
    </row>
    <row r="68">
      <c r="A68" s="16" t="s">
        <v>257</v>
      </c>
      <c r="B68" s="18" t="s">
        <v>258</v>
      </c>
      <c r="C68" s="18" t="s">
        <v>259</v>
      </c>
      <c r="D68" s="38">
        <v>68.0</v>
      </c>
    </row>
    <row r="69">
      <c r="A69" s="11" t="s">
        <v>260</v>
      </c>
      <c r="B69" s="34" t="s">
        <v>261</v>
      </c>
      <c r="C69" s="34" t="s">
        <v>262</v>
      </c>
      <c r="D69" s="40">
        <v>69.0</v>
      </c>
    </row>
    <row r="70">
      <c r="A70" s="16" t="s">
        <v>266</v>
      </c>
      <c r="B70" s="18" t="s">
        <v>267</v>
      </c>
      <c r="C70" s="18" t="s">
        <v>268</v>
      </c>
      <c r="D70" s="38">
        <v>70.0</v>
      </c>
    </row>
    <row r="71">
      <c r="A71" s="11" t="s">
        <v>269</v>
      </c>
      <c r="B71" s="34" t="s">
        <v>270</v>
      </c>
      <c r="C71" s="34" t="s">
        <v>271</v>
      </c>
      <c r="D71" s="40">
        <v>71.0</v>
      </c>
    </row>
    <row r="72">
      <c r="A72" s="16" t="s">
        <v>272</v>
      </c>
      <c r="B72" s="27" t="s">
        <v>273</v>
      </c>
      <c r="C72" s="27" t="s">
        <v>274</v>
      </c>
      <c r="D72" s="41">
        <v>72.0</v>
      </c>
    </row>
    <row r="73">
      <c r="A73" s="11" t="s">
        <v>277</v>
      </c>
      <c r="B73" s="34" t="s">
        <v>278</v>
      </c>
      <c r="C73" s="34" t="s">
        <v>279</v>
      </c>
      <c r="D73" s="40">
        <v>73.0</v>
      </c>
    </row>
    <row r="74">
      <c r="A74" s="16" t="s">
        <v>280</v>
      </c>
      <c r="B74" s="27" t="s">
        <v>281</v>
      </c>
      <c r="C74" s="27" t="s">
        <v>282</v>
      </c>
      <c r="D74" s="41">
        <v>74.0</v>
      </c>
    </row>
    <row r="75">
      <c r="A75" s="16" t="s">
        <v>283</v>
      </c>
      <c r="B75" s="27" t="s">
        <v>284</v>
      </c>
      <c r="C75" s="27" t="s">
        <v>285</v>
      </c>
      <c r="D75" s="41">
        <v>75.0</v>
      </c>
    </row>
    <row r="76">
      <c r="A76" s="11" t="s">
        <v>286</v>
      </c>
      <c r="B76" s="34" t="s">
        <v>287</v>
      </c>
      <c r="C76" s="34" t="s">
        <v>288</v>
      </c>
      <c r="D76" s="40">
        <v>76.0</v>
      </c>
    </row>
    <row r="77">
      <c r="A77" s="16" t="s">
        <v>289</v>
      </c>
      <c r="B77" s="27" t="s">
        <v>290</v>
      </c>
      <c r="C77" s="27" t="s">
        <v>291</v>
      </c>
      <c r="D77" s="41">
        <v>77.0</v>
      </c>
    </row>
    <row r="78">
      <c r="A78" s="11" t="s">
        <v>293</v>
      </c>
      <c r="B78" s="34" t="s">
        <v>265</v>
      </c>
      <c r="C78" s="34" t="s">
        <v>294</v>
      </c>
      <c r="D78" s="42" t="s">
        <v>293</v>
      </c>
    </row>
    <row r="79">
      <c r="A79" s="16" t="s">
        <v>295</v>
      </c>
      <c r="B79" s="27" t="s">
        <v>296</v>
      </c>
      <c r="C79" s="27" t="s">
        <v>297</v>
      </c>
      <c r="D79" s="43" t="s">
        <v>295</v>
      </c>
    </row>
    <row r="80">
      <c r="A80" s="11" t="s">
        <v>300</v>
      </c>
      <c r="B80" s="34" t="s">
        <v>301</v>
      </c>
      <c r="C80" s="34" t="s">
        <v>302</v>
      </c>
      <c r="D80" s="42" t="s">
        <v>300</v>
      </c>
    </row>
    <row r="81">
      <c r="A81" s="16" t="s">
        <v>303</v>
      </c>
      <c r="B81" s="27" t="s">
        <v>304</v>
      </c>
      <c r="C81" s="27" t="s">
        <v>305</v>
      </c>
      <c r="D81" s="43" t="s">
        <v>303</v>
      </c>
    </row>
    <row r="82">
      <c r="A82" s="11" t="s">
        <v>306</v>
      </c>
      <c r="B82" s="34" t="s">
        <v>307</v>
      </c>
      <c r="C82" s="34" t="s">
        <v>308</v>
      </c>
      <c r="D82" s="42" t="s">
        <v>306</v>
      </c>
    </row>
    <row r="83">
      <c r="A83" s="16" t="s">
        <v>310</v>
      </c>
      <c r="B83" s="27" t="s">
        <v>311</v>
      </c>
      <c r="C83" s="27" t="s">
        <v>312</v>
      </c>
      <c r="D83" s="43" t="s">
        <v>310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46.86"/>
    <col customWidth="1" min="3" max="3" width="20.71"/>
    <col customWidth="1" min="4" max="4" width="29.0"/>
  </cols>
  <sheetData>
    <row r="1">
      <c r="A1" s="1" t="s">
        <v>0</v>
      </c>
      <c r="B1" s="5" t="s">
        <v>2</v>
      </c>
      <c r="C1" s="5"/>
      <c r="D1" s="5" t="s">
        <v>6</v>
      </c>
      <c r="G1" s="5"/>
    </row>
    <row r="2">
      <c r="A2" s="1">
        <v>165.0</v>
      </c>
      <c r="B2" s="5" t="s">
        <v>7</v>
      </c>
      <c r="C2" s="5" t="s">
        <v>8</v>
      </c>
      <c r="D2" s="5">
        <v>1875.0</v>
      </c>
      <c r="G2" s="5"/>
    </row>
    <row r="3">
      <c r="A3" s="1">
        <v>60.0</v>
      </c>
      <c r="B3" s="5" t="s">
        <v>9</v>
      </c>
      <c r="C3" s="5" t="s">
        <v>8</v>
      </c>
      <c r="D3" s="5">
        <v>1875.0</v>
      </c>
    </row>
    <row r="4">
      <c r="A4" s="7"/>
      <c r="B4" s="5"/>
    </row>
    <row r="5">
      <c r="A5" s="1">
        <v>90.0</v>
      </c>
      <c r="B5" s="5" t="s">
        <v>12</v>
      </c>
      <c r="C5" s="5" t="s">
        <v>8</v>
      </c>
      <c r="D5" s="5">
        <v>1899.0</v>
      </c>
    </row>
    <row r="6">
      <c r="A6" s="1">
        <v>90.0</v>
      </c>
      <c r="B6" s="5" t="s">
        <v>13</v>
      </c>
      <c r="C6" s="5" t="s">
        <v>14</v>
      </c>
      <c r="D6" s="5">
        <v>1899.0</v>
      </c>
    </row>
    <row r="7">
      <c r="A7" s="1">
        <v>60.0</v>
      </c>
      <c r="B7" s="5" t="s">
        <v>15</v>
      </c>
      <c r="C7" s="5" t="s">
        <v>14</v>
      </c>
      <c r="D7" s="5">
        <v>1899.0</v>
      </c>
    </row>
    <row r="8">
      <c r="A8" s="13">
        <v>75.0</v>
      </c>
      <c r="B8" s="5" t="s">
        <v>22</v>
      </c>
      <c r="C8" s="5" t="s">
        <v>14</v>
      </c>
      <c r="D8" s="5" t="s">
        <v>23</v>
      </c>
    </row>
    <row r="9">
      <c r="A9" s="13">
        <v>75.0</v>
      </c>
      <c r="B9" s="5" t="s">
        <v>24</v>
      </c>
      <c r="C9" s="5" t="s">
        <v>14</v>
      </c>
      <c r="D9" s="5" t="s">
        <v>23</v>
      </c>
    </row>
    <row r="10">
      <c r="A10" s="13">
        <v>105.0</v>
      </c>
      <c r="B10" s="5" t="s">
        <v>26</v>
      </c>
      <c r="C10" s="5" t="s">
        <v>14</v>
      </c>
      <c r="D10" s="5" t="s">
        <v>23</v>
      </c>
    </row>
    <row r="11">
      <c r="A11" s="13">
        <v>90.0</v>
      </c>
      <c r="B11" s="5" t="s">
        <v>27</v>
      </c>
      <c r="C11" s="5" t="s">
        <v>14</v>
      </c>
      <c r="D11" s="5" t="s">
        <v>23</v>
      </c>
      <c r="G11" s="5"/>
    </row>
    <row r="12">
      <c r="A12" s="7">
        <v>45.0</v>
      </c>
      <c r="B12" s="5" t="s">
        <v>29</v>
      </c>
      <c r="C12" s="5" t="s">
        <v>14</v>
      </c>
      <c r="D12" s="5" t="s">
        <v>23</v>
      </c>
      <c r="G12" s="5"/>
    </row>
    <row r="13">
      <c r="A13" s="7">
        <v>45.0</v>
      </c>
      <c r="B13" s="5" t="s">
        <v>29</v>
      </c>
      <c r="G13" s="5"/>
    </row>
    <row r="14">
      <c r="A14" s="17">
        <v>60.0</v>
      </c>
      <c r="B14" s="5" t="s">
        <v>31</v>
      </c>
    </row>
    <row r="15">
      <c r="A15" s="17">
        <v>10.0</v>
      </c>
      <c r="B15" s="5" t="s">
        <v>32</v>
      </c>
    </row>
    <row r="16">
      <c r="A16" s="17">
        <v>105.0</v>
      </c>
      <c r="B16" s="5" t="s">
        <v>33</v>
      </c>
    </row>
    <row r="17">
      <c r="A17" s="17">
        <v>75.0</v>
      </c>
      <c r="B17" s="5" t="s">
        <v>35</v>
      </c>
    </row>
    <row r="18">
      <c r="A18" s="17"/>
      <c r="F18">
        <f>185-25</f>
        <v>160</v>
      </c>
    </row>
    <row r="19">
      <c r="A19" s="17"/>
    </row>
    <row r="20">
      <c r="A20" s="17">
        <f>sum(A13:A17)</f>
        <v>295</v>
      </c>
      <c r="B20" s="5" t="s">
        <v>64</v>
      </c>
      <c r="C20" s="5"/>
    </row>
    <row r="21">
      <c r="A21" s="7">
        <v>210.0</v>
      </c>
      <c r="B21" s="5" t="s">
        <v>66</v>
      </c>
      <c r="C21" s="5"/>
    </row>
    <row r="23">
      <c r="A23" s="24">
        <f>A20-A21</f>
        <v>85</v>
      </c>
      <c r="B23" s="25" t="s">
        <v>85</v>
      </c>
      <c r="C23" s="28"/>
      <c r="E23" s="29">
        <v>43174.0</v>
      </c>
      <c r="F23" s="31" t="s">
        <v>121</v>
      </c>
      <c r="G23" s="32">
        <v>85.0</v>
      </c>
      <c r="H23" s="32">
        <v>7111.66</v>
      </c>
      <c r="I23" s="28"/>
      <c r="J23" s="28"/>
      <c r="K23" s="28"/>
      <c r="L23" s="28"/>
      <c r="M23" s="28"/>
      <c r="N23" s="28"/>
      <c r="O23" s="28"/>
      <c r="P23" s="28"/>
      <c r="Q23" s="28"/>
      <c r="R23" s="28"/>
      <c r="S23" s="28"/>
      <c r="T23" s="28"/>
      <c r="U23" s="28"/>
      <c r="V23" s="28"/>
      <c r="W23" s="28"/>
      <c r="X23" s="28"/>
      <c r="Y23" s="28"/>
      <c r="Z23" s="28"/>
      <c r="AA23" s="28"/>
    </row>
    <row r="29">
      <c r="A29" s="5" t="s">
        <v>150</v>
      </c>
      <c r="D29" s="5" t="s">
        <v>151</v>
      </c>
    </row>
    <row r="30">
      <c r="A30" s="7">
        <v>210.0</v>
      </c>
      <c r="B30" s="35">
        <v>43174.0</v>
      </c>
      <c r="D30" s="5" t="s">
        <v>0</v>
      </c>
      <c r="E30" s="5" t="s">
        <v>167</v>
      </c>
      <c r="F30" s="5" t="s">
        <v>168</v>
      </c>
      <c r="G30" s="5" t="s">
        <v>169</v>
      </c>
      <c r="H30" s="5"/>
    </row>
    <row r="31">
      <c r="A31" s="1">
        <v>300.0</v>
      </c>
      <c r="B31" s="35">
        <v>43137.0</v>
      </c>
      <c r="D31" s="7">
        <v>125.0</v>
      </c>
      <c r="E31" s="35">
        <v>43414.0</v>
      </c>
      <c r="F31" s="35">
        <v>43419.0</v>
      </c>
      <c r="G31" s="5">
        <v>1851.0</v>
      </c>
      <c r="H31" s="5"/>
    </row>
    <row r="32">
      <c r="A32" s="1">
        <v>365.0</v>
      </c>
      <c r="B32" s="35">
        <v>43420.0</v>
      </c>
      <c r="D32" s="5">
        <v>170.0</v>
      </c>
      <c r="E32" s="35">
        <v>43444.0</v>
      </c>
      <c r="F32" s="5" t="s">
        <v>172</v>
      </c>
      <c r="G32" s="5">
        <v>1875.0</v>
      </c>
    </row>
    <row r="33">
      <c r="D33" s="7">
        <v>440.0</v>
      </c>
      <c r="E33" s="35">
        <v>43110.0</v>
      </c>
      <c r="F33" s="35">
        <v>43113.0</v>
      </c>
      <c r="G33" s="5">
        <v>1899.0</v>
      </c>
    </row>
    <row r="34">
      <c r="D34" s="7">
        <v>85.0</v>
      </c>
      <c r="E34" s="35">
        <v>43141.0</v>
      </c>
      <c r="F34" s="35">
        <v>43153.0</v>
      </c>
      <c r="G34" s="5">
        <v>1923.0</v>
      </c>
    </row>
    <row r="35">
      <c r="D35" s="7">
        <v>25.0</v>
      </c>
      <c r="E35" s="35">
        <v>43169.0</v>
      </c>
      <c r="F35" s="35">
        <v>43174.0</v>
      </c>
      <c r="G35" s="5">
        <v>1977.0</v>
      </c>
    </row>
    <row r="38">
      <c r="C38" s="5" t="s">
        <v>174</v>
      </c>
      <c r="D38" s="17">
        <f>sum(D35,D37,D33,D31)</f>
        <v>590</v>
      </c>
    </row>
    <row r="39">
      <c r="C39" s="5" t="s">
        <v>191</v>
      </c>
      <c r="D39" s="17">
        <f>sum(A30:A31)</f>
        <v>510</v>
      </c>
    </row>
    <row r="41">
      <c r="C41" s="5" t="s">
        <v>210</v>
      </c>
      <c r="D41" s="17">
        <f>D38+D39</f>
        <v>1100</v>
      </c>
    </row>
    <row r="43">
      <c r="C43"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4.57"/>
    <col customWidth="1" min="2" max="2" width="16.86"/>
    <col customWidth="1" min="3" max="3" width="20.86"/>
    <col customWidth="1" min="4" max="4" width="25.57"/>
    <col customWidth="1" min="5" max="5" width="36.43"/>
    <col customWidth="1" min="6" max="6" width="7.0"/>
    <col customWidth="1" min="7" max="7" width="51.14"/>
    <col customWidth="1" min="8" max="9" width="14.86"/>
    <col customWidth="1" min="10" max="10" width="19.29"/>
    <col customWidth="1" min="11" max="11" width="13.29"/>
    <col customWidth="1" min="12" max="12" width="11.14"/>
  </cols>
  <sheetData>
    <row r="1">
      <c r="A1" s="45" t="s">
        <v>320</v>
      </c>
      <c r="B1" s="45" t="s">
        <v>321</v>
      </c>
      <c r="C1" s="45" t="s">
        <v>4</v>
      </c>
      <c r="D1" s="45" t="s">
        <v>322</v>
      </c>
      <c r="E1" s="45" t="s">
        <v>1</v>
      </c>
      <c r="F1" s="45" t="s">
        <v>323</v>
      </c>
      <c r="G1" s="45" t="s">
        <v>324</v>
      </c>
      <c r="H1" s="46" t="s">
        <v>325</v>
      </c>
      <c r="I1" s="45" t="s">
        <v>329</v>
      </c>
      <c r="J1" s="45" t="s">
        <v>330</v>
      </c>
      <c r="K1" s="48" t="s">
        <v>331</v>
      </c>
      <c r="L1" s="48" t="s">
        <v>338</v>
      </c>
    </row>
    <row r="2">
      <c r="A2" s="49" t="s">
        <v>88</v>
      </c>
      <c r="B2" s="49" t="s">
        <v>18</v>
      </c>
      <c r="C2" s="51" t="str">
        <f t="shared" ref="C2:C47" si="1">CONCATENATE(A2, " ",B2)</f>
        <v>Dar Adriano</v>
      </c>
      <c r="D2" s="49" t="s">
        <v>20</v>
      </c>
      <c r="E2" s="53" t="str">
        <f>vlookup(D2,'Invoice ClientIds'!$B$2:$D$100,3,0)</f>
        <v>8</v>
      </c>
      <c r="F2" s="18">
        <v>15.0</v>
      </c>
      <c r="G2" s="56" t="str">
        <f t="shared" ref="G2:G47" si="2">CONCATENATE(A2," ",B2, " Jan Attendance - ",K2, if(K2=1," session", " sessions"))</f>
        <v>Dar Adriano Jan Attendance - 2 sessions</v>
      </c>
      <c r="H2" s="26" t="s">
        <v>348</v>
      </c>
      <c r="I2" s="18">
        <v>1.0</v>
      </c>
      <c r="J2" s="56">
        <f t="shared" ref="J2:J47" si="3">if(H2="J",25, if(K2&lt;=2,25, 40))</f>
        <v>25</v>
      </c>
      <c r="K2" s="56">
        <f>if(IsNA(vlookup(C2,'Jan Att'!$I$2:$J$76,2,0)),0,vlookup(C2,'Jan Att'!$I$2:$J$76,2,0))</f>
        <v>2</v>
      </c>
      <c r="L2" s="60">
        <f t="shared" ref="L2:L29" si="4">I2*J2</f>
        <v>25</v>
      </c>
    </row>
    <row r="3">
      <c r="A3" s="61" t="s">
        <v>36</v>
      </c>
      <c r="B3" s="61" t="s">
        <v>18</v>
      </c>
      <c r="C3" s="51" t="str">
        <f t="shared" si="1"/>
        <v>Paulo Adriano</v>
      </c>
      <c r="D3" s="49" t="s">
        <v>20</v>
      </c>
      <c r="E3" s="53" t="str">
        <f>vlookup(D3,'Invoice ClientIds'!$B$2:$D$100,3,0)</f>
        <v>8</v>
      </c>
      <c r="F3" s="18">
        <v>15.0</v>
      </c>
      <c r="G3" s="56" t="str">
        <f t="shared" si="2"/>
        <v>Paulo Adriano Jan Attendance - 2 sessions</v>
      </c>
      <c r="H3" s="26" t="s">
        <v>357</v>
      </c>
      <c r="I3" s="18">
        <v>1.0</v>
      </c>
      <c r="J3" s="56">
        <f t="shared" si="3"/>
        <v>25</v>
      </c>
      <c r="K3" s="56">
        <f>if(IsNA(vlookup(C3,'Jan Att'!$I$2:$J$76,2,0)),0,vlookup(C3,'Jan Att'!$I$2:$J$76,2,0))</f>
        <v>2</v>
      </c>
      <c r="L3" s="60">
        <f t="shared" si="4"/>
        <v>25</v>
      </c>
    </row>
    <row r="4">
      <c r="A4" s="61" t="s">
        <v>16</v>
      </c>
      <c r="B4" s="61" t="s">
        <v>18</v>
      </c>
      <c r="C4" s="51" t="str">
        <f t="shared" si="1"/>
        <v>Chez Adriano</v>
      </c>
      <c r="D4" s="49" t="s">
        <v>20</v>
      </c>
      <c r="E4" s="53" t="str">
        <f>vlookup(D4,'Invoice ClientIds'!$B$2:$D$100,3,0)</f>
        <v>8</v>
      </c>
      <c r="F4" s="18">
        <v>15.0</v>
      </c>
      <c r="G4" s="56" t="str">
        <f t="shared" si="2"/>
        <v>Chez Adriano Jan Attendance - 2 sessions</v>
      </c>
      <c r="H4" s="26" t="s">
        <v>357</v>
      </c>
      <c r="I4" s="18">
        <v>1.0</v>
      </c>
      <c r="J4" s="56">
        <f t="shared" si="3"/>
        <v>25</v>
      </c>
      <c r="K4" s="56">
        <f>if(IsNA(vlookup(C4,'Jan Att'!$I$2:$J$76,2,0)),0,vlookup(C4,'Jan Att'!$I$2:$J$76,2,0))</f>
        <v>2</v>
      </c>
      <c r="L4" s="60">
        <f t="shared" si="4"/>
        <v>25</v>
      </c>
    </row>
    <row r="5">
      <c r="A5" s="61" t="s">
        <v>380</v>
      </c>
      <c r="B5" s="61" t="s">
        <v>18</v>
      </c>
      <c r="C5" s="51" t="str">
        <f t="shared" si="1"/>
        <v>Kyle Adriano</v>
      </c>
      <c r="D5" s="49" t="s">
        <v>20</v>
      </c>
      <c r="E5" s="53" t="str">
        <f>vlookup(D5,'Invoice ClientIds'!$B$2:$D$100,3,0)</f>
        <v>8</v>
      </c>
      <c r="F5" s="18">
        <v>15.0</v>
      </c>
      <c r="G5" s="56" t="str">
        <f t="shared" si="2"/>
        <v>Kyle Adriano Jan Attendance - 1 session</v>
      </c>
      <c r="H5" s="26" t="s">
        <v>348</v>
      </c>
      <c r="I5" s="18">
        <v>1.0</v>
      </c>
      <c r="J5" s="56">
        <f t="shared" si="3"/>
        <v>25</v>
      </c>
      <c r="K5" s="56">
        <f>if(IsNA(vlookup(C5,'Jan Att'!$I$2:$J$76,2,0)),0,vlookup(C5,'Jan Att'!$I$2:$J$76,2,0))</f>
        <v>1</v>
      </c>
      <c r="L5" s="60">
        <f t="shared" si="4"/>
        <v>25</v>
      </c>
    </row>
    <row r="6">
      <c r="A6" s="61" t="s">
        <v>60</v>
      </c>
      <c r="B6" s="61" t="s">
        <v>18</v>
      </c>
      <c r="C6" s="51" t="str">
        <f t="shared" si="1"/>
        <v>Kim Adriano</v>
      </c>
      <c r="D6" s="49" t="s">
        <v>20</v>
      </c>
      <c r="E6" s="53" t="str">
        <f>vlookup(D6,'Invoice ClientIds'!$B$2:$D$100,3,0)</f>
        <v>8</v>
      </c>
      <c r="F6" s="18">
        <v>15.0</v>
      </c>
      <c r="G6" s="56" t="str">
        <f t="shared" si="2"/>
        <v>Kim Adriano Jan Attendance - 2 sessions</v>
      </c>
      <c r="H6" s="26" t="s">
        <v>348</v>
      </c>
      <c r="I6" s="18">
        <v>1.0</v>
      </c>
      <c r="J6" s="56">
        <f t="shared" si="3"/>
        <v>25</v>
      </c>
      <c r="K6" s="56">
        <f>if(IsNA(vlookup(C6,'Jan Att'!$I$2:$J$76,2,0)),0,vlookup(C6,'Jan Att'!$I$2:$J$76,2,0))</f>
        <v>2</v>
      </c>
      <c r="L6" s="60">
        <f t="shared" si="4"/>
        <v>25</v>
      </c>
    </row>
    <row r="7">
      <c r="A7" s="61" t="s">
        <v>97</v>
      </c>
      <c r="B7" s="49" t="s">
        <v>99</v>
      </c>
      <c r="C7" s="51" t="str">
        <f t="shared" si="1"/>
        <v>Majan Almazan</v>
      </c>
      <c r="D7" s="49" t="s">
        <v>104</v>
      </c>
      <c r="E7" s="53" t="str">
        <f>vlookup(D7,'Invoice ClientIds'!$B$2:$D$100,3,0)</f>
        <v>33</v>
      </c>
      <c r="F7" s="18">
        <v>15.0</v>
      </c>
      <c r="G7" s="56" t="str">
        <f t="shared" si="2"/>
        <v>Majan Almazan Jan Attendance - 3 sessions</v>
      </c>
      <c r="H7" s="26" t="s">
        <v>357</v>
      </c>
      <c r="I7" s="18">
        <v>1.0</v>
      </c>
      <c r="J7" s="56">
        <f t="shared" si="3"/>
        <v>25</v>
      </c>
      <c r="K7" s="56">
        <f>if(IsNA(vlookup(C7,'Jan Att'!$I$2:$J$76,2,0)),0,vlookup(C7,'Jan Att'!$I$2:$J$76,2,0))</f>
        <v>3</v>
      </c>
      <c r="L7" s="60">
        <f t="shared" si="4"/>
        <v>25</v>
      </c>
    </row>
    <row r="8">
      <c r="A8" s="49" t="s">
        <v>135</v>
      </c>
      <c r="B8" s="49" t="s">
        <v>99</v>
      </c>
      <c r="C8" s="51" t="str">
        <f t="shared" si="1"/>
        <v>Ruth Almazan</v>
      </c>
      <c r="D8" s="49" t="s">
        <v>104</v>
      </c>
      <c r="E8" s="53" t="str">
        <f>vlookup(D8,'Invoice ClientIds'!$B$2:$D$100,3,0)</f>
        <v>33</v>
      </c>
      <c r="F8" s="18">
        <v>15.0</v>
      </c>
      <c r="G8" s="56" t="str">
        <f t="shared" si="2"/>
        <v>Ruth Almazan Jan Attendance - 1 session</v>
      </c>
      <c r="H8" s="26" t="s">
        <v>348</v>
      </c>
      <c r="I8" s="18">
        <v>1.0</v>
      </c>
      <c r="J8" s="56">
        <f t="shared" si="3"/>
        <v>25</v>
      </c>
      <c r="K8" s="56">
        <f>if(IsNA(vlookup(C8,'Jan Att'!$I$2:$J$76,2,0)),0,vlookup(C8,'Jan Att'!$I$2:$J$76,2,0))</f>
        <v>1</v>
      </c>
      <c r="L8" s="60">
        <f t="shared" si="4"/>
        <v>25</v>
      </c>
    </row>
    <row r="9">
      <c r="A9" s="61" t="s">
        <v>152</v>
      </c>
      <c r="B9" s="61" t="s">
        <v>153</v>
      </c>
      <c r="C9" s="51" t="str">
        <f t="shared" si="1"/>
        <v>Gloria Araullo</v>
      </c>
      <c r="D9" s="49" t="s">
        <v>67</v>
      </c>
      <c r="E9" s="66">
        <v>12.0</v>
      </c>
      <c r="F9" s="18">
        <v>15.0</v>
      </c>
      <c r="G9" s="56" t="str">
        <f t="shared" si="2"/>
        <v>Gloria Araullo Jan Attendance - 3 sessions</v>
      </c>
      <c r="H9" s="26" t="s">
        <v>348</v>
      </c>
      <c r="I9" s="18">
        <v>1.0</v>
      </c>
      <c r="J9" s="56">
        <f t="shared" si="3"/>
        <v>40</v>
      </c>
      <c r="K9" s="56">
        <f>if(IsNA(vlookup(C9,'Jan Att'!$I$2:$J$76,2,0)),0,vlookup(C9,'Jan Att'!$I$2:$J$76,2,0))</f>
        <v>3</v>
      </c>
      <c r="L9" s="60">
        <f t="shared" si="4"/>
        <v>40</v>
      </c>
    </row>
    <row r="10">
      <c r="A10" s="49" t="s">
        <v>175</v>
      </c>
      <c r="B10" s="49" t="s">
        <v>176</v>
      </c>
      <c r="C10" s="51" t="str">
        <f t="shared" si="1"/>
        <v>Tina Castillo</v>
      </c>
      <c r="D10" s="49" t="s">
        <v>146</v>
      </c>
      <c r="E10" s="53" t="str">
        <f>vlookup(D10,'Invoice ClientIds'!$B$2:$D$100,3,0)</f>
        <v>37</v>
      </c>
      <c r="F10" s="18">
        <v>15.0</v>
      </c>
      <c r="G10" s="56" t="str">
        <f t="shared" si="2"/>
        <v>Tina Castillo Jan Attendance - 1 session</v>
      </c>
      <c r="H10" s="26" t="s">
        <v>348</v>
      </c>
      <c r="I10" s="18">
        <v>1.0</v>
      </c>
      <c r="J10" s="56">
        <f t="shared" si="3"/>
        <v>25</v>
      </c>
      <c r="K10" s="56">
        <f>if(IsNA(vlookup(C10,'Jan Att'!$I$2:$J$76,2,0)),0,vlookup(C10,'Jan Att'!$I$2:$J$76,2,0))</f>
        <v>1</v>
      </c>
      <c r="L10" s="60">
        <f t="shared" si="4"/>
        <v>25</v>
      </c>
    </row>
    <row r="11">
      <c r="A11" s="49" t="s">
        <v>193</v>
      </c>
      <c r="B11" s="49" t="s">
        <v>194</v>
      </c>
      <c r="C11" s="51" t="str">
        <f t="shared" si="1"/>
        <v>Racquel Cruz</v>
      </c>
      <c r="D11" s="61" t="s">
        <v>149</v>
      </c>
      <c r="E11" s="53" t="str">
        <f>vlookup(D11,'Invoice ClientIds'!$B$2:$D$100,3,0)</f>
        <v>38</v>
      </c>
      <c r="F11" s="18">
        <v>15.0</v>
      </c>
      <c r="G11" s="56" t="str">
        <f t="shared" si="2"/>
        <v>Racquel Cruz Jan Attendance - 1 session</v>
      </c>
      <c r="H11" s="26" t="s">
        <v>348</v>
      </c>
      <c r="I11" s="18">
        <v>1.0</v>
      </c>
      <c r="J11" s="56">
        <f t="shared" si="3"/>
        <v>25</v>
      </c>
      <c r="K11" s="56">
        <f>if(IsNA(vlookup(C11,'Jan Att'!$I$2:$J$76,2,0)),0,vlookup(C11,'Jan Att'!$I$2:$J$76,2,0))</f>
        <v>1</v>
      </c>
      <c r="L11" s="60">
        <f t="shared" si="4"/>
        <v>25</v>
      </c>
    </row>
    <row r="12">
      <c r="A12" s="49" t="s">
        <v>218</v>
      </c>
      <c r="B12" s="49" t="s">
        <v>194</v>
      </c>
      <c r="C12" s="51" t="str">
        <f t="shared" si="1"/>
        <v>West Cruz</v>
      </c>
      <c r="D12" s="61" t="s">
        <v>149</v>
      </c>
      <c r="E12" s="53" t="str">
        <f>vlookup(D12,'Invoice ClientIds'!$B$2:$D$100,3,0)</f>
        <v>38</v>
      </c>
      <c r="F12" s="18">
        <v>15.0</v>
      </c>
      <c r="G12" s="56" t="str">
        <f t="shared" si="2"/>
        <v>West Cruz Jan Attendance - 1 session</v>
      </c>
      <c r="H12" s="26" t="s">
        <v>348</v>
      </c>
      <c r="I12" s="18">
        <v>1.0</v>
      </c>
      <c r="J12" s="56">
        <f t="shared" si="3"/>
        <v>25</v>
      </c>
      <c r="K12" s="56">
        <f>if(IsNA(vlookup(C12,'Jan Att'!$I$2:$J$76,2,0)),0,vlookup(C12,'Jan Att'!$I$2:$J$76,2,0))</f>
        <v>1</v>
      </c>
      <c r="L12" s="60">
        <f t="shared" si="4"/>
        <v>25</v>
      </c>
    </row>
    <row r="13">
      <c r="A13" s="49" t="s">
        <v>242</v>
      </c>
      <c r="B13" s="49" t="s">
        <v>244</v>
      </c>
      <c r="C13" s="51" t="str">
        <f t="shared" si="1"/>
        <v>Mark Dasco</v>
      </c>
      <c r="D13" s="49" t="s">
        <v>98</v>
      </c>
      <c r="E13" s="53" t="str">
        <f>vlookup(D13,'Invoice ClientIds'!$B$2:$D$100,3,0)</f>
        <v>21</v>
      </c>
      <c r="F13" s="18">
        <v>15.0</v>
      </c>
      <c r="G13" s="56" t="str">
        <f t="shared" si="2"/>
        <v>Mark Dasco Jan Attendance - 4 sessions</v>
      </c>
      <c r="H13" s="26" t="s">
        <v>348</v>
      </c>
      <c r="I13" s="18">
        <v>1.0</v>
      </c>
      <c r="J13" s="56">
        <f t="shared" si="3"/>
        <v>40</v>
      </c>
      <c r="K13" s="56">
        <f>if(IsNA(vlookup(C13,'Jan Att'!$I$2:$J$76,2,0)),0,vlookup(C13,'Jan Att'!$I$2:$J$76,2,0))</f>
        <v>4</v>
      </c>
      <c r="L13" s="60">
        <f t="shared" si="4"/>
        <v>40</v>
      </c>
    </row>
    <row r="14">
      <c r="A14" s="61" t="s">
        <v>263</v>
      </c>
      <c r="B14" s="61" t="s">
        <v>264</v>
      </c>
      <c r="C14" s="51" t="str">
        <f t="shared" si="1"/>
        <v>Roldan Discaya</v>
      </c>
      <c r="D14" s="49" t="s">
        <v>265</v>
      </c>
      <c r="E14" s="53" t="str">
        <f>vlookup(D14,'Invoice ClientIds'!$B$2:$D$100,3,0)</f>
        <v>1e8ef7fe-5922-4927-8471-70cab702e874</v>
      </c>
      <c r="F14" s="18">
        <v>15.0</v>
      </c>
      <c r="G14" s="56" t="str">
        <f t="shared" si="2"/>
        <v>Roldan Discaya Jan Attendance - 3 sessions</v>
      </c>
      <c r="H14" s="26" t="s">
        <v>348</v>
      </c>
      <c r="I14" s="18">
        <v>1.0</v>
      </c>
      <c r="J14" s="56">
        <f t="shared" si="3"/>
        <v>40</v>
      </c>
      <c r="K14" s="56">
        <f>if(IsNA(vlookup(C14,'Jan Att'!$I$2:$J$76,2,0)),0,vlookup(C14,'Jan Att'!$I$2:$J$76,2,0))</f>
        <v>3</v>
      </c>
      <c r="L14" s="60">
        <f t="shared" si="4"/>
        <v>40</v>
      </c>
    </row>
    <row r="15">
      <c r="A15" s="49" t="s">
        <v>275</v>
      </c>
      <c r="B15" s="49" t="s">
        <v>276</v>
      </c>
      <c r="C15" s="51" t="str">
        <f t="shared" si="1"/>
        <v>Jonathan De Guzman</v>
      </c>
      <c r="D15" s="49" t="s">
        <v>77</v>
      </c>
      <c r="E15" s="53" t="str">
        <f>vlookup(D15,'Invoice ClientIds'!$B$2:$D$100,3,0)</f>
        <v>15</v>
      </c>
      <c r="F15" s="18">
        <v>15.0</v>
      </c>
      <c r="G15" s="56" t="str">
        <f t="shared" si="2"/>
        <v>Jonathan De Guzman Jan Attendance - 0 sessions</v>
      </c>
      <c r="H15" s="26" t="s">
        <v>348</v>
      </c>
      <c r="I15" s="18">
        <v>1.0</v>
      </c>
      <c r="J15" s="56">
        <f t="shared" si="3"/>
        <v>25</v>
      </c>
      <c r="K15" s="56">
        <f>if(IsNA(vlookup(C15,'Jan Att'!$I$2:$J$76,2,0)),0,vlookup(C15,'Jan Att'!$I$2:$J$76,2,0))</f>
        <v>0</v>
      </c>
      <c r="L15" s="60">
        <f t="shared" si="4"/>
        <v>25</v>
      </c>
    </row>
    <row r="16">
      <c r="A16" s="49" t="s">
        <v>292</v>
      </c>
      <c r="B16" s="49" t="s">
        <v>276</v>
      </c>
      <c r="C16" s="51" t="str">
        <f t="shared" si="1"/>
        <v>Ime De Guzman</v>
      </c>
      <c r="D16" s="49" t="s">
        <v>77</v>
      </c>
      <c r="E16" s="53" t="str">
        <f>vlookup(D16,'Invoice ClientIds'!$B$2:$D$100,3,0)</f>
        <v>15</v>
      </c>
      <c r="F16" s="18">
        <v>15.0</v>
      </c>
      <c r="G16" s="56" t="str">
        <f t="shared" si="2"/>
        <v>Ime De Guzman Jan Attendance - 0 sessions</v>
      </c>
      <c r="H16" s="26" t="s">
        <v>348</v>
      </c>
      <c r="I16" s="18">
        <v>1.0</v>
      </c>
      <c r="J16" s="56">
        <f t="shared" si="3"/>
        <v>25</v>
      </c>
      <c r="K16" s="56">
        <f>if(IsNA(vlookup(C16,'Jan Att'!$I$2:$J$76,2,0)),0,vlookup(C16,'Jan Att'!$I$2:$J$76,2,0))</f>
        <v>0</v>
      </c>
      <c r="L16" s="60">
        <f t="shared" si="4"/>
        <v>25</v>
      </c>
    </row>
    <row r="17">
      <c r="A17" s="49" t="s">
        <v>313</v>
      </c>
      <c r="B17" s="49" t="s">
        <v>299</v>
      </c>
      <c r="C17" s="51" t="str">
        <f t="shared" si="1"/>
        <v>Jed Garcia</v>
      </c>
      <c r="D17" s="49" t="s">
        <v>273</v>
      </c>
      <c r="E17" s="53">
        <v>72.0</v>
      </c>
      <c r="F17" s="18">
        <v>15.0</v>
      </c>
      <c r="G17" s="56" t="str">
        <f t="shared" si="2"/>
        <v>Jed Garcia Jan Attendance - 1 session</v>
      </c>
      <c r="H17" s="26" t="s">
        <v>357</v>
      </c>
      <c r="I17" s="18">
        <v>1.0</v>
      </c>
      <c r="J17" s="56">
        <f t="shared" si="3"/>
        <v>25</v>
      </c>
      <c r="K17" s="56">
        <f>if(IsNA(vlookup(C17,'Jan Att'!$I$2:$J$76,2,0)),0,vlookup(C17,'Jan Att'!$I$2:$J$76,2,0))</f>
        <v>1</v>
      </c>
      <c r="L17" s="60">
        <f t="shared" si="4"/>
        <v>25</v>
      </c>
    </row>
    <row r="18">
      <c r="A18" s="61" t="s">
        <v>298</v>
      </c>
      <c r="B18" s="61" t="s">
        <v>299</v>
      </c>
      <c r="C18" s="51" t="str">
        <f t="shared" si="1"/>
        <v>Josel Garcia</v>
      </c>
      <c r="D18" s="61" t="s">
        <v>273</v>
      </c>
      <c r="E18" s="53">
        <f>vlookup(D18,'Invoice ClientIds'!$B$2:$D$100,3,0)</f>
        <v>72</v>
      </c>
      <c r="F18" s="18">
        <v>15.0</v>
      </c>
      <c r="G18" s="56" t="str">
        <f t="shared" si="2"/>
        <v>Josel Garcia Jan Attendance - 1 session</v>
      </c>
      <c r="H18" s="26" t="s">
        <v>348</v>
      </c>
      <c r="I18" s="18">
        <v>1.0</v>
      </c>
      <c r="J18" s="56">
        <f t="shared" si="3"/>
        <v>25</v>
      </c>
      <c r="K18" s="56">
        <f>if(IsNA(vlookup(C18,'Jan Att'!$I$2:$J$76,2,0)),0,vlookup(C18,'Jan Att'!$I$2:$J$76,2,0))</f>
        <v>1</v>
      </c>
      <c r="L18" s="60">
        <f t="shared" si="4"/>
        <v>25</v>
      </c>
    </row>
    <row r="19">
      <c r="A19" s="61" t="s">
        <v>309</v>
      </c>
      <c r="B19" s="61" t="s">
        <v>299</v>
      </c>
      <c r="C19" s="51" t="str">
        <f t="shared" si="1"/>
        <v>Aileen Garcia</v>
      </c>
      <c r="D19" s="61" t="s">
        <v>273</v>
      </c>
      <c r="E19" s="53">
        <f>vlookup(D19,'Invoice ClientIds'!$B$2:$D$100,3,0)</f>
        <v>72</v>
      </c>
      <c r="F19" s="18">
        <v>15.0</v>
      </c>
      <c r="G19" s="56" t="str">
        <f t="shared" si="2"/>
        <v>Aileen Garcia Jan Attendance - 1 session</v>
      </c>
      <c r="H19" s="26" t="s">
        <v>348</v>
      </c>
      <c r="I19" s="18">
        <v>1.0</v>
      </c>
      <c r="J19" s="56">
        <f t="shared" si="3"/>
        <v>25</v>
      </c>
      <c r="K19" s="56">
        <f>if(IsNA(vlookup(C19,'Jan Att'!$I$2:$J$76,2,0)),0,vlookup(C19,'Jan Att'!$I$2:$J$76,2,0))</f>
        <v>1</v>
      </c>
      <c r="L19" s="60">
        <f t="shared" si="4"/>
        <v>25</v>
      </c>
    </row>
    <row r="20">
      <c r="A20" s="61" t="s">
        <v>314</v>
      </c>
      <c r="B20" s="61" t="s">
        <v>417</v>
      </c>
      <c r="C20" s="51" t="str">
        <f t="shared" si="1"/>
        <v>Aashish Kumar</v>
      </c>
      <c r="D20" s="61" t="s">
        <v>301</v>
      </c>
      <c r="E20" s="53" t="str">
        <f>vlookup(D20,'Invoice ClientIds'!$B$2:$D$100,3,0)</f>
        <v>d82e7614-b40a-46ae-a48b-143c809bca66</v>
      </c>
      <c r="F20" s="18">
        <v>15.0</v>
      </c>
      <c r="G20" s="56" t="str">
        <f t="shared" si="2"/>
        <v>Aashish Kumar Jan Attendance - 3 sessions</v>
      </c>
      <c r="H20" s="26" t="s">
        <v>348</v>
      </c>
      <c r="I20" s="18">
        <v>1.0</v>
      </c>
      <c r="J20" s="56">
        <f t="shared" si="3"/>
        <v>40</v>
      </c>
      <c r="K20" s="56">
        <f>if(IsNA(vlookup(C20,'Jan Att'!$I$2:$J$76,2,0)),0,vlookup(C20,'Jan Att'!$I$2:$J$76,2,0))</f>
        <v>3</v>
      </c>
      <c r="L20" s="60">
        <f t="shared" si="4"/>
        <v>40</v>
      </c>
    </row>
    <row r="21">
      <c r="A21" s="61" t="s">
        <v>316</v>
      </c>
      <c r="B21" s="61" t="s">
        <v>317</v>
      </c>
      <c r="C21" s="51" t="str">
        <f t="shared" si="1"/>
        <v>Rohith Krishna</v>
      </c>
      <c r="D21" s="61" t="s">
        <v>304</v>
      </c>
      <c r="E21" s="53" t="str">
        <f>vlookup(D21,'Invoice ClientIds'!$B$2:$D$100,3,0)</f>
        <v>5d744242-e398-4705-b209-5c1d3de276bd</v>
      </c>
      <c r="F21" s="18">
        <v>15.0</v>
      </c>
      <c r="G21" s="56" t="str">
        <f t="shared" si="2"/>
        <v>Rohith Krishna Jan Attendance - 2 sessions</v>
      </c>
      <c r="H21" s="26" t="s">
        <v>348</v>
      </c>
      <c r="I21" s="18">
        <v>1.0</v>
      </c>
      <c r="J21" s="56">
        <f t="shared" si="3"/>
        <v>25</v>
      </c>
      <c r="K21" s="56">
        <f>if(IsNA(vlookup(C21,'Jan Att'!$I$2:$J$76,2,0)),0,vlookup(C21,'Jan Att'!$I$2:$J$76,2,0))</f>
        <v>2</v>
      </c>
      <c r="L21" s="60">
        <f t="shared" si="4"/>
        <v>25</v>
      </c>
    </row>
    <row r="22">
      <c r="A22" s="49" t="s">
        <v>318</v>
      </c>
      <c r="B22" s="49" t="s">
        <v>319</v>
      </c>
      <c r="C22" s="51" t="str">
        <f t="shared" si="1"/>
        <v>Glen Macaraeg</v>
      </c>
      <c r="D22" s="49" t="s">
        <v>143</v>
      </c>
      <c r="E22" s="53" t="str">
        <f>vlookup(D22,'Invoice ClientIds'!$B$2:$D$100,3,0)</f>
        <v>36</v>
      </c>
      <c r="F22" s="18">
        <v>15.0</v>
      </c>
      <c r="G22" s="56" t="str">
        <f t="shared" si="2"/>
        <v>Glen Macaraeg Jan Attendance - 3 sessions</v>
      </c>
      <c r="H22" s="26" t="s">
        <v>348</v>
      </c>
      <c r="I22" s="18">
        <v>1.0</v>
      </c>
      <c r="J22" s="56">
        <f t="shared" si="3"/>
        <v>40</v>
      </c>
      <c r="K22" s="56">
        <f>if(IsNA(vlookup(C22,'Jan Att'!$I$2:$J$76,2,0)),0,vlookup(C22,'Jan Att'!$I$2:$J$76,2,0))</f>
        <v>3</v>
      </c>
      <c r="L22" s="60">
        <f t="shared" si="4"/>
        <v>40</v>
      </c>
    </row>
    <row r="23">
      <c r="A23" s="49" t="s">
        <v>328</v>
      </c>
      <c r="B23" s="49" t="s">
        <v>319</v>
      </c>
      <c r="C23" s="51" t="str">
        <f t="shared" si="1"/>
        <v>Tess Macaraeg</v>
      </c>
      <c r="D23" s="49" t="s">
        <v>143</v>
      </c>
      <c r="E23" s="53" t="str">
        <f>vlookup(D23,'Invoice ClientIds'!$B$2:$D$100,3,0)</f>
        <v>36</v>
      </c>
      <c r="F23" s="18">
        <v>15.0</v>
      </c>
      <c r="G23" s="56" t="str">
        <f t="shared" si="2"/>
        <v>Tess Macaraeg Jan Attendance - 2 sessions</v>
      </c>
      <c r="H23" s="26" t="s">
        <v>348</v>
      </c>
      <c r="I23" s="18">
        <v>1.0</v>
      </c>
      <c r="J23" s="56">
        <f t="shared" si="3"/>
        <v>25</v>
      </c>
      <c r="K23" s="56">
        <f>if(IsNA(vlookup(C23,'Jan Att'!$I$2:$J$76,2,0)),0,vlookup(C23,'Jan Att'!$I$2:$J$76,2,0))</f>
        <v>2</v>
      </c>
      <c r="L23" s="60">
        <f t="shared" si="4"/>
        <v>25</v>
      </c>
    </row>
    <row r="24">
      <c r="A24" s="49" t="s">
        <v>333</v>
      </c>
      <c r="B24" s="49" t="s">
        <v>335</v>
      </c>
      <c r="C24" s="51" t="str">
        <f t="shared" si="1"/>
        <v>Alex Marundan</v>
      </c>
      <c r="D24" s="49" t="s">
        <v>255</v>
      </c>
      <c r="E24" s="53">
        <v>67.0</v>
      </c>
      <c r="F24" s="18">
        <v>15.0</v>
      </c>
      <c r="G24" s="56" t="str">
        <f t="shared" si="2"/>
        <v>Alex Marundan Jan Attendance - 0 sessions</v>
      </c>
      <c r="H24" s="26" t="s">
        <v>348</v>
      </c>
      <c r="I24" s="18">
        <v>1.0</v>
      </c>
      <c r="J24" s="56">
        <f t="shared" si="3"/>
        <v>25</v>
      </c>
      <c r="K24" s="56">
        <f>if(IsNA(vlookup(C24,'Jan Att'!$I$2:$J$76,2,0)),0,vlookup(C24,'Jan Att'!$I$2:$J$76,2,0))</f>
        <v>0</v>
      </c>
      <c r="L24" s="60">
        <f t="shared" si="4"/>
        <v>25</v>
      </c>
    </row>
    <row r="25">
      <c r="A25" s="49" t="s">
        <v>340</v>
      </c>
      <c r="B25" s="49" t="s">
        <v>341</v>
      </c>
      <c r="C25" s="51" t="str">
        <f t="shared" si="1"/>
        <v>Maritoni Mesina</v>
      </c>
      <c r="D25" s="49" t="s">
        <v>184</v>
      </c>
      <c r="E25" s="53">
        <f>vlookup(D25,'Invoice ClientIds'!$B$2:$D$100,3,0)</f>
        <v>46</v>
      </c>
      <c r="F25" s="18">
        <v>15.0</v>
      </c>
      <c r="G25" s="56" t="str">
        <f t="shared" si="2"/>
        <v>Maritoni Mesina Jan Attendance - 2 sessions</v>
      </c>
      <c r="H25" s="26" t="s">
        <v>348</v>
      </c>
      <c r="I25" s="18">
        <v>1.0</v>
      </c>
      <c r="J25" s="56">
        <f t="shared" si="3"/>
        <v>25</v>
      </c>
      <c r="K25" s="56">
        <f>if(IsNA(vlookup(C25,'Jan Att'!$I$2:$J$76,2,0)),0,vlookup(C25,'Jan Att'!$I$2:$J$76,2,0))</f>
        <v>2</v>
      </c>
      <c r="L25" s="60">
        <f t="shared" si="4"/>
        <v>25</v>
      </c>
    </row>
    <row r="26">
      <c r="A26" s="49" t="s">
        <v>342</v>
      </c>
      <c r="B26" s="49" t="s">
        <v>341</v>
      </c>
      <c r="C26" s="51" t="str">
        <f t="shared" si="1"/>
        <v>Bimbo Mesina</v>
      </c>
      <c r="D26" s="49" t="s">
        <v>184</v>
      </c>
      <c r="E26" s="53">
        <f>vlookup(D26,'Invoice ClientIds'!$B$2:$D$100,3,0)</f>
        <v>46</v>
      </c>
      <c r="F26" s="18">
        <v>15.0</v>
      </c>
      <c r="G26" s="56" t="str">
        <f t="shared" si="2"/>
        <v>Bimbo Mesina Jan Attendance - 2 sessions</v>
      </c>
      <c r="H26" s="26" t="s">
        <v>348</v>
      </c>
      <c r="I26" s="18">
        <v>1.0</v>
      </c>
      <c r="J26" s="56">
        <f t="shared" si="3"/>
        <v>25</v>
      </c>
      <c r="K26" s="56">
        <f>if(IsNA(vlookup(C26,'Jan Att'!$I$2:$J$76,2,0)),0,vlookup(C26,'Jan Att'!$I$2:$J$76,2,0))</f>
        <v>2</v>
      </c>
      <c r="L26" s="60">
        <f t="shared" si="4"/>
        <v>25</v>
      </c>
    </row>
    <row r="27">
      <c r="A27" s="49" t="s">
        <v>345</v>
      </c>
      <c r="B27" s="49" t="s">
        <v>346</v>
      </c>
      <c r="C27" s="51" t="str">
        <f t="shared" si="1"/>
        <v>Marlon Nacua</v>
      </c>
      <c r="D27" s="49" t="s">
        <v>87</v>
      </c>
      <c r="E27" s="53" t="str">
        <f>vlookup(D27,'Invoice ClientIds'!$B$2:$D$100,3,0)</f>
        <v>18</v>
      </c>
      <c r="F27" s="18">
        <v>15.0</v>
      </c>
      <c r="G27" s="56" t="str">
        <f t="shared" si="2"/>
        <v>Marlon Nacua Jan Attendance - 2 sessions</v>
      </c>
      <c r="H27" s="26" t="s">
        <v>348</v>
      </c>
      <c r="I27" s="18">
        <v>1.0</v>
      </c>
      <c r="J27" s="56">
        <f t="shared" si="3"/>
        <v>25</v>
      </c>
      <c r="K27" s="56">
        <f>if(IsNA(vlookup(C27,'Jan Att'!$I$2:$J$76,2,0)),0,vlookup(C27,'Jan Att'!$I$2:$J$76,2,0))</f>
        <v>2</v>
      </c>
      <c r="L27" s="60">
        <f t="shared" si="4"/>
        <v>25</v>
      </c>
    </row>
    <row r="28">
      <c r="A28" s="49" t="s">
        <v>347</v>
      </c>
      <c r="B28" s="49" t="s">
        <v>346</v>
      </c>
      <c r="C28" s="51" t="str">
        <f t="shared" si="1"/>
        <v>Lorraine Nacua</v>
      </c>
      <c r="D28" s="49" t="s">
        <v>87</v>
      </c>
      <c r="E28" s="53" t="str">
        <f>vlookup(D28,'Invoice ClientIds'!$B$2:$D$100,3,0)</f>
        <v>18</v>
      </c>
      <c r="F28" s="18">
        <v>15.0</v>
      </c>
      <c r="G28" s="56" t="str">
        <f t="shared" si="2"/>
        <v>Lorraine Nacua Jan Attendance - 2 sessions</v>
      </c>
      <c r="H28" s="26" t="s">
        <v>348</v>
      </c>
      <c r="I28" s="18">
        <v>1.0</v>
      </c>
      <c r="J28" s="56">
        <f t="shared" si="3"/>
        <v>25</v>
      </c>
      <c r="K28" s="56">
        <f>if(IsNA(vlookup(C28,'Jan Att'!$I$2:$J$76,2,0)),0,vlookup(C28,'Jan Att'!$I$2:$J$76,2,0))</f>
        <v>2</v>
      </c>
      <c r="L28" s="60">
        <f t="shared" si="4"/>
        <v>25</v>
      </c>
    </row>
    <row r="29">
      <c r="A29" s="61" t="s">
        <v>351</v>
      </c>
      <c r="B29" s="49" t="s">
        <v>350</v>
      </c>
      <c r="C29" s="51" t="str">
        <f t="shared" si="1"/>
        <v>Reiner Nalzaro</v>
      </c>
      <c r="D29" s="49" t="s">
        <v>128</v>
      </c>
      <c r="E29" s="53" t="str">
        <f>vlookup(D29,'Invoice ClientIds'!$B$2:$D$100,3,0)</f>
        <v>31</v>
      </c>
      <c r="F29" s="18">
        <v>15.0</v>
      </c>
      <c r="G29" s="56" t="str">
        <f t="shared" si="2"/>
        <v>Reiner Nalzaro Jan Attendance - 4 sessions</v>
      </c>
      <c r="H29" s="26" t="s">
        <v>348</v>
      </c>
      <c r="I29" s="18">
        <v>1.0</v>
      </c>
      <c r="J29" s="56">
        <f t="shared" si="3"/>
        <v>40</v>
      </c>
      <c r="K29" s="56">
        <f>if(IsNA(vlookup(C29,'Jan Att'!$I$2:$J$76,2,0)),0,vlookup(C29,'Jan Att'!$I$2:$J$76,2,0))</f>
        <v>4</v>
      </c>
      <c r="L29" s="60">
        <f t="shared" si="4"/>
        <v>40</v>
      </c>
    </row>
    <row r="30">
      <c r="A30" s="49" t="s">
        <v>349</v>
      </c>
      <c r="B30" s="49" t="s">
        <v>350</v>
      </c>
      <c r="C30" s="51" t="str">
        <f t="shared" si="1"/>
        <v>Reinhardt Nalzaro</v>
      </c>
      <c r="D30" s="61" t="s">
        <v>296</v>
      </c>
      <c r="E30" s="53" t="str">
        <f>vlookup(D30,'Invoice ClientIds'!$B$2:$D$100,3,0)</f>
        <v>e7de831f-d2aa-4e7a-b94c-36977657934d</v>
      </c>
      <c r="F30" s="18">
        <v>15.0</v>
      </c>
      <c r="G30" s="56" t="str">
        <f t="shared" si="2"/>
        <v>Reinhardt Nalzaro Jan Attendance - 3 sessions</v>
      </c>
      <c r="H30" s="26" t="s">
        <v>357</v>
      </c>
      <c r="I30" s="18">
        <v>1.0</v>
      </c>
      <c r="J30" s="56">
        <f t="shared" si="3"/>
        <v>25</v>
      </c>
      <c r="K30" s="56">
        <f>if(IsNA(vlookup(C30,'Jan Att'!$I$2:$J$76,2,0)),0,vlookup(C30,'Jan Att'!$I$2:$J$76,2,0))</f>
        <v>3</v>
      </c>
      <c r="L30" s="68">
        <v>25.0</v>
      </c>
    </row>
    <row r="31">
      <c r="A31" s="49" t="s">
        <v>352</v>
      </c>
      <c r="B31" s="49" t="s">
        <v>353</v>
      </c>
      <c r="C31" s="51" t="str">
        <f t="shared" si="1"/>
        <v>Jess Pangilinan</v>
      </c>
      <c r="D31" s="49" t="s">
        <v>140</v>
      </c>
      <c r="E31" s="53" t="str">
        <f>vlookup(D31,'Invoice ClientIds'!$B$2:$D$100,3,0)</f>
        <v>35</v>
      </c>
      <c r="F31" s="18">
        <v>15.0</v>
      </c>
      <c r="G31" s="56" t="str">
        <f t="shared" si="2"/>
        <v>Jess Pangilinan Jan Attendance - 2 sessions</v>
      </c>
      <c r="H31" s="26" t="s">
        <v>348</v>
      </c>
      <c r="I31" s="18">
        <v>1.0</v>
      </c>
      <c r="J31" s="56">
        <f t="shared" si="3"/>
        <v>25</v>
      </c>
      <c r="K31" s="56">
        <f>if(IsNA(vlookup(C31,'Jan Att'!$I$2:$J$76,2,0)),0,vlookup(C31,'Jan Att'!$I$2:$J$76,2,0))</f>
        <v>2</v>
      </c>
      <c r="L31" s="60">
        <f t="shared" ref="L31:L32" si="5">I31*J31</f>
        <v>25</v>
      </c>
    </row>
    <row r="32">
      <c r="A32" s="49" t="s">
        <v>354</v>
      </c>
      <c r="B32" s="49" t="s">
        <v>353</v>
      </c>
      <c r="C32" s="51" t="str">
        <f t="shared" si="1"/>
        <v>Terry Pangilinan</v>
      </c>
      <c r="D32" s="49" t="s">
        <v>140</v>
      </c>
      <c r="E32" s="53" t="str">
        <f>vlookup(D32,'Invoice ClientIds'!$B$2:$D$100,3,0)</f>
        <v>35</v>
      </c>
      <c r="F32" s="18">
        <v>15.0</v>
      </c>
      <c r="G32" s="56" t="str">
        <f t="shared" si="2"/>
        <v>Terry Pangilinan Jan Attendance - 1 session</v>
      </c>
      <c r="H32" s="26" t="s">
        <v>348</v>
      </c>
      <c r="I32" s="18">
        <v>1.0</v>
      </c>
      <c r="J32" s="56">
        <f t="shared" si="3"/>
        <v>25</v>
      </c>
      <c r="K32" s="56">
        <f>if(IsNA(vlookup(C32,'Jan Att'!$I$2:$J$76,2,0)),0,vlookup(C32,'Jan Att'!$I$2:$J$76,2,0))</f>
        <v>1</v>
      </c>
      <c r="L32" s="60">
        <f t="shared" si="5"/>
        <v>25</v>
      </c>
    </row>
    <row r="33">
      <c r="A33" s="49" t="s">
        <v>356</v>
      </c>
      <c r="B33" s="49" t="s">
        <v>353</v>
      </c>
      <c r="C33" s="51" t="str">
        <f t="shared" si="1"/>
        <v>Nina Pangilinan</v>
      </c>
      <c r="D33" s="49" t="s">
        <v>140</v>
      </c>
      <c r="E33" s="53" t="str">
        <f>vlookup(D33,'Invoice ClientIds'!$B$2:$D$100,3,0)</f>
        <v>35</v>
      </c>
      <c r="F33" s="18">
        <v>15.0</v>
      </c>
      <c r="G33" s="56" t="str">
        <f t="shared" si="2"/>
        <v>Nina Pangilinan Jan Attendance - 2 sessions</v>
      </c>
      <c r="H33" s="26" t="s">
        <v>357</v>
      </c>
      <c r="I33" s="18">
        <v>1.0</v>
      </c>
      <c r="J33" s="56">
        <f t="shared" si="3"/>
        <v>25</v>
      </c>
      <c r="K33" s="56">
        <f>if(IsNA(vlookup(C33,'Jan Att'!$I$2:$J$76,2,0)),0,vlookup(C33,'Jan Att'!$I$2:$J$76,2,0))</f>
        <v>2</v>
      </c>
      <c r="L33" s="68">
        <v>25.0</v>
      </c>
    </row>
    <row r="34">
      <c r="A34" s="49" t="s">
        <v>355</v>
      </c>
      <c r="B34" s="49" t="s">
        <v>353</v>
      </c>
      <c r="C34" s="51" t="str">
        <f t="shared" si="1"/>
        <v>Ceth Pangilinan</v>
      </c>
      <c r="D34" s="49" t="s">
        <v>140</v>
      </c>
      <c r="E34" s="53" t="str">
        <f>vlookup(D34,'Invoice ClientIds'!$B$2:$D$100,3,0)</f>
        <v>35</v>
      </c>
      <c r="F34" s="18">
        <v>15.0</v>
      </c>
      <c r="G34" s="56" t="str">
        <f t="shared" si="2"/>
        <v>Ceth Pangilinan Jan Attendance - 2 sessions</v>
      </c>
      <c r="H34" s="26" t="s">
        <v>357</v>
      </c>
      <c r="I34" s="18">
        <v>1.0</v>
      </c>
      <c r="J34" s="56">
        <f t="shared" si="3"/>
        <v>25</v>
      </c>
      <c r="K34" s="56">
        <f>if(IsNA(vlookup(C34,'Jan Att'!$I$2:$J$76,2,0)),0,vlookup(C34,'Jan Att'!$I$2:$J$76,2,0))</f>
        <v>2</v>
      </c>
      <c r="L34" s="68">
        <v>25.0</v>
      </c>
    </row>
    <row r="35">
      <c r="A35" s="49" t="s">
        <v>358</v>
      </c>
      <c r="B35" s="49" t="s">
        <v>359</v>
      </c>
      <c r="C35" s="51" t="str">
        <f t="shared" si="1"/>
        <v>Allan Puente</v>
      </c>
      <c r="D35" s="49" t="s">
        <v>41</v>
      </c>
      <c r="E35" s="53" t="str">
        <f>vlookup(D35,'Invoice ClientIds'!$B$2:$D$100,3,0)</f>
        <v>4</v>
      </c>
      <c r="F35" s="18">
        <v>15.0</v>
      </c>
      <c r="G35" s="56" t="str">
        <f t="shared" si="2"/>
        <v>Allan Puente Jan Attendance - 0 sessions</v>
      </c>
      <c r="H35" s="26" t="s">
        <v>348</v>
      </c>
      <c r="I35" s="18">
        <v>1.0</v>
      </c>
      <c r="J35" s="56">
        <f t="shared" si="3"/>
        <v>25</v>
      </c>
      <c r="K35" s="56">
        <f>if(IsNA(vlookup(C35,'Jan Att'!$I$2:$J$76,2,0)),0,vlookup(C35,'Jan Att'!$I$2:$J$76,2,0))</f>
        <v>0</v>
      </c>
      <c r="L35" s="60">
        <f t="shared" ref="L35:L47" si="6">I35*J35</f>
        <v>25</v>
      </c>
    </row>
    <row r="36">
      <c r="A36" s="49" t="s">
        <v>361</v>
      </c>
      <c r="B36" s="49" t="s">
        <v>362</v>
      </c>
      <c r="C36" s="51" t="str">
        <f t="shared" si="1"/>
        <v>Rodel Rillera</v>
      </c>
      <c r="D36" s="49" t="s">
        <v>94</v>
      </c>
      <c r="E36" s="53" t="str">
        <f>vlookup(D36,'Invoice ClientIds'!$B$2:$D$100,3,0)</f>
        <v>20</v>
      </c>
      <c r="F36" s="18">
        <v>15.0</v>
      </c>
      <c r="G36" s="56" t="str">
        <f t="shared" si="2"/>
        <v>Rodel Rillera Jan Attendance - 1 session</v>
      </c>
      <c r="H36" s="26" t="s">
        <v>348</v>
      </c>
      <c r="I36" s="18">
        <v>1.0</v>
      </c>
      <c r="J36" s="56">
        <f t="shared" si="3"/>
        <v>25</v>
      </c>
      <c r="K36" s="56">
        <f>if(IsNA(vlookup(C36,'Jan Att'!$I$2:$J$76,2,0)),0,vlookup(C36,'Jan Att'!$I$2:$J$76,2,0))</f>
        <v>1</v>
      </c>
      <c r="L36" s="60">
        <f t="shared" si="6"/>
        <v>25</v>
      </c>
    </row>
    <row r="37">
      <c r="A37" s="49" t="s">
        <v>367</v>
      </c>
      <c r="B37" s="49" t="s">
        <v>362</v>
      </c>
      <c r="C37" s="51" t="str">
        <f t="shared" si="1"/>
        <v>Marianne Rillera</v>
      </c>
      <c r="D37" s="49" t="s">
        <v>94</v>
      </c>
      <c r="E37" s="53" t="str">
        <f>vlookup(D37,'Invoice ClientIds'!$B$2:$D$100,3,0)</f>
        <v>20</v>
      </c>
      <c r="F37" s="18">
        <v>15.0</v>
      </c>
      <c r="G37" s="56" t="str">
        <f t="shared" si="2"/>
        <v>Marianne Rillera Jan Attendance - 1 session</v>
      </c>
      <c r="H37" s="26" t="s">
        <v>348</v>
      </c>
      <c r="I37" s="18">
        <v>1.0</v>
      </c>
      <c r="J37" s="56">
        <f t="shared" si="3"/>
        <v>25</v>
      </c>
      <c r="K37" s="56">
        <f>if(IsNA(vlookup(C37,'Jan Att'!$I$2:$J$76,2,0)),0,vlookup(C37,'Jan Att'!$I$2:$J$76,2,0))</f>
        <v>1</v>
      </c>
      <c r="L37" s="60">
        <f t="shared" si="6"/>
        <v>25</v>
      </c>
    </row>
    <row r="38">
      <c r="A38" s="61" t="s">
        <v>370</v>
      </c>
      <c r="B38" s="61" t="s">
        <v>372</v>
      </c>
      <c r="C38" s="51" t="str">
        <f t="shared" si="1"/>
        <v>Rinaldi Roque</v>
      </c>
      <c r="D38" s="61" t="s">
        <v>307</v>
      </c>
      <c r="E38" s="53" t="str">
        <f>vlookup(D38,'Invoice ClientIds'!$B$2:$D$100,3,0)</f>
        <v>d03b3e08-1f8e-489e-a104-04f382902878</v>
      </c>
      <c r="F38" s="18">
        <v>15.0</v>
      </c>
      <c r="G38" s="56" t="str">
        <f t="shared" si="2"/>
        <v>Rinaldi Roque Jan Attendance - 2 sessions</v>
      </c>
      <c r="H38" s="26" t="s">
        <v>348</v>
      </c>
      <c r="I38" s="18">
        <v>1.0</v>
      </c>
      <c r="J38" s="56">
        <f t="shared" si="3"/>
        <v>25</v>
      </c>
      <c r="K38" s="56">
        <f>if(IsNA(vlookup(C38,'Jan Att'!$I$2:$J$76,2,0)),0,vlookup(C38,'Jan Att'!$I$2:$J$76,2,0))</f>
        <v>2</v>
      </c>
      <c r="L38" s="60">
        <f t="shared" si="6"/>
        <v>25</v>
      </c>
    </row>
    <row r="39">
      <c r="A39" s="49" t="s">
        <v>378</v>
      </c>
      <c r="B39" s="49" t="s">
        <v>379</v>
      </c>
      <c r="C39" s="51" t="str">
        <f t="shared" si="1"/>
        <v>Gay Salac</v>
      </c>
      <c r="D39" s="49" t="s">
        <v>91</v>
      </c>
      <c r="E39" s="53" t="str">
        <f>vlookup(D39,'Invoice ClientIds'!$B$2:$D$100,3,0)</f>
        <v>19</v>
      </c>
      <c r="F39" s="18">
        <v>15.0</v>
      </c>
      <c r="G39" s="56" t="str">
        <f t="shared" si="2"/>
        <v>Gay Salac Jan Attendance - 4 sessions</v>
      </c>
      <c r="H39" s="26" t="s">
        <v>348</v>
      </c>
      <c r="I39" s="18">
        <v>1.0</v>
      </c>
      <c r="J39" s="56">
        <f t="shared" si="3"/>
        <v>40</v>
      </c>
      <c r="K39" s="56">
        <f>if(IsNA(vlookup(C39,'Jan Att'!$I$2:$J$76,2,0)),0,vlookup(C39,'Jan Att'!$I$2:$J$76,2,0))</f>
        <v>4</v>
      </c>
      <c r="L39" s="60">
        <f t="shared" si="6"/>
        <v>40</v>
      </c>
    </row>
    <row r="40">
      <c r="A40" s="49" t="s">
        <v>387</v>
      </c>
      <c r="B40" s="49" t="s">
        <v>379</v>
      </c>
      <c r="C40" s="51" t="str">
        <f t="shared" si="1"/>
        <v>Manny Salac</v>
      </c>
      <c r="D40" s="49" t="s">
        <v>91</v>
      </c>
      <c r="E40" s="53" t="str">
        <f>vlookup(D40,'Invoice ClientIds'!$B$2:$D$100,3,0)</f>
        <v>19</v>
      </c>
      <c r="F40" s="18">
        <v>15.0</v>
      </c>
      <c r="G40" s="56" t="str">
        <f t="shared" si="2"/>
        <v>Manny Salac Jan Attendance - 4 sessions</v>
      </c>
      <c r="H40" s="26" t="s">
        <v>348</v>
      </c>
      <c r="I40" s="18">
        <v>1.0</v>
      </c>
      <c r="J40" s="56">
        <f t="shared" si="3"/>
        <v>40</v>
      </c>
      <c r="K40" s="56">
        <f>if(IsNA(vlookup(C40,'Jan Att'!$I$2:$J$76,2,0)),0,vlookup(C40,'Jan Att'!$I$2:$J$76,2,0))</f>
        <v>4</v>
      </c>
      <c r="L40" s="60">
        <f t="shared" si="6"/>
        <v>40</v>
      </c>
    </row>
    <row r="41">
      <c r="A41" s="49" t="s">
        <v>393</v>
      </c>
      <c r="B41" s="49" t="s">
        <v>394</v>
      </c>
      <c r="C41" s="51" t="str">
        <f t="shared" si="1"/>
        <v>Al Saulon</v>
      </c>
      <c r="D41" s="49" t="s">
        <v>30</v>
      </c>
      <c r="E41" s="53" t="str">
        <f>vlookup(D41,'Invoice ClientIds'!$B$2:$D$100,3,0)</f>
        <v>2</v>
      </c>
      <c r="F41" s="18">
        <v>15.0</v>
      </c>
      <c r="G41" s="56" t="str">
        <f t="shared" si="2"/>
        <v>Al Saulon Jan Attendance - 1 session</v>
      </c>
      <c r="H41" s="26" t="s">
        <v>348</v>
      </c>
      <c r="I41" s="18">
        <v>1.0</v>
      </c>
      <c r="J41" s="56">
        <f t="shared" si="3"/>
        <v>25</v>
      </c>
      <c r="K41" s="56">
        <f>if(IsNA(vlookup(C41,'Jan Att'!$I$2:$J$76,2,0)),0,vlookup(C41,'Jan Att'!$I$2:$J$76,2,0))</f>
        <v>1</v>
      </c>
      <c r="L41" s="60">
        <f t="shared" si="6"/>
        <v>25</v>
      </c>
    </row>
    <row r="42">
      <c r="A42" s="49" t="s">
        <v>396</v>
      </c>
      <c r="B42" s="49" t="s">
        <v>394</v>
      </c>
      <c r="C42" s="51" t="str">
        <f t="shared" si="1"/>
        <v>Charrylou Saulon</v>
      </c>
      <c r="D42" s="49" t="s">
        <v>30</v>
      </c>
      <c r="E42" s="53" t="str">
        <f>vlookup(D42,'Invoice ClientIds'!$B$2:$D$100,3,0)</f>
        <v>2</v>
      </c>
      <c r="F42" s="18">
        <v>15.0</v>
      </c>
      <c r="G42" s="56" t="str">
        <f t="shared" si="2"/>
        <v>Charrylou Saulon Jan Attendance - 1 session</v>
      </c>
      <c r="H42" s="26" t="s">
        <v>348</v>
      </c>
      <c r="I42" s="18">
        <v>1.0</v>
      </c>
      <c r="J42" s="56">
        <f t="shared" si="3"/>
        <v>25</v>
      </c>
      <c r="K42" s="56">
        <f>if(IsNA(vlookup(C42,'Jan Att'!$I$2:$J$76,2,0)),0,vlookup(C42,'Jan Att'!$I$2:$J$76,2,0))</f>
        <v>1</v>
      </c>
      <c r="L42" s="60">
        <f t="shared" si="6"/>
        <v>25</v>
      </c>
    </row>
    <row r="43">
      <c r="A43" s="61" t="s">
        <v>401</v>
      </c>
      <c r="B43" s="49" t="s">
        <v>402</v>
      </c>
      <c r="C43" s="51" t="str">
        <f t="shared" si="1"/>
        <v>Ding Vega</v>
      </c>
      <c r="D43" s="49" t="s">
        <v>55</v>
      </c>
      <c r="E43" s="53" t="str">
        <f>vlookup(D43,'Invoice ClientIds'!$B$2:$D$100,3,0)</f>
        <v>9</v>
      </c>
      <c r="F43" s="18">
        <v>15.0</v>
      </c>
      <c r="G43" s="56" t="str">
        <f t="shared" si="2"/>
        <v>Ding Vega Jan Attendance - 3 sessions</v>
      </c>
      <c r="H43" s="26" t="s">
        <v>348</v>
      </c>
      <c r="I43" s="18">
        <v>1.0</v>
      </c>
      <c r="J43" s="56">
        <f t="shared" si="3"/>
        <v>40</v>
      </c>
      <c r="K43" s="56">
        <f>if(IsNA(vlookup(C43,'Jan Att'!$I$2:$J$76,2,0)),0,vlookup(C43,'Jan Att'!$I$2:$J$76,2,0))</f>
        <v>3</v>
      </c>
      <c r="L43" s="60">
        <f t="shared" si="6"/>
        <v>40</v>
      </c>
    </row>
    <row r="44">
      <c r="A44" s="61" t="s">
        <v>404</v>
      </c>
      <c r="B44" s="49" t="s">
        <v>402</v>
      </c>
      <c r="C44" s="51" t="str">
        <f t="shared" si="1"/>
        <v>Jodee Vega</v>
      </c>
      <c r="D44" s="49" t="s">
        <v>55</v>
      </c>
      <c r="E44" s="53" t="str">
        <f>vlookup(D44,'Invoice ClientIds'!$B$2:$D$100,3,0)</f>
        <v>9</v>
      </c>
      <c r="F44" s="18">
        <v>15.0</v>
      </c>
      <c r="G44" s="56" t="str">
        <f t="shared" si="2"/>
        <v>Jodee Vega Jan Attendance - 0 sessions</v>
      </c>
      <c r="H44" s="26" t="s">
        <v>357</v>
      </c>
      <c r="I44" s="18">
        <v>1.0</v>
      </c>
      <c r="J44" s="56">
        <f t="shared" si="3"/>
        <v>25</v>
      </c>
      <c r="K44" s="56">
        <f>if(IsNA(vlookup(C44,'Jan Att'!$I$2:$J$76,2,0)),0,vlookup(C44,'Jan Att'!$I$2:$J$76,2,0))</f>
        <v>0</v>
      </c>
      <c r="L44" s="60">
        <f t="shared" si="6"/>
        <v>25</v>
      </c>
    </row>
    <row r="45">
      <c r="A45" s="61" t="s">
        <v>405</v>
      </c>
      <c r="B45" s="61" t="s">
        <v>406</v>
      </c>
      <c r="C45" s="51" t="str">
        <f t="shared" si="1"/>
        <v>Leo Villanueva</v>
      </c>
      <c r="D45" s="49" t="s">
        <v>287</v>
      </c>
      <c r="E45" s="66">
        <v>76.0</v>
      </c>
      <c r="F45" s="18">
        <v>15.0</v>
      </c>
      <c r="G45" s="56" t="str">
        <f t="shared" si="2"/>
        <v>Leo Villanueva Jan Attendance - 2 sessions</v>
      </c>
      <c r="H45" s="26" t="s">
        <v>348</v>
      </c>
      <c r="I45" s="18">
        <v>1.0</v>
      </c>
      <c r="J45" s="56">
        <f t="shared" si="3"/>
        <v>25</v>
      </c>
      <c r="K45" s="56">
        <f>if(IsNA(vlookup(C45,'Jan Att'!$I$2:$J$76,2,0)),0,vlookup(C45,'Jan Att'!$I$2:$J$76,2,0))</f>
        <v>2</v>
      </c>
      <c r="L45" s="60">
        <f t="shared" si="6"/>
        <v>25</v>
      </c>
    </row>
    <row r="46">
      <c r="A46" s="61" t="s">
        <v>407</v>
      </c>
      <c r="B46" s="61" t="s">
        <v>406</v>
      </c>
      <c r="C46" s="51" t="str">
        <f t="shared" si="1"/>
        <v>Lance Villanueva</v>
      </c>
      <c r="D46" s="49" t="s">
        <v>287</v>
      </c>
      <c r="E46" s="66">
        <v>76.0</v>
      </c>
      <c r="F46" s="18">
        <v>15.0</v>
      </c>
      <c r="G46" s="56" t="str">
        <f t="shared" si="2"/>
        <v>Lance Villanueva Jan Attendance - 2 sessions</v>
      </c>
      <c r="H46" s="26" t="s">
        <v>357</v>
      </c>
      <c r="I46" s="18">
        <v>1.0</v>
      </c>
      <c r="J46" s="56">
        <f t="shared" si="3"/>
        <v>25</v>
      </c>
      <c r="K46" s="56">
        <f>if(IsNA(vlookup(C46,'Jan Att'!$I$2:$J$76,2,0)),0,vlookup(C46,'Jan Att'!$I$2:$J$76,2,0))</f>
        <v>2</v>
      </c>
      <c r="L46" s="60">
        <f t="shared" si="6"/>
        <v>25</v>
      </c>
    </row>
    <row r="47">
      <c r="A47" s="49" t="s">
        <v>398</v>
      </c>
      <c r="B47" s="49" t="s">
        <v>399</v>
      </c>
      <c r="C47" s="51" t="str">
        <f t="shared" si="1"/>
        <v>Wilfred Tupaz</v>
      </c>
      <c r="D47" s="49" t="s">
        <v>229</v>
      </c>
      <c r="E47" s="53">
        <f>vlookup(D47,'Invoice ClientIds'!$B$2:$D$100,3,0)</f>
        <v>59</v>
      </c>
      <c r="F47" s="18">
        <v>15.0</v>
      </c>
      <c r="G47" s="56" t="str">
        <f t="shared" si="2"/>
        <v>Wilfred Tupaz Jan Attendance - 0 sessions</v>
      </c>
      <c r="H47" s="26" t="s">
        <v>348</v>
      </c>
      <c r="I47" s="18">
        <v>1.0</v>
      </c>
      <c r="J47" s="56">
        <f t="shared" si="3"/>
        <v>25</v>
      </c>
      <c r="K47" s="56">
        <f>if(IsNA(vlookup(C47,'Jan Att'!$I$2:$J$76,2,0)),0,vlookup(C47,'Jan Att'!$I$2:$J$76,2,0))</f>
        <v>0</v>
      </c>
      <c r="L47" s="60">
        <f t="shared" si="6"/>
        <v>25</v>
      </c>
    </row>
    <row r="48">
      <c r="E48" s="69"/>
    </row>
    <row r="49">
      <c r="A49" s="49" t="s">
        <v>242</v>
      </c>
      <c r="B49" s="49" t="s">
        <v>244</v>
      </c>
      <c r="C49" s="51" t="str">
        <f t="shared" ref="C49:C55" si="7">CONCATENATE(A49, " ",B49)</f>
        <v>Mark Dasco</v>
      </c>
      <c r="D49" s="49" t="s">
        <v>98</v>
      </c>
      <c r="E49" s="53" t="str">
        <f>vlookup(D49,'Invoice ClientIds'!$B$2:$D$100,3,0)</f>
        <v>21</v>
      </c>
      <c r="F49" s="18">
        <v>15.0</v>
      </c>
      <c r="G49" s="70" t="s">
        <v>440</v>
      </c>
      <c r="H49" s="71" t="s">
        <v>441</v>
      </c>
      <c r="I49" s="70">
        <v>5.0</v>
      </c>
      <c r="J49" s="70">
        <v>15.0</v>
      </c>
      <c r="K49" s="70"/>
      <c r="L49" s="60">
        <f t="shared" ref="L49:L55" si="8">I49*J49</f>
        <v>75</v>
      </c>
    </row>
    <row r="50">
      <c r="A50" s="49" t="s">
        <v>242</v>
      </c>
      <c r="B50" s="49" t="s">
        <v>244</v>
      </c>
      <c r="C50" s="51" t="str">
        <f t="shared" si="7"/>
        <v>Mark Dasco</v>
      </c>
      <c r="D50" s="49" t="s">
        <v>98</v>
      </c>
      <c r="E50" s="53" t="str">
        <f>vlookup(D50,'Invoice ClientIds'!$B$2:$D$100,3,0)</f>
        <v>21</v>
      </c>
      <c r="F50" s="18">
        <v>15.0</v>
      </c>
      <c r="G50" s="70" t="s">
        <v>442</v>
      </c>
      <c r="H50" s="71" t="s">
        <v>441</v>
      </c>
      <c r="I50" s="70">
        <v>5.0</v>
      </c>
      <c r="J50" s="70">
        <v>15.0</v>
      </c>
      <c r="K50" s="70"/>
      <c r="L50" s="60">
        <f t="shared" si="8"/>
        <v>75</v>
      </c>
    </row>
    <row r="51">
      <c r="A51" s="49" t="s">
        <v>242</v>
      </c>
      <c r="B51" s="49" t="s">
        <v>244</v>
      </c>
      <c r="C51" s="51" t="str">
        <f t="shared" si="7"/>
        <v>Mark Dasco</v>
      </c>
      <c r="D51" s="49" t="s">
        <v>98</v>
      </c>
      <c r="E51" s="53" t="str">
        <f>vlookup(D51,'Invoice ClientIds'!$B$2:$D$100,3,0)</f>
        <v>21</v>
      </c>
      <c r="F51" s="18">
        <v>15.0</v>
      </c>
      <c r="G51" s="70" t="s">
        <v>443</v>
      </c>
      <c r="H51" s="71" t="s">
        <v>441</v>
      </c>
      <c r="I51" s="70">
        <v>7.0</v>
      </c>
      <c r="J51" s="70">
        <v>15.0</v>
      </c>
      <c r="K51" s="70"/>
      <c r="L51" s="60">
        <f t="shared" si="8"/>
        <v>105</v>
      </c>
    </row>
    <row r="52">
      <c r="A52" s="49" t="s">
        <v>242</v>
      </c>
      <c r="B52" s="49" t="s">
        <v>244</v>
      </c>
      <c r="C52" s="51" t="str">
        <f t="shared" si="7"/>
        <v>Mark Dasco</v>
      </c>
      <c r="D52" s="49" t="s">
        <v>98</v>
      </c>
      <c r="E52" s="53" t="str">
        <f>vlookup(D52,'Invoice ClientIds'!$B$2:$D$100,3,0)</f>
        <v>21</v>
      </c>
      <c r="F52" s="18">
        <v>15.0</v>
      </c>
      <c r="G52" s="70" t="s">
        <v>444</v>
      </c>
      <c r="H52" s="71" t="s">
        <v>441</v>
      </c>
      <c r="I52" s="70">
        <v>6.0</v>
      </c>
      <c r="J52" s="70">
        <v>15.0</v>
      </c>
      <c r="K52" s="70"/>
      <c r="L52" s="60">
        <f t="shared" si="8"/>
        <v>90</v>
      </c>
    </row>
    <row r="53">
      <c r="A53" s="61" t="s">
        <v>152</v>
      </c>
      <c r="B53" s="61" t="s">
        <v>153</v>
      </c>
      <c r="C53" s="51" t="str">
        <f t="shared" si="7"/>
        <v>Gloria Araullo</v>
      </c>
      <c r="D53" s="49" t="s">
        <v>67</v>
      </c>
      <c r="E53" s="66">
        <v>12.0</v>
      </c>
      <c r="F53" s="18">
        <v>15.0</v>
      </c>
      <c r="G53" s="70" t="s">
        <v>445</v>
      </c>
      <c r="H53" s="71" t="s">
        <v>446</v>
      </c>
      <c r="I53" s="70">
        <v>1.0</v>
      </c>
      <c r="J53" s="70">
        <v>10.0</v>
      </c>
      <c r="K53" s="70"/>
      <c r="L53" s="60">
        <f t="shared" si="8"/>
        <v>10</v>
      </c>
    </row>
    <row r="54">
      <c r="A54" s="61" t="s">
        <v>152</v>
      </c>
      <c r="B54" s="61" t="s">
        <v>153</v>
      </c>
      <c r="C54" s="51" t="str">
        <f t="shared" si="7"/>
        <v>Gloria Araullo</v>
      </c>
      <c r="D54" s="49" t="s">
        <v>67</v>
      </c>
      <c r="E54" s="66">
        <v>12.0</v>
      </c>
      <c r="F54" s="18">
        <v>15.0</v>
      </c>
      <c r="G54" s="70" t="s">
        <v>447</v>
      </c>
      <c r="H54" s="71" t="s">
        <v>446</v>
      </c>
      <c r="I54" s="70">
        <v>1.0</v>
      </c>
      <c r="J54" s="70">
        <v>10.0</v>
      </c>
      <c r="K54" s="70"/>
      <c r="L54" s="60">
        <f t="shared" si="8"/>
        <v>10</v>
      </c>
    </row>
    <row r="55">
      <c r="A55" s="49" t="s">
        <v>135</v>
      </c>
      <c r="B55" s="49" t="s">
        <v>99</v>
      </c>
      <c r="C55" s="51" t="str">
        <f t="shared" si="7"/>
        <v>Ruth Almazan</v>
      </c>
      <c r="D55" s="49" t="s">
        <v>104</v>
      </c>
      <c r="E55" s="53" t="str">
        <f>vlookup(D55,'Invoice ClientIds'!$B$2:$D$100,3,0)</f>
        <v>33</v>
      </c>
      <c r="F55" s="18">
        <v>15.0</v>
      </c>
      <c r="G55" s="70" t="s">
        <v>448</v>
      </c>
      <c r="H55" s="71" t="s">
        <v>446</v>
      </c>
      <c r="I55" s="70">
        <v>1.0</v>
      </c>
      <c r="J55" s="70">
        <v>10.0</v>
      </c>
      <c r="K55" s="70"/>
      <c r="L55" s="60">
        <f t="shared" si="8"/>
        <v>10</v>
      </c>
    </row>
    <row r="56">
      <c r="A56" s="49"/>
      <c r="B56" s="49"/>
      <c r="C56" s="51"/>
      <c r="D56" s="49"/>
      <c r="E56" s="53"/>
      <c r="F56" s="18"/>
      <c r="G56" s="70"/>
      <c r="H56" s="70"/>
      <c r="I56" s="70"/>
      <c r="J56" s="70"/>
      <c r="K56" s="70"/>
      <c r="L56" s="60"/>
    </row>
    <row r="57">
      <c r="A57" s="49" t="s">
        <v>398</v>
      </c>
      <c r="B57" s="49" t="s">
        <v>399</v>
      </c>
      <c r="C57" s="51" t="str">
        <f t="shared" ref="C57:C60" si="9">CONCATENATE(A57, " ",B57)</f>
        <v>Wilfred Tupaz</v>
      </c>
      <c r="D57" s="49" t="s">
        <v>229</v>
      </c>
      <c r="E57" s="53">
        <f>vlookup(D57,'Invoice ClientIds'!$B$2:$D$100,3,0)</f>
        <v>59</v>
      </c>
      <c r="F57" s="18">
        <v>15.0</v>
      </c>
      <c r="G57" s="70" t="s">
        <v>449</v>
      </c>
      <c r="H57" s="71" t="s">
        <v>450</v>
      </c>
      <c r="I57" s="70">
        <v>1.0</v>
      </c>
      <c r="J57" s="70">
        <v>-25.0</v>
      </c>
      <c r="K57" s="70"/>
      <c r="L57" s="60">
        <f t="shared" ref="L57:L60" si="10">I57*J57</f>
        <v>-25</v>
      </c>
    </row>
    <row r="58">
      <c r="A58" s="61" t="s">
        <v>316</v>
      </c>
      <c r="B58" s="61" t="s">
        <v>317</v>
      </c>
      <c r="C58" s="51" t="str">
        <f t="shared" si="9"/>
        <v>Rohith Krishna</v>
      </c>
      <c r="D58" s="61" t="s">
        <v>304</v>
      </c>
      <c r="E58" s="53" t="str">
        <f>vlookup(D58,'Invoice ClientIds'!$B$2:$D$100,3,0)</f>
        <v>5d744242-e398-4705-b209-5c1d3de276bd</v>
      </c>
      <c r="F58" s="18">
        <v>15.0</v>
      </c>
      <c r="G58" s="70" t="s">
        <v>451</v>
      </c>
      <c r="H58" s="71" t="s">
        <v>450</v>
      </c>
      <c r="I58" s="18">
        <v>1.0</v>
      </c>
      <c r="J58" s="70">
        <v>-25.0</v>
      </c>
      <c r="K58" s="70"/>
      <c r="L58" s="60">
        <f t="shared" si="10"/>
        <v>-25</v>
      </c>
    </row>
    <row r="59">
      <c r="A59" s="61" t="s">
        <v>452</v>
      </c>
      <c r="B59" s="61" t="s">
        <v>372</v>
      </c>
      <c r="C59" s="51" t="str">
        <f t="shared" si="9"/>
        <v>Rinalidi Roque</v>
      </c>
      <c r="D59" s="61" t="s">
        <v>307</v>
      </c>
      <c r="E59" s="53" t="str">
        <f>vlookup(D59,'Invoice ClientIds'!$B$2:$D$100,3,0)</f>
        <v>d03b3e08-1f8e-489e-a104-04f382902878</v>
      </c>
      <c r="F59" s="18">
        <v>15.0</v>
      </c>
      <c r="G59" s="70" t="s">
        <v>451</v>
      </c>
      <c r="H59" s="71" t="s">
        <v>450</v>
      </c>
      <c r="I59" s="18">
        <v>1.0</v>
      </c>
      <c r="J59" s="70">
        <v>-15.0</v>
      </c>
      <c r="K59" s="70"/>
      <c r="L59" s="60">
        <f t="shared" si="10"/>
        <v>-15</v>
      </c>
    </row>
    <row r="60">
      <c r="A60" s="49" t="s">
        <v>352</v>
      </c>
      <c r="B60" s="49" t="s">
        <v>353</v>
      </c>
      <c r="C60" s="51" t="str">
        <f t="shared" si="9"/>
        <v>Jess Pangilinan</v>
      </c>
      <c r="D60" s="49" t="s">
        <v>140</v>
      </c>
      <c r="E60" s="53" t="str">
        <f>vlookup(D60,'Invoice ClientIds'!$B$2:$D$100,3,0)</f>
        <v>35</v>
      </c>
      <c r="F60" s="18">
        <v>15.0</v>
      </c>
      <c r="G60" s="70" t="s">
        <v>455</v>
      </c>
      <c r="H60" s="71" t="s">
        <v>450</v>
      </c>
      <c r="I60" s="70">
        <v>1.0</v>
      </c>
      <c r="J60" s="70">
        <v>10.0</v>
      </c>
      <c r="K60" s="70"/>
      <c r="L60" s="60">
        <f t="shared" si="10"/>
        <v>10</v>
      </c>
    </row>
    <row r="61">
      <c r="E61" s="69"/>
      <c r="I61" s="5"/>
    </row>
    <row r="62">
      <c r="A62" s="61" t="s">
        <v>152</v>
      </c>
      <c r="B62" s="61" t="s">
        <v>153</v>
      </c>
      <c r="C62" s="51" t="str">
        <f t="shared" ref="C62:C65" si="11">CONCATENATE(A62, " ",B62)</f>
        <v>Gloria Araullo</v>
      </c>
      <c r="D62" s="49" t="s">
        <v>67</v>
      </c>
      <c r="E62" s="66">
        <v>12.0</v>
      </c>
      <c r="F62" s="18">
        <v>15.0</v>
      </c>
      <c r="G62" s="70" t="s">
        <v>457</v>
      </c>
      <c r="H62" s="26" t="s">
        <v>458</v>
      </c>
      <c r="I62" s="70">
        <v>1.0</v>
      </c>
      <c r="J62" s="70">
        <v>10.0</v>
      </c>
      <c r="K62" s="70"/>
      <c r="L62" s="60">
        <f t="shared" ref="L62:L65" si="12">I62*J62</f>
        <v>10</v>
      </c>
    </row>
    <row r="63">
      <c r="A63" s="49" t="s">
        <v>347</v>
      </c>
      <c r="B63" s="49" t="s">
        <v>346</v>
      </c>
      <c r="C63" s="51" t="str">
        <f t="shared" si="11"/>
        <v>Lorraine Nacua</v>
      </c>
      <c r="D63" s="49" t="s">
        <v>87</v>
      </c>
      <c r="E63" s="53" t="str">
        <f>vlookup(D63,'Invoice ClientIds'!$B$2:$D$100,3,0)</f>
        <v>18</v>
      </c>
      <c r="F63" s="18">
        <v>15.0</v>
      </c>
      <c r="G63" s="70" t="s">
        <v>460</v>
      </c>
      <c r="H63" s="72" t="s">
        <v>458</v>
      </c>
      <c r="I63" s="70">
        <v>1.0</v>
      </c>
      <c r="J63" s="70">
        <v>60.0</v>
      </c>
      <c r="K63" s="70"/>
      <c r="L63" s="60">
        <f t="shared" si="12"/>
        <v>60</v>
      </c>
    </row>
    <row r="64">
      <c r="A64" s="49" t="s">
        <v>135</v>
      </c>
      <c r="B64" s="49" t="s">
        <v>99</v>
      </c>
      <c r="C64" s="51" t="str">
        <f t="shared" si="11"/>
        <v>Ruth Almazan</v>
      </c>
      <c r="D64" s="49" t="s">
        <v>104</v>
      </c>
      <c r="E64" s="53" t="str">
        <f>vlookup(D64,'Invoice ClientIds'!$B$2:$D$100,3,0)</f>
        <v>33</v>
      </c>
      <c r="F64" s="18">
        <v>15.0</v>
      </c>
      <c r="G64" s="70" t="s">
        <v>464</v>
      </c>
      <c r="H64" s="72" t="s">
        <v>458</v>
      </c>
      <c r="I64" s="27">
        <v>1.0</v>
      </c>
      <c r="J64" s="27">
        <v>200.0</v>
      </c>
      <c r="K64" s="18"/>
      <c r="L64" s="60">
        <f t="shared" si="12"/>
        <v>200</v>
      </c>
    </row>
    <row r="65">
      <c r="A65" s="49" t="s">
        <v>358</v>
      </c>
      <c r="B65" s="49" t="s">
        <v>359</v>
      </c>
      <c r="C65" s="51" t="str">
        <f t="shared" si="11"/>
        <v>Allan Puente</v>
      </c>
      <c r="D65" s="49" t="s">
        <v>41</v>
      </c>
      <c r="E65" s="53" t="str">
        <f>vlookup(D65,'Invoice ClientIds'!$B$2:$D$100,3,0)</f>
        <v>4</v>
      </c>
      <c r="F65" s="18">
        <v>15.0</v>
      </c>
      <c r="G65" s="70" t="s">
        <v>466</v>
      </c>
      <c r="H65" s="72" t="s">
        <v>458</v>
      </c>
      <c r="I65" s="27">
        <v>1.0</v>
      </c>
      <c r="J65" s="27">
        <v>25.0</v>
      </c>
      <c r="K65" s="18"/>
      <c r="L65" s="60">
        <f t="shared" si="12"/>
        <v>25</v>
      </c>
    </row>
    <row r="66">
      <c r="A66" s="73"/>
      <c r="B66" s="73"/>
      <c r="C66" s="74"/>
      <c r="D66" s="73"/>
      <c r="E66" s="59"/>
      <c r="F66" s="50"/>
      <c r="K66" s="55"/>
      <c r="L66" s="75"/>
    </row>
    <row r="67">
      <c r="A67" s="73"/>
      <c r="B67" s="73"/>
      <c r="C67" s="74"/>
      <c r="D67" s="73"/>
      <c r="E67" s="59"/>
      <c r="F67" s="50"/>
      <c r="H67" s="76"/>
      <c r="I67" s="76" t="s">
        <v>468</v>
      </c>
      <c r="J67" s="59">
        <f>sum(J62:J65)</f>
        <v>295</v>
      </c>
      <c r="K67" s="55"/>
      <c r="L67" s="75"/>
    </row>
    <row r="68">
      <c r="A68" s="73"/>
      <c r="B68" s="73"/>
      <c r="C68" s="74"/>
      <c r="D68" s="73"/>
      <c r="E68" s="59"/>
      <c r="F68" s="50"/>
      <c r="K68" s="55"/>
      <c r="L68" s="75"/>
    </row>
    <row r="69">
      <c r="A69" s="73"/>
      <c r="B69" s="73"/>
      <c r="C69" s="74"/>
      <c r="D69" s="73"/>
      <c r="E69" s="59"/>
      <c r="F69" s="50"/>
      <c r="K69" s="55"/>
      <c r="L69" s="75">
        <f>Sum(L2:L68)</f>
        <v>1900</v>
      </c>
    </row>
    <row r="70">
      <c r="A70" s="73"/>
      <c r="B70" s="73"/>
      <c r="C70" s="74"/>
      <c r="D70" s="73"/>
      <c r="E70" s="59"/>
      <c r="F70" s="50"/>
      <c r="K70" s="55"/>
      <c r="L70" s="75"/>
    </row>
    <row r="71">
      <c r="A71" s="73"/>
      <c r="B71" s="73"/>
      <c r="C71" s="74"/>
      <c r="D71" s="73"/>
      <c r="E71" s="59"/>
      <c r="F71" s="50"/>
      <c r="K71" s="55"/>
      <c r="L71" s="7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29"/>
    <col customWidth="1" min="2" max="2" width="36.14"/>
    <col customWidth="1" min="3" max="3" width="30.71"/>
    <col customWidth="1" min="4" max="4" width="35.57"/>
    <col customWidth="1" min="5" max="5" width="33.29"/>
    <col customWidth="1" min="6" max="6" width="28.29"/>
    <col customWidth="1" min="7" max="7" width="33.29"/>
    <col customWidth="1" min="8" max="8" width="17.29"/>
    <col customWidth="1" min="9" max="9" width="35.0"/>
    <col customWidth="1" min="10" max="10" width="17.29"/>
    <col customWidth="1" min="11" max="11" width="26.14"/>
    <col customWidth="1" min="12" max="59" width="17.29"/>
  </cols>
  <sheetData>
    <row r="1">
      <c r="A1" s="45" t="s">
        <v>326</v>
      </c>
      <c r="B1" s="47" t="s">
        <v>327</v>
      </c>
      <c r="C1" s="47" t="s">
        <v>332</v>
      </c>
      <c r="D1" s="47" t="s">
        <v>334</v>
      </c>
      <c r="E1" s="47" t="s">
        <v>336</v>
      </c>
      <c r="F1" s="48" t="s">
        <v>337</v>
      </c>
      <c r="G1" s="50" t="s">
        <v>339</v>
      </c>
    </row>
    <row r="2">
      <c r="A2" s="52">
        <f>sum(B2:F2)/(COUNTIF(B2:F2,"&gt;0"))</f>
        <v>27.25</v>
      </c>
      <c r="B2" s="54">
        <f t="shared" ref="B2:F2" si="1">IFERROR(__xludf.DUMMYFUNCTION("COUNTUNIQUE(B3:B69)"),"34")</f>
        <v>34</v>
      </c>
      <c r="C2" s="54">
        <f t="shared" si="1"/>
        <v>31</v>
      </c>
      <c r="D2" s="54">
        <f t="shared" si="1"/>
        <v>23</v>
      </c>
      <c r="E2" s="54">
        <f t="shared" si="1"/>
        <v>21</v>
      </c>
      <c r="F2" s="54">
        <f t="shared" si="1"/>
        <v>0</v>
      </c>
      <c r="G2" s="55"/>
      <c r="I2" s="57"/>
      <c r="J2" s="57">
        <v>0.0</v>
      </c>
      <c r="K2" s="58"/>
      <c r="L2" s="55"/>
      <c r="M2" s="55"/>
    </row>
    <row r="3">
      <c r="G3" s="59" t="str">
        <f>IFERROR(__xludf.DUMMYFUNCTION("transpose(split(join("";"",B3:B90)&amp;join("";"",C3:C90)&amp;join("";"",D3:D90)&amp;join("";"",E3:E90)&amp;join("";"",F3:F90),"";""))"),"Chez Adriano")</f>
        <v>Chez Adriano</v>
      </c>
      <c r="I3" s="57" t="s">
        <v>302</v>
      </c>
      <c r="J3" s="57">
        <v>3.0</v>
      </c>
      <c r="K3" s="58"/>
    </row>
    <row r="4">
      <c r="B4" s="62" t="str">
        <f>IFERROR(__xludf.DUMMYFUNCTION("Transpose(SPLIT(Transpose(Attendance!$B$4:$B24),"", "",False))"),"Chez Adriano")</f>
        <v>Chez Adriano</v>
      </c>
      <c r="C4" s="62" t="str">
        <f>IFERROR(__xludf.DUMMYFUNCTION("Transpose(SPLIT(Transpose(Attendance!$B$5:$B24),"", "",False))"),"Chez Adriano")</f>
        <v>Chez Adriano</v>
      </c>
      <c r="D4" s="62" t="str">
        <f>IFERROR(__xludf.DUMMYFUNCTION("Transpose(SPLIT(Transpose(Attendance!$B$6:$B24),"", "",False))"),"Judai Almazan")</f>
        <v>Judai Almazan</v>
      </c>
      <c r="E4" s="62" t="str">
        <f>IFERROR(__xludf.DUMMYFUNCTION("Transpose(SPLIT(Transpose(Attendance!$B$7:$B24),"", "",False))"),"Judai Almazan")</f>
        <v>Judai Almazan</v>
      </c>
      <c r="F4" s="59"/>
      <c r="G4" s="59" t="s">
        <v>53</v>
      </c>
      <c r="I4" s="57" t="s">
        <v>360</v>
      </c>
      <c r="J4" s="57">
        <v>1.0</v>
      </c>
      <c r="K4" s="58"/>
    </row>
    <row r="5">
      <c r="B5" s="59" t="s">
        <v>53</v>
      </c>
      <c r="C5" s="59" t="s">
        <v>53</v>
      </c>
      <c r="D5" s="59" t="s">
        <v>363</v>
      </c>
      <c r="E5" s="59" t="s">
        <v>363</v>
      </c>
      <c r="F5" s="59"/>
      <c r="G5" s="59" t="s">
        <v>364</v>
      </c>
      <c r="I5" s="57" t="s">
        <v>34</v>
      </c>
      <c r="J5" s="57">
        <v>1.0</v>
      </c>
      <c r="K5" s="58"/>
    </row>
    <row r="6">
      <c r="B6" s="59" t="s">
        <v>364</v>
      </c>
      <c r="C6" s="59" t="s">
        <v>364</v>
      </c>
      <c r="D6" s="59" t="s">
        <v>68</v>
      </c>
      <c r="E6" s="59" t="s">
        <v>134</v>
      </c>
      <c r="F6" s="59"/>
      <c r="G6" s="59" t="s">
        <v>365</v>
      </c>
      <c r="I6" s="57" t="s">
        <v>366</v>
      </c>
      <c r="J6" s="57">
        <v>1.0</v>
      </c>
      <c r="K6" s="58"/>
    </row>
    <row r="7">
      <c r="B7" s="59" t="s">
        <v>365</v>
      </c>
      <c r="C7" s="59" t="s">
        <v>368</v>
      </c>
      <c r="D7" s="59" t="s">
        <v>100</v>
      </c>
      <c r="E7" s="59" t="s">
        <v>100</v>
      </c>
      <c r="F7" s="59"/>
      <c r="G7" s="59" t="s">
        <v>368</v>
      </c>
      <c r="I7" s="57" t="s">
        <v>369</v>
      </c>
      <c r="J7" s="57">
        <v>1.0</v>
      </c>
      <c r="K7" s="58"/>
    </row>
    <row r="8">
      <c r="B8" s="59" t="s">
        <v>368</v>
      </c>
      <c r="C8" s="59" t="s">
        <v>363</v>
      </c>
      <c r="D8" s="59" t="s">
        <v>294</v>
      </c>
      <c r="E8" s="59" t="s">
        <v>302</v>
      </c>
      <c r="F8" s="59"/>
      <c r="G8" s="59" t="s">
        <v>68</v>
      </c>
      <c r="I8" s="57" t="s">
        <v>371</v>
      </c>
      <c r="J8" s="57">
        <v>1.0</v>
      </c>
      <c r="K8" s="58"/>
      <c r="M8" s="58"/>
    </row>
    <row r="9">
      <c r="B9" s="59" t="s">
        <v>68</v>
      </c>
      <c r="C9" s="59" t="s">
        <v>68</v>
      </c>
      <c r="D9" s="59" t="s">
        <v>302</v>
      </c>
      <c r="E9" s="59" t="s">
        <v>129</v>
      </c>
      <c r="F9" s="59"/>
      <c r="G9" s="59" t="s">
        <v>373</v>
      </c>
      <c r="I9" s="57" t="s">
        <v>374</v>
      </c>
      <c r="J9" s="57">
        <v>2.0</v>
      </c>
      <c r="K9" s="58"/>
      <c r="M9" s="58"/>
    </row>
    <row r="10">
      <c r="B10" s="59" t="s">
        <v>373</v>
      </c>
      <c r="C10" s="59" t="s">
        <v>147</v>
      </c>
      <c r="D10" s="59" t="s">
        <v>375</v>
      </c>
      <c r="E10" s="59" t="s">
        <v>297</v>
      </c>
      <c r="F10" s="59"/>
      <c r="G10" s="59" t="s">
        <v>376</v>
      </c>
      <c r="I10" s="57" t="s">
        <v>377</v>
      </c>
      <c r="J10" s="57">
        <v>2.0</v>
      </c>
      <c r="K10" s="58"/>
    </row>
    <row r="11">
      <c r="B11" s="59" t="s">
        <v>376</v>
      </c>
      <c r="C11" s="59" t="s">
        <v>100</v>
      </c>
      <c r="D11" s="59" t="s">
        <v>144</v>
      </c>
      <c r="E11" s="59" t="s">
        <v>377</v>
      </c>
      <c r="F11" s="59"/>
      <c r="G11" s="59" t="s">
        <v>100</v>
      </c>
      <c r="I11" s="57" t="s">
        <v>381</v>
      </c>
      <c r="J11" s="57">
        <v>1.0</v>
      </c>
      <c r="K11" s="58"/>
    </row>
    <row r="12">
      <c r="B12" s="59" t="s">
        <v>100</v>
      </c>
      <c r="C12" s="59" t="s">
        <v>294</v>
      </c>
      <c r="D12" s="59" t="s">
        <v>374</v>
      </c>
      <c r="E12" s="59" t="s">
        <v>382</v>
      </c>
      <c r="F12" s="59"/>
      <c r="G12" s="59" t="s">
        <v>294</v>
      </c>
      <c r="I12" s="57" t="s">
        <v>383</v>
      </c>
      <c r="J12" s="57">
        <v>2.0</v>
      </c>
      <c r="K12" s="58"/>
    </row>
    <row r="13">
      <c r="B13" s="59" t="s">
        <v>294</v>
      </c>
      <c r="C13" s="59" t="s">
        <v>302</v>
      </c>
      <c r="D13" s="59" t="s">
        <v>185</v>
      </c>
      <c r="E13" s="59" t="s">
        <v>384</v>
      </c>
      <c r="F13" s="59"/>
      <c r="G13" s="59" t="s">
        <v>360</v>
      </c>
      <c r="I13" s="57" t="s">
        <v>385</v>
      </c>
      <c r="J13" s="57">
        <v>1.0</v>
      </c>
      <c r="K13" s="58"/>
    </row>
    <row r="14">
      <c r="B14" s="59" t="s">
        <v>360</v>
      </c>
      <c r="C14" s="59" t="s">
        <v>375</v>
      </c>
      <c r="D14" s="59" t="s">
        <v>129</v>
      </c>
      <c r="E14" s="59" t="s">
        <v>92</v>
      </c>
      <c r="F14" s="59"/>
      <c r="G14" s="59" t="s">
        <v>386</v>
      </c>
      <c r="I14" s="57" t="s">
        <v>53</v>
      </c>
      <c r="J14" s="57">
        <v>2.0</v>
      </c>
      <c r="K14" s="58"/>
    </row>
    <row r="15">
      <c r="B15" s="59" t="s">
        <v>386</v>
      </c>
      <c r="C15" s="59" t="s">
        <v>388</v>
      </c>
      <c r="D15" s="59" t="s">
        <v>92</v>
      </c>
      <c r="E15" s="59" t="s">
        <v>389</v>
      </c>
      <c r="F15" s="59"/>
      <c r="G15" s="59" t="s">
        <v>274</v>
      </c>
      <c r="I15" s="57" t="s">
        <v>390</v>
      </c>
      <c r="J15" s="57">
        <v>1.0</v>
      </c>
      <c r="K15" s="58"/>
    </row>
    <row r="16">
      <c r="B16" s="59" t="s">
        <v>274</v>
      </c>
      <c r="C16" s="59" t="s">
        <v>391</v>
      </c>
      <c r="D16" s="59" t="s">
        <v>389</v>
      </c>
      <c r="E16" s="59" t="s">
        <v>288</v>
      </c>
      <c r="F16" s="59"/>
      <c r="G16" s="59" t="s">
        <v>375</v>
      </c>
      <c r="I16" s="57" t="s">
        <v>56</v>
      </c>
      <c r="J16" s="57">
        <v>3.0</v>
      </c>
      <c r="K16" s="58"/>
    </row>
    <row r="17">
      <c r="B17" s="59" t="s">
        <v>375</v>
      </c>
      <c r="C17" s="59" t="s">
        <v>89</v>
      </c>
      <c r="D17" s="59" t="s">
        <v>56</v>
      </c>
      <c r="E17" s="59" t="s">
        <v>392</v>
      </c>
      <c r="F17" s="59"/>
      <c r="G17" s="59" t="s">
        <v>144</v>
      </c>
      <c r="I17" s="57" t="s">
        <v>92</v>
      </c>
      <c r="J17" s="57">
        <v>4.0</v>
      </c>
      <c r="K17" s="58"/>
    </row>
    <row r="18">
      <c r="B18" s="59" t="s">
        <v>144</v>
      </c>
      <c r="C18" s="59" t="s">
        <v>129</v>
      </c>
      <c r="D18" s="59"/>
      <c r="E18" s="59"/>
      <c r="F18" s="59"/>
      <c r="G18" s="59" t="s">
        <v>374</v>
      </c>
      <c r="I18" s="57" t="s">
        <v>375</v>
      </c>
      <c r="J18" s="57">
        <v>3.0</v>
      </c>
      <c r="K18" s="58"/>
    </row>
    <row r="19">
      <c r="B19" s="59" t="s">
        <v>374</v>
      </c>
      <c r="C19" s="59" t="s">
        <v>297</v>
      </c>
      <c r="D19" s="59"/>
      <c r="E19" s="59"/>
      <c r="F19" s="59"/>
      <c r="G19" s="59" t="s">
        <v>185</v>
      </c>
      <c r="I19" s="57" t="s">
        <v>68</v>
      </c>
      <c r="J19" s="57">
        <v>3.0</v>
      </c>
      <c r="K19" s="58"/>
    </row>
    <row r="20">
      <c r="B20" s="59" t="s">
        <v>185</v>
      </c>
      <c r="C20" s="59" t="s">
        <v>377</v>
      </c>
      <c r="D20" s="59"/>
      <c r="E20" s="59"/>
      <c r="F20" s="59"/>
      <c r="G20" s="59" t="s">
        <v>388</v>
      </c>
      <c r="I20" s="57" t="s">
        <v>395</v>
      </c>
      <c r="J20" s="57">
        <v>2.0</v>
      </c>
      <c r="K20" s="58"/>
    </row>
    <row r="21">
      <c r="B21" s="59" t="s">
        <v>388</v>
      </c>
      <c r="C21" s="59" t="s">
        <v>382</v>
      </c>
      <c r="D21" s="59"/>
      <c r="E21" s="63"/>
      <c r="F21" s="59"/>
      <c r="G21" s="59" t="s">
        <v>391</v>
      </c>
      <c r="I21" s="57" t="s">
        <v>397</v>
      </c>
      <c r="J21" s="57">
        <v>1.0</v>
      </c>
      <c r="K21" s="58"/>
    </row>
    <row r="22">
      <c r="B22" s="59" t="s">
        <v>391</v>
      </c>
      <c r="C22" s="59" t="s">
        <v>384</v>
      </c>
      <c r="D22" s="59"/>
      <c r="E22" s="63"/>
      <c r="F22" s="59"/>
      <c r="G22" s="59" t="s">
        <v>89</v>
      </c>
      <c r="I22" s="57" t="s">
        <v>388</v>
      </c>
      <c r="J22" s="57">
        <v>2.0</v>
      </c>
      <c r="K22" s="58"/>
    </row>
    <row r="23">
      <c r="B23" s="59" t="s">
        <v>89</v>
      </c>
      <c r="C23" s="59" t="s">
        <v>141</v>
      </c>
      <c r="D23" s="59"/>
      <c r="E23" s="63"/>
      <c r="F23" s="59"/>
      <c r="G23" s="59" t="s">
        <v>129</v>
      </c>
      <c r="I23" s="57" t="s">
        <v>386</v>
      </c>
      <c r="J23" s="57">
        <v>1.0</v>
      </c>
      <c r="K23" s="58"/>
    </row>
    <row r="24">
      <c r="B24" s="59" t="s">
        <v>129</v>
      </c>
      <c r="C24" s="59" t="s">
        <v>95</v>
      </c>
      <c r="D24" s="59"/>
      <c r="E24" s="63"/>
      <c r="F24" s="59"/>
      <c r="G24" s="59" t="s">
        <v>297</v>
      </c>
      <c r="I24" s="57" t="s">
        <v>382</v>
      </c>
      <c r="J24" s="57">
        <v>2.0</v>
      </c>
      <c r="K24" s="58"/>
    </row>
    <row r="25">
      <c r="B25" s="59" t="s">
        <v>297</v>
      </c>
      <c r="C25" s="59" t="s">
        <v>400</v>
      </c>
      <c r="D25" s="59"/>
      <c r="E25" s="59"/>
      <c r="F25" s="59"/>
      <c r="G25" s="59" t="s">
        <v>92</v>
      </c>
      <c r="I25" s="57" t="s">
        <v>274</v>
      </c>
      <c r="J25" s="57">
        <v>1.0</v>
      </c>
      <c r="K25" s="58"/>
    </row>
    <row r="26">
      <c r="B26" s="63" t="s">
        <v>92</v>
      </c>
      <c r="C26" s="59" t="s">
        <v>92</v>
      </c>
      <c r="D26" s="59"/>
      <c r="E26" s="59"/>
      <c r="F26" s="59"/>
      <c r="G26" s="59" t="s">
        <v>389</v>
      </c>
      <c r="I26" s="57" t="s">
        <v>403</v>
      </c>
      <c r="J26" s="57">
        <v>2.0</v>
      </c>
      <c r="K26" s="58"/>
    </row>
    <row r="27">
      <c r="B27" t="s">
        <v>389</v>
      </c>
      <c r="C27" s="63" t="s">
        <v>389</v>
      </c>
      <c r="D27" s="63"/>
      <c r="G27" s="59" t="s">
        <v>381</v>
      </c>
      <c r="I27" s="57" t="s">
        <v>364</v>
      </c>
      <c r="J27" s="57">
        <v>2.0</v>
      </c>
      <c r="K27" s="58"/>
    </row>
    <row r="28">
      <c r="B28" s="63" t="s">
        <v>381</v>
      </c>
      <c r="C28" s="63" t="s">
        <v>56</v>
      </c>
      <c r="D28" s="63"/>
      <c r="E28" s="5"/>
      <c r="F28" s="5"/>
      <c r="G28" s="59" t="s">
        <v>56</v>
      </c>
      <c r="I28" s="57" t="s">
        <v>317</v>
      </c>
      <c r="J28" s="57">
        <v>1.0</v>
      </c>
      <c r="K28" s="58"/>
    </row>
    <row r="29">
      <c r="B29" s="5" t="s">
        <v>56</v>
      </c>
      <c r="C29" s="5"/>
      <c r="D29" s="63"/>
      <c r="E29" s="5"/>
      <c r="F29" s="5"/>
      <c r="G29" s="59" t="s">
        <v>288</v>
      </c>
      <c r="I29" s="57" t="s">
        <v>365</v>
      </c>
      <c r="J29" s="57">
        <v>1.0</v>
      </c>
      <c r="K29" s="58"/>
    </row>
    <row r="30">
      <c r="B30" s="63" t="s">
        <v>288</v>
      </c>
      <c r="C30" s="5"/>
      <c r="D30" s="63"/>
      <c r="E30" s="5"/>
      <c r="F30" s="5"/>
      <c r="G30" s="59" t="s">
        <v>392</v>
      </c>
      <c r="I30" s="57" t="s">
        <v>392</v>
      </c>
      <c r="J30" s="57">
        <v>2.0</v>
      </c>
      <c r="K30" s="58"/>
    </row>
    <row r="31">
      <c r="B31" s="63" t="s">
        <v>392</v>
      </c>
      <c r="C31" s="63"/>
      <c r="D31" s="63"/>
      <c r="E31" s="5"/>
      <c r="F31" s="5"/>
      <c r="G31" s="59" t="s">
        <v>34</v>
      </c>
      <c r="I31" s="57" t="s">
        <v>288</v>
      </c>
      <c r="J31" s="57">
        <v>2.0</v>
      </c>
      <c r="K31" s="58"/>
    </row>
    <row r="32">
      <c r="B32" s="63" t="s">
        <v>34</v>
      </c>
      <c r="C32" s="63"/>
      <c r="D32" s="63"/>
      <c r="E32" s="5"/>
      <c r="F32" s="5"/>
      <c r="G32" s="59" t="s">
        <v>390</v>
      </c>
      <c r="I32" s="57" t="s">
        <v>89</v>
      </c>
      <c r="J32" s="57">
        <v>2.0</v>
      </c>
      <c r="K32" s="58"/>
    </row>
    <row r="33">
      <c r="B33" s="5"/>
      <c r="C33" s="5"/>
      <c r="D33" s="5"/>
      <c r="E33" s="64"/>
      <c r="F33" s="5"/>
      <c r="G33" s="59" t="s">
        <v>408</v>
      </c>
      <c r="I33" s="57" t="s">
        <v>363</v>
      </c>
      <c r="J33" s="57">
        <v>3.0</v>
      </c>
      <c r="K33" s="58"/>
    </row>
    <row r="34">
      <c r="B34" s="5"/>
      <c r="C34" s="5"/>
      <c r="D34" s="63"/>
      <c r="E34" s="5"/>
      <c r="G34" s="59" t="s">
        <v>409</v>
      </c>
      <c r="I34" s="57" t="s">
        <v>389</v>
      </c>
      <c r="J34" s="57">
        <v>4.0</v>
      </c>
      <c r="K34" s="58"/>
    </row>
    <row r="35">
      <c r="B35" s="5"/>
      <c r="C35" s="5"/>
      <c r="D35" s="5"/>
      <c r="E35" s="5"/>
      <c r="F35" s="58"/>
      <c r="G35" s="59" t="s">
        <v>385</v>
      </c>
      <c r="I35" s="57" t="s">
        <v>95</v>
      </c>
      <c r="J35" s="57">
        <v>1.0</v>
      </c>
      <c r="K35" s="58"/>
    </row>
    <row r="36">
      <c r="C36" s="5"/>
      <c r="D36" s="5"/>
      <c r="E36" s="5"/>
      <c r="F36" s="58"/>
      <c r="G36" s="59" t="s">
        <v>343</v>
      </c>
      <c r="I36" s="57" t="s">
        <v>185</v>
      </c>
      <c r="J36" s="57">
        <v>2.0</v>
      </c>
      <c r="K36" s="58"/>
    </row>
    <row r="37">
      <c r="B37" s="5"/>
      <c r="C37" s="5"/>
      <c r="D37" s="5"/>
      <c r="E37" s="5"/>
      <c r="F37" s="58"/>
      <c r="G37" s="59" t="s">
        <v>383</v>
      </c>
      <c r="I37" s="57" t="s">
        <v>408</v>
      </c>
      <c r="J37" s="57">
        <v>1.0</v>
      </c>
      <c r="K37" s="58"/>
    </row>
    <row r="38">
      <c r="B38" s="5"/>
      <c r="C38" s="64"/>
      <c r="D38" s="5"/>
      <c r="E38" s="5"/>
      <c r="G38" s="59" t="s">
        <v>53</v>
      </c>
      <c r="I38" s="57" t="s">
        <v>100</v>
      </c>
      <c r="J38" s="57">
        <v>4.0</v>
      </c>
      <c r="K38" s="58"/>
    </row>
    <row r="39">
      <c r="B39" s="5"/>
      <c r="C39" s="5"/>
      <c r="D39" s="5"/>
      <c r="G39" s="59" t="s">
        <v>364</v>
      </c>
      <c r="I39" s="57" t="s">
        <v>391</v>
      </c>
      <c r="J39" s="57">
        <v>2.0</v>
      </c>
      <c r="K39" s="58"/>
    </row>
    <row r="40">
      <c r="B40" s="5"/>
      <c r="C40" s="5"/>
      <c r="D40" s="5"/>
      <c r="G40" s="59" t="s">
        <v>368</v>
      </c>
      <c r="I40" s="57" t="s">
        <v>410</v>
      </c>
      <c r="J40" s="57">
        <v>2.0</v>
      </c>
      <c r="K40" s="58"/>
    </row>
    <row r="41">
      <c r="B41" s="5"/>
      <c r="C41" s="5"/>
      <c r="D41" s="5"/>
      <c r="G41" s="59" t="s">
        <v>363</v>
      </c>
      <c r="I41" s="57" t="s">
        <v>384</v>
      </c>
      <c r="J41" s="57">
        <v>2.0</v>
      </c>
      <c r="K41" s="58"/>
    </row>
    <row r="42">
      <c r="B42" s="5"/>
      <c r="C42" s="5"/>
      <c r="D42" s="5"/>
      <c r="E42" s="5"/>
      <c r="G42" s="59" t="s">
        <v>68</v>
      </c>
      <c r="I42" s="57" t="s">
        <v>411</v>
      </c>
      <c r="J42" s="57">
        <v>1.0</v>
      </c>
      <c r="K42" s="58"/>
    </row>
    <row r="43">
      <c r="C43" s="5"/>
      <c r="E43" s="5"/>
      <c r="G43" s="59" t="s">
        <v>147</v>
      </c>
      <c r="I43" s="57" t="s">
        <v>368</v>
      </c>
      <c r="J43" s="57">
        <v>2.0</v>
      </c>
    </row>
    <row r="44">
      <c r="B44" s="5"/>
      <c r="C44" s="5"/>
      <c r="E44" s="5"/>
      <c r="G44" s="59" t="s">
        <v>100</v>
      </c>
      <c r="I44" s="57" t="s">
        <v>412</v>
      </c>
      <c r="J44" s="57">
        <v>1.0</v>
      </c>
      <c r="K44" s="58"/>
    </row>
    <row r="45">
      <c r="B45" s="5"/>
      <c r="C45" s="5"/>
      <c r="D45" s="5"/>
      <c r="E45" s="5"/>
      <c r="G45" s="59" t="s">
        <v>294</v>
      </c>
      <c r="I45" s="57" t="s">
        <v>373</v>
      </c>
      <c r="J45" s="57">
        <v>1.0</v>
      </c>
      <c r="K45" s="58"/>
    </row>
    <row r="46">
      <c r="D46" s="5"/>
      <c r="E46" s="5"/>
      <c r="G46" s="59" t="s">
        <v>302</v>
      </c>
      <c r="I46" s="57" t="s">
        <v>409</v>
      </c>
      <c r="J46" s="57">
        <v>2.0</v>
      </c>
      <c r="K46" s="58"/>
    </row>
    <row r="47">
      <c r="D47" s="5"/>
      <c r="G47" s="59" t="s">
        <v>375</v>
      </c>
      <c r="I47" s="57" t="s">
        <v>413</v>
      </c>
      <c r="J47" s="57">
        <v>1.0</v>
      </c>
      <c r="K47" s="58"/>
    </row>
    <row r="48">
      <c r="G48" s="59" t="s">
        <v>388</v>
      </c>
      <c r="I48" s="57" t="s">
        <v>414</v>
      </c>
      <c r="J48" s="57">
        <v>2.0</v>
      </c>
      <c r="K48" s="58"/>
    </row>
    <row r="49">
      <c r="G49" s="59" t="s">
        <v>391</v>
      </c>
      <c r="I49" s="57" t="s">
        <v>129</v>
      </c>
      <c r="J49" s="57">
        <v>4.0</v>
      </c>
      <c r="K49" s="58"/>
    </row>
    <row r="50">
      <c r="G50" s="59" t="s">
        <v>89</v>
      </c>
      <c r="I50" s="57" t="s">
        <v>297</v>
      </c>
      <c r="J50" s="57">
        <v>3.0</v>
      </c>
      <c r="K50" s="58"/>
    </row>
    <row r="51">
      <c r="G51" s="59" t="s">
        <v>129</v>
      </c>
      <c r="I51" s="57" t="s">
        <v>308</v>
      </c>
      <c r="J51" s="57">
        <v>2.0</v>
      </c>
      <c r="K51" s="58"/>
    </row>
    <row r="52">
      <c r="G52" s="59" t="s">
        <v>297</v>
      </c>
      <c r="I52" s="57" t="s">
        <v>400</v>
      </c>
      <c r="J52" s="57">
        <v>1.0</v>
      </c>
      <c r="K52" s="58"/>
    </row>
    <row r="53">
      <c r="B53" s="67" t="str">
        <f>IFERROR(__xludf.DUMMYFUNCTION("if(IsBlank(Attendance!E4),"""",transpose(split(Attendance!E4,CHAR(10),FALSE)))"),"Dennis")</f>
        <v>Dennis</v>
      </c>
      <c r="C53" s="67" t="str">
        <f>IFERROR(__xludf.DUMMYFUNCTION("if(IsBlank(Attendance!E5),"""",transpose(split(Attendance!E5,CHAR(10),FALSE)))"),"Vikram")</f>
        <v>Vikram</v>
      </c>
      <c r="D53" t="str">
        <f>IFERROR(__xludf.DUMMYFUNCTION("if(IsBlank(Attendance!E6),"""",transpose(split(Attendance!E6,CHAR(10),FALSE)))"),"Ramz")</f>
        <v>Ramz</v>
      </c>
      <c r="E53" s="67" t="str">
        <f>IFERROR(__xludf.DUMMYFUNCTION("if(IsBlank(Attendance!E7),"""",transpose(split(Attendance!E7,CHAR(10),FALSE)))"),"Red")</f>
        <v>Red</v>
      </c>
      <c r="G53" s="59" t="s">
        <v>377</v>
      </c>
      <c r="I53" s="57" t="s">
        <v>305</v>
      </c>
      <c r="J53" s="57">
        <v>2.0</v>
      </c>
      <c r="K53" s="58"/>
    </row>
    <row r="54">
      <c r="B54" t="s">
        <v>408</v>
      </c>
      <c r="C54" t="s">
        <v>409</v>
      </c>
      <c r="D54" t="s">
        <v>395</v>
      </c>
      <c r="E54" t="s">
        <v>371</v>
      </c>
      <c r="G54" s="59" t="s">
        <v>382</v>
      </c>
      <c r="I54" s="57" t="s">
        <v>294</v>
      </c>
      <c r="J54" s="57">
        <v>3.0</v>
      </c>
      <c r="K54" s="58"/>
    </row>
    <row r="55">
      <c r="B55" t="s">
        <v>409</v>
      </c>
      <c r="C55" t="s">
        <v>414</v>
      </c>
      <c r="D55" t="s">
        <v>308</v>
      </c>
      <c r="E55" t="s">
        <v>411</v>
      </c>
      <c r="G55" s="59" t="s">
        <v>384</v>
      </c>
      <c r="I55" s="57" t="s">
        <v>134</v>
      </c>
      <c r="J55" s="57">
        <v>1.0</v>
      </c>
      <c r="K55" s="58"/>
    </row>
    <row r="56">
      <c r="B56" t="s">
        <v>385</v>
      </c>
      <c r="C56" t="s">
        <v>305</v>
      </c>
      <c r="D56" t="s">
        <v>343</v>
      </c>
      <c r="E56" t="s">
        <v>415</v>
      </c>
      <c r="G56" s="59" t="s">
        <v>141</v>
      </c>
      <c r="I56" s="57" t="s">
        <v>415</v>
      </c>
      <c r="J56" s="57">
        <v>1.0</v>
      </c>
      <c r="K56" s="58"/>
    </row>
    <row r="57">
      <c r="B57" t="s">
        <v>343</v>
      </c>
      <c r="C57" t="s">
        <v>395</v>
      </c>
      <c r="D57" t="s">
        <v>416</v>
      </c>
      <c r="E57" t="s">
        <v>412</v>
      </c>
      <c r="G57" s="59" t="s">
        <v>95</v>
      </c>
      <c r="I57" s="57" t="s">
        <v>141</v>
      </c>
      <c r="J57" s="58">
        <v>1.0</v>
      </c>
      <c r="K57" s="58"/>
    </row>
    <row r="58">
      <c r="C58" t="s">
        <v>410</v>
      </c>
      <c r="D58" t="s">
        <v>366</v>
      </c>
      <c r="E58" t="s">
        <v>308</v>
      </c>
      <c r="G58" s="59" t="s">
        <v>400</v>
      </c>
      <c r="I58" s="57" t="s">
        <v>144</v>
      </c>
      <c r="J58" s="58">
        <v>2.0</v>
      </c>
      <c r="K58" s="58"/>
    </row>
    <row r="59">
      <c r="D59" t="s">
        <v>317</v>
      </c>
      <c r="E59" t="s">
        <v>305</v>
      </c>
      <c r="G59" s="59" t="s">
        <v>92</v>
      </c>
      <c r="I59" s="57" t="s">
        <v>147</v>
      </c>
      <c r="J59" s="58">
        <v>1.0</v>
      </c>
      <c r="K59" s="58"/>
    </row>
    <row r="60">
      <c r="D60" t="s">
        <v>397</v>
      </c>
      <c r="G60" s="59" t="s">
        <v>389</v>
      </c>
      <c r="I60" s="57" t="s">
        <v>343</v>
      </c>
      <c r="J60" s="58">
        <v>3.0</v>
      </c>
      <c r="K60" s="58"/>
    </row>
    <row r="61">
      <c r="D61" t="s">
        <v>369</v>
      </c>
      <c r="G61" s="59" t="s">
        <v>56</v>
      </c>
      <c r="I61" s="57" t="s">
        <v>376</v>
      </c>
      <c r="J61" s="58">
        <v>1.0</v>
      </c>
      <c r="K61" s="58"/>
    </row>
    <row r="62">
      <c r="G62" s="59" t="s">
        <v>343</v>
      </c>
      <c r="I62" s="58"/>
      <c r="J62" s="58"/>
      <c r="K62" s="58"/>
    </row>
    <row r="63">
      <c r="G63" s="59" t="s">
        <v>409</v>
      </c>
      <c r="I63" s="58"/>
      <c r="J63" s="58"/>
      <c r="K63" s="58"/>
    </row>
    <row r="64">
      <c r="G64" s="59" t="s">
        <v>414</v>
      </c>
      <c r="I64" s="58"/>
      <c r="J64" s="58"/>
      <c r="K64" s="58"/>
    </row>
    <row r="65">
      <c r="G65" s="59" t="s">
        <v>305</v>
      </c>
      <c r="I65" s="58"/>
      <c r="J65" s="58"/>
      <c r="K65" s="58"/>
    </row>
    <row r="66">
      <c r="G66" s="59" t="s">
        <v>395</v>
      </c>
      <c r="I66" s="58"/>
      <c r="J66" s="58"/>
      <c r="K66" s="58"/>
    </row>
    <row r="67">
      <c r="G67" s="59" t="s">
        <v>410</v>
      </c>
      <c r="I67" s="58"/>
      <c r="J67" s="58"/>
      <c r="K67" s="58"/>
    </row>
    <row r="68">
      <c r="G68" s="59" t="s">
        <v>403</v>
      </c>
      <c r="I68" s="58"/>
      <c r="J68" s="58"/>
      <c r="K68" s="58"/>
    </row>
    <row r="69">
      <c r="G69" s="59" t="s">
        <v>363</v>
      </c>
      <c r="I69" s="58"/>
      <c r="J69" s="58"/>
      <c r="K69" s="58"/>
    </row>
    <row r="70">
      <c r="G70" s="59" t="s">
        <v>68</v>
      </c>
      <c r="I70" s="58"/>
      <c r="J70" s="58"/>
      <c r="K70" s="58"/>
    </row>
    <row r="71">
      <c r="G71" s="59" t="s">
        <v>100</v>
      </c>
      <c r="I71" s="58"/>
      <c r="J71" s="58"/>
      <c r="K71" s="58"/>
    </row>
    <row r="72">
      <c r="G72" s="59" t="s">
        <v>294</v>
      </c>
    </row>
    <row r="73">
      <c r="G73" s="59" t="s">
        <v>302</v>
      </c>
    </row>
    <row r="74">
      <c r="G74" s="59" t="s">
        <v>375</v>
      </c>
    </row>
    <row r="75">
      <c r="G75" s="59" t="s">
        <v>144</v>
      </c>
    </row>
    <row r="76">
      <c r="G76" s="59" t="s">
        <v>374</v>
      </c>
    </row>
    <row r="77">
      <c r="G77" s="59" t="s">
        <v>185</v>
      </c>
    </row>
    <row r="78">
      <c r="G78" s="59" t="s">
        <v>129</v>
      </c>
    </row>
    <row r="79">
      <c r="G79" s="59" t="s">
        <v>92</v>
      </c>
    </row>
    <row r="80">
      <c r="G80" s="59" t="s">
        <v>389</v>
      </c>
    </row>
    <row r="81">
      <c r="G81" s="59" t="s">
        <v>56</v>
      </c>
    </row>
    <row r="82">
      <c r="G82" s="59" t="s">
        <v>413</v>
      </c>
    </row>
    <row r="83">
      <c r="G83" s="59" t="s">
        <v>395</v>
      </c>
    </row>
    <row r="84">
      <c r="G84" s="59" t="s">
        <v>308</v>
      </c>
    </row>
    <row r="85">
      <c r="G85" s="59" t="s">
        <v>343</v>
      </c>
    </row>
    <row r="86">
      <c r="G86" s="59" t="s">
        <v>416</v>
      </c>
    </row>
    <row r="87">
      <c r="G87" s="59" t="s">
        <v>366</v>
      </c>
    </row>
    <row r="88">
      <c r="G88" s="59" t="s">
        <v>317</v>
      </c>
    </row>
    <row r="89">
      <c r="G89" s="59" t="s">
        <v>397</v>
      </c>
    </row>
    <row r="90">
      <c r="G90" s="59" t="s">
        <v>369</v>
      </c>
    </row>
    <row r="91">
      <c r="G91" s="59" t="s">
        <v>403</v>
      </c>
    </row>
    <row r="92">
      <c r="G92" s="59" t="s">
        <v>363</v>
      </c>
    </row>
    <row r="93">
      <c r="G93" s="59" t="s">
        <v>134</v>
      </c>
    </row>
    <row r="94">
      <c r="G94" s="59" t="s">
        <v>100</v>
      </c>
    </row>
    <row r="95">
      <c r="G95" s="59" t="s">
        <v>302</v>
      </c>
    </row>
    <row r="96">
      <c r="G96" s="59" t="s">
        <v>129</v>
      </c>
    </row>
    <row r="97">
      <c r="G97" s="59" t="s">
        <v>297</v>
      </c>
    </row>
    <row r="98">
      <c r="G98" s="59" t="s">
        <v>377</v>
      </c>
    </row>
    <row r="99">
      <c r="G99" s="59" t="s">
        <v>382</v>
      </c>
    </row>
    <row r="100">
      <c r="G100" s="59" t="s">
        <v>384</v>
      </c>
    </row>
    <row r="101">
      <c r="G101" s="59" t="s">
        <v>92</v>
      </c>
    </row>
    <row r="102">
      <c r="G102" s="59" t="s">
        <v>389</v>
      </c>
    </row>
    <row r="103">
      <c r="G103" s="59" t="s">
        <v>288</v>
      </c>
    </row>
    <row r="104">
      <c r="G104" s="59" t="s">
        <v>392</v>
      </c>
    </row>
    <row r="105">
      <c r="G105" s="59" t="s">
        <v>414</v>
      </c>
    </row>
    <row r="106">
      <c r="G106" s="59" t="s">
        <v>371</v>
      </c>
    </row>
    <row r="107">
      <c r="G107" s="59" t="s">
        <v>411</v>
      </c>
    </row>
    <row r="108">
      <c r="G108" s="59" t="s">
        <v>415</v>
      </c>
    </row>
    <row r="109">
      <c r="G109" s="59" t="s">
        <v>412</v>
      </c>
    </row>
    <row r="110">
      <c r="G110" s="59" t="s">
        <v>308</v>
      </c>
    </row>
    <row r="111">
      <c r="G111" s="59" t="s">
        <v>305</v>
      </c>
    </row>
    <row r="112">
      <c r="G112" s="59"/>
    </row>
    <row r="113">
      <c r="G113" s="59"/>
    </row>
    <row r="114">
      <c r="G114" s="59"/>
    </row>
    <row r="115">
      <c r="G115" s="59"/>
    </row>
    <row r="116">
      <c r="G116" s="59"/>
    </row>
    <row r="117">
      <c r="G117" s="59"/>
    </row>
    <row r="118">
      <c r="G118" s="59"/>
    </row>
    <row r="119">
      <c r="G119" s="59"/>
    </row>
    <row r="120">
      <c r="G120" s="59"/>
    </row>
    <row r="121">
      <c r="G121" s="59"/>
    </row>
    <row r="122">
      <c r="G122" s="59"/>
    </row>
    <row r="123">
      <c r="G123" s="59"/>
    </row>
    <row r="124">
      <c r="G124" s="59"/>
    </row>
    <row r="125">
      <c r="G125" s="59"/>
    </row>
    <row r="126">
      <c r="G126" s="59"/>
    </row>
    <row r="127">
      <c r="G127" s="59"/>
    </row>
    <row r="128">
      <c r="G128" s="59"/>
    </row>
    <row r="129">
      <c r="G129" s="59"/>
    </row>
    <row r="130">
      <c r="G130" s="59"/>
    </row>
    <row r="131">
      <c r="G131" s="59"/>
    </row>
    <row r="132">
      <c r="G132" s="59"/>
    </row>
    <row r="133">
      <c r="G133" s="59"/>
    </row>
    <row r="134">
      <c r="G134" s="59"/>
    </row>
    <row r="135">
      <c r="G135" s="5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4.57"/>
    <col customWidth="1" min="2" max="2" width="16.86"/>
    <col customWidth="1" min="3" max="3" width="20.86"/>
    <col customWidth="1" min="4" max="4" width="25.57"/>
    <col customWidth="1" min="5" max="5" width="36.43"/>
    <col customWidth="1" min="6" max="6" width="7.0"/>
    <col customWidth="1" min="7" max="7" width="51.14"/>
    <col customWidth="1" min="8" max="9" width="14.86"/>
    <col customWidth="1" min="10" max="10" width="19.29"/>
    <col customWidth="1" min="11" max="11" width="13.29"/>
    <col customWidth="1" min="12" max="12" width="11.14"/>
  </cols>
  <sheetData>
    <row r="1">
      <c r="A1" s="45" t="s">
        <v>320</v>
      </c>
      <c r="B1" s="45" t="s">
        <v>321</v>
      </c>
      <c r="C1" s="45" t="s">
        <v>4</v>
      </c>
      <c r="D1" s="45" t="s">
        <v>322</v>
      </c>
      <c r="E1" s="45" t="s">
        <v>1</v>
      </c>
      <c r="F1" s="45" t="s">
        <v>323</v>
      </c>
      <c r="G1" s="45" t="s">
        <v>324</v>
      </c>
      <c r="H1" s="46" t="s">
        <v>325</v>
      </c>
      <c r="I1" s="45" t="s">
        <v>329</v>
      </c>
      <c r="J1" s="45" t="s">
        <v>330</v>
      </c>
      <c r="K1" s="48" t="s">
        <v>331</v>
      </c>
      <c r="L1" s="48" t="s">
        <v>338</v>
      </c>
    </row>
    <row r="2">
      <c r="A2" s="49" t="s">
        <v>88</v>
      </c>
      <c r="B2" s="49" t="s">
        <v>18</v>
      </c>
      <c r="C2" s="51" t="str">
        <f t="shared" ref="C2:C48" si="1">CONCATENATE(A2, " ",B2)</f>
        <v>Dar Adriano</v>
      </c>
      <c r="D2" s="49" t="s">
        <v>20</v>
      </c>
      <c r="E2" s="53" t="str">
        <f>vlookup(D2,'Invoice ClientIds'!$B$2:$D$100,3,0)</f>
        <v>8</v>
      </c>
      <c r="F2" s="18">
        <v>15.0</v>
      </c>
      <c r="G2" s="56" t="str">
        <f t="shared" ref="G2:G48" si="2">CONCATENATE(A2," ",B2, " Feb Attendance - ",K2, if(K2=1," session", " sessions"))</f>
        <v>Dar Adriano Feb Attendance - 4 sessions</v>
      </c>
      <c r="H2" s="26" t="s">
        <v>348</v>
      </c>
      <c r="I2" s="18">
        <v>1.0</v>
      </c>
      <c r="J2" s="56">
        <f t="shared" ref="J2:J48" si="3">if(H2="J",25, if(K2&lt;=2,25, 40))</f>
        <v>40</v>
      </c>
      <c r="K2" s="56">
        <f>if(IsNA(vlookup(C2,'Feb Att'!$I$2:$J$76,2,0)),0,vlookup(C2,'Feb Att'!$I$2:$J$76,2,0))</f>
        <v>4</v>
      </c>
      <c r="L2" s="60">
        <f t="shared" ref="L2:L30" si="4">I2*J2</f>
        <v>40</v>
      </c>
    </row>
    <row r="3">
      <c r="A3" s="61" t="s">
        <v>36</v>
      </c>
      <c r="B3" s="61" t="s">
        <v>18</v>
      </c>
      <c r="C3" s="51" t="str">
        <f t="shared" si="1"/>
        <v>Paulo Adriano</v>
      </c>
      <c r="D3" s="49" t="s">
        <v>20</v>
      </c>
      <c r="E3" s="53" t="str">
        <f>vlookup(D3,'Invoice ClientIds'!$B$2:$D$100,3,0)</f>
        <v>8</v>
      </c>
      <c r="F3" s="18">
        <v>15.0</v>
      </c>
      <c r="G3" s="56" t="str">
        <f t="shared" si="2"/>
        <v>Paulo Adriano Feb Attendance - 2 sessions</v>
      </c>
      <c r="H3" s="26" t="s">
        <v>357</v>
      </c>
      <c r="I3" s="18">
        <v>1.0</v>
      </c>
      <c r="J3" s="56">
        <f t="shared" si="3"/>
        <v>25</v>
      </c>
      <c r="K3" s="56">
        <f>if(IsNA(vlookup(C3,'Feb Att'!$I$2:$J$76,2,0)),0,vlookup(C3,'Feb Att'!$I$2:$J$76,2,0))</f>
        <v>2</v>
      </c>
      <c r="L3" s="60">
        <f t="shared" si="4"/>
        <v>25</v>
      </c>
    </row>
    <row r="4">
      <c r="A4" s="61" t="s">
        <v>16</v>
      </c>
      <c r="B4" s="61" t="s">
        <v>18</v>
      </c>
      <c r="C4" s="51" t="str">
        <f t="shared" si="1"/>
        <v>Chez Adriano</v>
      </c>
      <c r="D4" s="49" t="s">
        <v>20</v>
      </c>
      <c r="E4" s="53" t="str">
        <f>vlookup(D4,'Invoice ClientIds'!$B$2:$D$100,3,0)</f>
        <v>8</v>
      </c>
      <c r="F4" s="18">
        <v>15.0</v>
      </c>
      <c r="G4" s="56" t="str">
        <f t="shared" si="2"/>
        <v>Chez Adriano Feb Attendance - 3 sessions</v>
      </c>
      <c r="H4" s="26" t="s">
        <v>357</v>
      </c>
      <c r="I4" s="18">
        <v>1.0</v>
      </c>
      <c r="J4" s="56">
        <f t="shared" si="3"/>
        <v>25</v>
      </c>
      <c r="K4" s="56">
        <f>if(IsNA(vlookup(C4,'Feb Att'!$I$2:$J$76,2,0)),0,vlookup(C4,'Feb Att'!$I$2:$J$76,2,0))</f>
        <v>3</v>
      </c>
      <c r="L4" s="60">
        <f t="shared" si="4"/>
        <v>25</v>
      </c>
    </row>
    <row r="5">
      <c r="A5" s="61" t="s">
        <v>380</v>
      </c>
      <c r="B5" s="61" t="s">
        <v>18</v>
      </c>
      <c r="C5" s="51" t="str">
        <f t="shared" si="1"/>
        <v>Kyle Adriano</v>
      </c>
      <c r="D5" s="49" t="s">
        <v>20</v>
      </c>
      <c r="E5" s="53" t="str">
        <f>vlookup(D5,'Invoice ClientIds'!$B$2:$D$100,3,0)</f>
        <v>8</v>
      </c>
      <c r="F5" s="18">
        <v>15.0</v>
      </c>
      <c r="G5" s="56" t="str">
        <f t="shared" si="2"/>
        <v>Kyle Adriano Feb Attendance - 2 sessions</v>
      </c>
      <c r="H5" s="26" t="s">
        <v>348</v>
      </c>
      <c r="I5" s="18">
        <v>1.0</v>
      </c>
      <c r="J5" s="56">
        <f t="shared" si="3"/>
        <v>25</v>
      </c>
      <c r="K5" s="56">
        <f>if(IsNA(vlookup(C5,'Feb Att'!$I$2:$J$76,2,0)),0,vlookup(C5,'Feb Att'!$I$2:$J$76,2,0))</f>
        <v>2</v>
      </c>
      <c r="L5" s="60">
        <f t="shared" si="4"/>
        <v>25</v>
      </c>
    </row>
    <row r="6">
      <c r="A6" s="61" t="s">
        <v>60</v>
      </c>
      <c r="B6" s="61" t="s">
        <v>18</v>
      </c>
      <c r="C6" s="51" t="str">
        <f t="shared" si="1"/>
        <v>Kim Adriano</v>
      </c>
      <c r="D6" s="49" t="s">
        <v>20</v>
      </c>
      <c r="E6" s="53" t="str">
        <f>vlookup(D6,'Invoice ClientIds'!$B$2:$D$100,3,0)</f>
        <v>8</v>
      </c>
      <c r="F6" s="18">
        <v>15.0</v>
      </c>
      <c r="G6" s="56" t="str">
        <f t="shared" si="2"/>
        <v>Kim Adriano Feb Attendance - 0 sessions</v>
      </c>
      <c r="H6" s="26" t="s">
        <v>348</v>
      </c>
      <c r="I6" s="18">
        <v>1.0</v>
      </c>
      <c r="J6" s="56">
        <f t="shared" si="3"/>
        <v>25</v>
      </c>
      <c r="K6" s="56">
        <f>if(IsNA(vlookup(C6,'Feb Att'!$I$2:$J$76,2,0)),0,vlookup(C6,'Feb Att'!$I$2:$J$76,2,0))</f>
        <v>0</v>
      </c>
      <c r="L6" s="60">
        <f t="shared" si="4"/>
        <v>25</v>
      </c>
    </row>
    <row r="7">
      <c r="A7" s="61" t="s">
        <v>97</v>
      </c>
      <c r="B7" s="49" t="s">
        <v>99</v>
      </c>
      <c r="C7" s="51" t="str">
        <f t="shared" si="1"/>
        <v>Majan Almazan</v>
      </c>
      <c r="D7" s="49" t="s">
        <v>104</v>
      </c>
      <c r="E7" s="53" t="str">
        <f>vlookup(D7,'Invoice ClientIds'!$B$2:$D$100,3,0)</f>
        <v>33</v>
      </c>
      <c r="F7" s="18">
        <v>15.0</v>
      </c>
      <c r="G7" s="56" t="str">
        <f t="shared" si="2"/>
        <v>Majan Almazan Feb Attendance - 3 sessions</v>
      </c>
      <c r="H7" s="26" t="s">
        <v>357</v>
      </c>
      <c r="I7" s="18">
        <v>1.0</v>
      </c>
      <c r="J7" s="56">
        <f t="shared" si="3"/>
        <v>25</v>
      </c>
      <c r="K7" s="56">
        <f>if(IsNA(vlookup(C7,'Feb Att'!$I$2:$J$76,2,0)),0,vlookup(C7,'Feb Att'!$I$2:$J$76,2,0))</f>
        <v>3</v>
      </c>
      <c r="L7" s="60">
        <f t="shared" si="4"/>
        <v>25</v>
      </c>
    </row>
    <row r="8">
      <c r="A8" s="49" t="s">
        <v>135</v>
      </c>
      <c r="B8" s="49" t="s">
        <v>99</v>
      </c>
      <c r="C8" s="51" t="str">
        <f t="shared" si="1"/>
        <v>Ruth Almazan</v>
      </c>
      <c r="D8" s="49" t="s">
        <v>104</v>
      </c>
      <c r="E8" s="53" t="str">
        <f>vlookup(D8,'Invoice ClientIds'!$B$2:$D$100,3,0)</f>
        <v>33</v>
      </c>
      <c r="F8" s="18">
        <v>15.0</v>
      </c>
      <c r="G8" s="56" t="str">
        <f t="shared" si="2"/>
        <v>Ruth Almazan Feb Attendance - 4 sessions</v>
      </c>
      <c r="H8" s="26" t="s">
        <v>348</v>
      </c>
      <c r="I8" s="18">
        <v>1.0</v>
      </c>
      <c r="J8" s="56">
        <f t="shared" si="3"/>
        <v>40</v>
      </c>
      <c r="K8" s="56">
        <f>if(IsNA(vlookup(C8,'Feb Att'!$I$2:$J$76,2,0)),0,vlookup(C8,'Feb Att'!$I$2:$J$76,2,0))</f>
        <v>4</v>
      </c>
      <c r="L8" s="60">
        <f t="shared" si="4"/>
        <v>40</v>
      </c>
    </row>
    <row r="9">
      <c r="A9" s="61" t="s">
        <v>152</v>
      </c>
      <c r="B9" s="61" t="s">
        <v>153</v>
      </c>
      <c r="C9" s="51" t="str">
        <f t="shared" si="1"/>
        <v>Gloria Araullo</v>
      </c>
      <c r="D9" s="49" t="s">
        <v>67</v>
      </c>
      <c r="E9" s="66">
        <v>12.0</v>
      </c>
      <c r="F9" s="18">
        <v>15.0</v>
      </c>
      <c r="G9" s="56" t="str">
        <f t="shared" si="2"/>
        <v>Gloria Araullo Feb Attendance - 4 sessions</v>
      </c>
      <c r="H9" s="26" t="s">
        <v>348</v>
      </c>
      <c r="I9" s="18">
        <v>1.0</v>
      </c>
      <c r="J9" s="56">
        <f t="shared" si="3"/>
        <v>40</v>
      </c>
      <c r="K9" s="56">
        <f>if(IsNA(vlookup(C9,'Feb Att'!$I$2:$J$76,2,0)),0,vlookup(C9,'Feb Att'!$I$2:$J$76,2,0))</f>
        <v>4</v>
      </c>
      <c r="L9" s="60">
        <f t="shared" si="4"/>
        <v>40</v>
      </c>
    </row>
    <row r="10">
      <c r="A10" s="49" t="s">
        <v>175</v>
      </c>
      <c r="B10" s="49" t="s">
        <v>176</v>
      </c>
      <c r="C10" s="51" t="str">
        <f t="shared" si="1"/>
        <v>Tina Castillo</v>
      </c>
      <c r="D10" s="49" t="s">
        <v>146</v>
      </c>
      <c r="E10" s="53" t="str">
        <f>vlookup(D10,'Invoice ClientIds'!$B$2:$D$100,3,0)</f>
        <v>37</v>
      </c>
      <c r="F10" s="18">
        <v>15.0</v>
      </c>
      <c r="G10" s="56" t="str">
        <f t="shared" si="2"/>
        <v>Tina Castillo Feb Attendance - 4 sessions</v>
      </c>
      <c r="H10" s="26" t="s">
        <v>348</v>
      </c>
      <c r="I10" s="18">
        <v>1.0</v>
      </c>
      <c r="J10" s="56">
        <f t="shared" si="3"/>
        <v>40</v>
      </c>
      <c r="K10" s="56">
        <f>if(IsNA(vlookup(C10,'Feb Att'!$I$2:$J$76,2,0)),0,vlookup(C10,'Feb Att'!$I$2:$J$76,2,0))</f>
        <v>4</v>
      </c>
      <c r="L10" s="60">
        <f t="shared" si="4"/>
        <v>40</v>
      </c>
    </row>
    <row r="11">
      <c r="A11" s="49" t="s">
        <v>193</v>
      </c>
      <c r="B11" s="49" t="s">
        <v>194</v>
      </c>
      <c r="C11" s="51" t="str">
        <f t="shared" si="1"/>
        <v>Racquel Cruz</v>
      </c>
      <c r="D11" s="61" t="s">
        <v>149</v>
      </c>
      <c r="E11" s="53" t="str">
        <f>vlookup(D11,'Invoice ClientIds'!$B$2:$D$100,3,0)</f>
        <v>38</v>
      </c>
      <c r="F11" s="18">
        <v>15.0</v>
      </c>
      <c r="G11" s="56" t="str">
        <f t="shared" si="2"/>
        <v>Racquel Cruz Feb Attendance - 2 sessions</v>
      </c>
      <c r="H11" s="26" t="s">
        <v>348</v>
      </c>
      <c r="I11" s="18">
        <v>1.0</v>
      </c>
      <c r="J11" s="56">
        <f t="shared" si="3"/>
        <v>25</v>
      </c>
      <c r="K11" s="56">
        <f>if(IsNA(vlookup(C11,'Feb Att'!$I$2:$J$76,2,0)),0,vlookup(C11,'Feb Att'!$I$2:$J$76,2,0))</f>
        <v>2</v>
      </c>
      <c r="L11" s="60">
        <f t="shared" si="4"/>
        <v>25</v>
      </c>
    </row>
    <row r="12">
      <c r="A12" s="49" t="s">
        <v>218</v>
      </c>
      <c r="B12" s="49" t="s">
        <v>194</v>
      </c>
      <c r="C12" s="51" t="str">
        <f t="shared" si="1"/>
        <v>West Cruz</v>
      </c>
      <c r="D12" s="61" t="s">
        <v>149</v>
      </c>
      <c r="E12" s="53" t="str">
        <f>vlookup(D12,'Invoice ClientIds'!$B$2:$D$100,3,0)</f>
        <v>38</v>
      </c>
      <c r="F12" s="18">
        <v>15.0</v>
      </c>
      <c r="G12" s="56" t="str">
        <f t="shared" si="2"/>
        <v>West Cruz Feb Attendance - 2 sessions</v>
      </c>
      <c r="H12" s="26" t="s">
        <v>348</v>
      </c>
      <c r="I12" s="18">
        <v>1.0</v>
      </c>
      <c r="J12" s="56">
        <f t="shared" si="3"/>
        <v>25</v>
      </c>
      <c r="K12" s="56">
        <f>if(IsNA(vlookup(C12,'Feb Att'!$I$2:$J$76,2,0)),0,vlookup(C12,'Feb Att'!$I$2:$J$76,2,0))</f>
        <v>2</v>
      </c>
      <c r="L12" s="60">
        <f t="shared" si="4"/>
        <v>25</v>
      </c>
    </row>
    <row r="13">
      <c r="A13" s="49" t="s">
        <v>242</v>
      </c>
      <c r="B13" s="49" t="s">
        <v>244</v>
      </c>
      <c r="C13" s="51" t="str">
        <f t="shared" si="1"/>
        <v>Mark Dasco</v>
      </c>
      <c r="D13" s="49" t="s">
        <v>98</v>
      </c>
      <c r="E13" s="53" t="str">
        <f>vlookup(D13,'Invoice ClientIds'!$B$2:$D$100,3,0)</f>
        <v>21</v>
      </c>
      <c r="F13" s="18">
        <v>15.0</v>
      </c>
      <c r="G13" s="56" t="str">
        <f t="shared" si="2"/>
        <v>Mark Dasco Feb Attendance - 2 sessions</v>
      </c>
      <c r="H13" s="26" t="s">
        <v>348</v>
      </c>
      <c r="I13" s="18">
        <v>1.0</v>
      </c>
      <c r="J13" s="56">
        <f t="shared" si="3"/>
        <v>25</v>
      </c>
      <c r="K13" s="56">
        <f>if(IsNA(vlookup(C13,'Feb Att'!$I$2:$J$76,2,0)),0,vlookup(C13,'Feb Att'!$I$2:$J$76,2,0))</f>
        <v>2</v>
      </c>
      <c r="L13" s="60">
        <f t="shared" si="4"/>
        <v>25</v>
      </c>
    </row>
    <row r="14">
      <c r="A14" s="61" t="s">
        <v>263</v>
      </c>
      <c r="B14" s="61" t="s">
        <v>264</v>
      </c>
      <c r="C14" s="51" t="str">
        <f t="shared" si="1"/>
        <v>Roldan Discaya</v>
      </c>
      <c r="D14" s="49" t="s">
        <v>265</v>
      </c>
      <c r="E14" s="53" t="str">
        <f>vlookup(D14,'Invoice ClientIds'!$B$2:$D$100,3,0)</f>
        <v>1e8ef7fe-5922-4927-8471-70cab702e874</v>
      </c>
      <c r="F14" s="18">
        <v>15.0</v>
      </c>
      <c r="G14" s="56" t="str">
        <f t="shared" si="2"/>
        <v>Roldan Discaya Feb Attendance - 4 sessions</v>
      </c>
      <c r="H14" s="26" t="s">
        <v>348</v>
      </c>
      <c r="I14" s="18">
        <v>1.0</v>
      </c>
      <c r="J14" s="56">
        <f t="shared" si="3"/>
        <v>40</v>
      </c>
      <c r="K14" s="56">
        <f>if(IsNA(vlookup(C14,'Feb Att'!$I$2:$J$76,2,0)),0,vlookup(C14,'Feb Att'!$I$2:$J$76,2,0))</f>
        <v>4</v>
      </c>
      <c r="L14" s="60">
        <f t="shared" si="4"/>
        <v>40</v>
      </c>
    </row>
    <row r="15">
      <c r="A15" s="49" t="s">
        <v>275</v>
      </c>
      <c r="B15" s="49" t="s">
        <v>276</v>
      </c>
      <c r="C15" s="51" t="str">
        <f t="shared" si="1"/>
        <v>Jonathan De Guzman</v>
      </c>
      <c r="D15" s="49" t="s">
        <v>77</v>
      </c>
      <c r="E15" s="53" t="str">
        <f>vlookup(D15,'Invoice ClientIds'!$B$2:$D$100,3,0)</f>
        <v>15</v>
      </c>
      <c r="F15" s="18">
        <v>15.0</v>
      </c>
      <c r="G15" s="56" t="str">
        <f t="shared" si="2"/>
        <v>Jonathan De Guzman Feb Attendance - 4 sessions</v>
      </c>
      <c r="H15" s="26" t="s">
        <v>348</v>
      </c>
      <c r="I15" s="18">
        <v>1.0</v>
      </c>
      <c r="J15" s="56">
        <f t="shared" si="3"/>
        <v>40</v>
      </c>
      <c r="K15" s="56">
        <f>if(IsNA(vlookup(C15,'Feb Att'!$I$2:$J$76,2,0)),0,vlookup(C15,'Feb Att'!$I$2:$J$76,2,0))</f>
        <v>4</v>
      </c>
      <c r="L15" s="60">
        <f t="shared" si="4"/>
        <v>40</v>
      </c>
    </row>
    <row r="16">
      <c r="A16" s="49" t="s">
        <v>292</v>
      </c>
      <c r="B16" s="49" t="s">
        <v>276</v>
      </c>
      <c r="C16" s="51" t="str">
        <f t="shared" si="1"/>
        <v>Ime De Guzman</v>
      </c>
      <c r="D16" s="49" t="s">
        <v>77</v>
      </c>
      <c r="E16" s="53" t="str">
        <f>vlookup(D16,'Invoice ClientIds'!$B$2:$D$100,3,0)</f>
        <v>15</v>
      </c>
      <c r="F16" s="18">
        <v>15.0</v>
      </c>
      <c r="G16" s="56" t="str">
        <f t="shared" si="2"/>
        <v>Ime De Guzman Feb Attendance - 4 sessions</v>
      </c>
      <c r="H16" s="26" t="s">
        <v>348</v>
      </c>
      <c r="I16" s="18">
        <v>1.0</v>
      </c>
      <c r="J16" s="56">
        <f t="shared" si="3"/>
        <v>40</v>
      </c>
      <c r="K16" s="56">
        <f>if(IsNA(vlookup(C16,'Feb Att'!$I$2:$J$76,2,0)),0,vlookup(C16,'Feb Att'!$I$2:$J$76,2,0))</f>
        <v>4</v>
      </c>
      <c r="L16" s="60">
        <f t="shared" si="4"/>
        <v>40</v>
      </c>
    </row>
    <row r="17">
      <c r="A17" s="49" t="s">
        <v>313</v>
      </c>
      <c r="B17" s="49" t="s">
        <v>299</v>
      </c>
      <c r="C17" s="51" t="str">
        <f t="shared" si="1"/>
        <v>Jed Garcia</v>
      </c>
      <c r="D17" s="49" t="s">
        <v>273</v>
      </c>
      <c r="E17" s="53">
        <v>72.0</v>
      </c>
      <c r="F17" s="18">
        <v>15.0</v>
      </c>
      <c r="G17" s="56" t="str">
        <f t="shared" si="2"/>
        <v>Jed Garcia Feb Attendance - 0 sessions</v>
      </c>
      <c r="H17" s="26" t="s">
        <v>357</v>
      </c>
      <c r="I17" s="18">
        <v>1.0</v>
      </c>
      <c r="J17" s="56">
        <f t="shared" si="3"/>
        <v>25</v>
      </c>
      <c r="K17" s="56">
        <f>if(IsNA(vlookup(C17,'Feb Att'!$I$2:$J$76,2,0)),0,vlookup(C17,'Feb Att'!$I$2:$J$76,2,0))</f>
        <v>0</v>
      </c>
      <c r="L17" s="60">
        <f t="shared" si="4"/>
        <v>25</v>
      </c>
    </row>
    <row r="18">
      <c r="A18" s="61" t="s">
        <v>298</v>
      </c>
      <c r="B18" s="61" t="s">
        <v>299</v>
      </c>
      <c r="C18" s="51" t="str">
        <f t="shared" si="1"/>
        <v>Josel Garcia</v>
      </c>
      <c r="D18" s="61" t="s">
        <v>273</v>
      </c>
      <c r="E18" s="53">
        <f>vlookup(D18,'Invoice ClientIds'!$B$2:$D$100,3,0)</f>
        <v>72</v>
      </c>
      <c r="F18" s="18">
        <v>15.0</v>
      </c>
      <c r="G18" s="56" t="str">
        <f t="shared" si="2"/>
        <v>Josel Garcia Feb Attendance - 0 sessions</v>
      </c>
      <c r="H18" s="26" t="s">
        <v>348</v>
      </c>
      <c r="I18" s="18">
        <v>1.0</v>
      </c>
      <c r="J18" s="56">
        <f t="shared" si="3"/>
        <v>25</v>
      </c>
      <c r="K18" s="56">
        <f>if(IsNA(vlookup(C18,'Feb Att'!$I$2:$J$76,2,0)),0,vlookup(C18,'Feb Att'!$I$2:$J$76,2,0))</f>
        <v>0</v>
      </c>
      <c r="L18" s="60">
        <f t="shared" si="4"/>
        <v>25</v>
      </c>
    </row>
    <row r="19">
      <c r="A19" s="61" t="s">
        <v>309</v>
      </c>
      <c r="B19" s="61" t="s">
        <v>299</v>
      </c>
      <c r="C19" s="51" t="str">
        <f t="shared" si="1"/>
        <v>Aileen Garcia</v>
      </c>
      <c r="D19" s="61" t="s">
        <v>273</v>
      </c>
      <c r="E19" s="53">
        <f>vlookup(D19,'Invoice ClientIds'!$B$2:$D$100,3,0)</f>
        <v>72</v>
      </c>
      <c r="F19" s="18">
        <v>15.0</v>
      </c>
      <c r="G19" s="56" t="str">
        <f t="shared" si="2"/>
        <v>Aileen Garcia Feb Attendance - 0 sessions</v>
      </c>
      <c r="H19" s="26" t="s">
        <v>348</v>
      </c>
      <c r="I19" s="18">
        <v>1.0</v>
      </c>
      <c r="J19" s="56">
        <f t="shared" si="3"/>
        <v>25</v>
      </c>
      <c r="K19" s="56">
        <f>if(IsNA(vlookup(C19,'Feb Att'!$I$2:$J$76,2,0)),0,vlookup(C19,'Feb Att'!$I$2:$J$76,2,0))</f>
        <v>0</v>
      </c>
      <c r="L19" s="60">
        <f t="shared" si="4"/>
        <v>25</v>
      </c>
    </row>
    <row r="20">
      <c r="A20" s="61" t="s">
        <v>314</v>
      </c>
      <c r="B20" s="61" t="s">
        <v>417</v>
      </c>
      <c r="C20" s="51" t="str">
        <f t="shared" si="1"/>
        <v>Aashish Kumar</v>
      </c>
      <c r="D20" s="61" t="s">
        <v>301</v>
      </c>
      <c r="E20" s="53" t="str">
        <f>vlookup(D20,'Invoice ClientIds'!$B$2:$D$100,3,0)</f>
        <v>d82e7614-b40a-46ae-a48b-143c809bca66</v>
      </c>
      <c r="F20" s="18">
        <v>15.0</v>
      </c>
      <c r="G20" s="56" t="str">
        <f t="shared" si="2"/>
        <v>Aashish Kumar Feb Attendance - 4 sessions</v>
      </c>
      <c r="H20" s="26" t="s">
        <v>348</v>
      </c>
      <c r="I20" s="18">
        <v>1.0</v>
      </c>
      <c r="J20" s="56">
        <f t="shared" si="3"/>
        <v>40</v>
      </c>
      <c r="K20" s="56">
        <f>if(IsNA(vlookup(C20,'Feb Att'!$I$2:$J$76,2,0)),0,vlookup(C20,'Feb Att'!$I$2:$J$76,2,0))</f>
        <v>4</v>
      </c>
      <c r="L20" s="60">
        <f t="shared" si="4"/>
        <v>40</v>
      </c>
    </row>
    <row r="21">
      <c r="A21" s="61" t="s">
        <v>316</v>
      </c>
      <c r="B21" s="61" t="s">
        <v>317</v>
      </c>
      <c r="C21" s="51" t="str">
        <f t="shared" si="1"/>
        <v>Rohith Krishna</v>
      </c>
      <c r="D21" s="61" t="s">
        <v>304</v>
      </c>
      <c r="E21" s="53" t="str">
        <f>vlookup(D21,'Invoice ClientIds'!$B$2:$D$100,3,0)</f>
        <v>5d744242-e398-4705-b209-5c1d3de276bd</v>
      </c>
      <c r="F21" s="18">
        <v>15.0</v>
      </c>
      <c r="G21" s="56" t="str">
        <f t="shared" si="2"/>
        <v>Rohith Krishna Feb Attendance - 2 sessions</v>
      </c>
      <c r="H21" s="26" t="s">
        <v>348</v>
      </c>
      <c r="I21" s="18">
        <v>1.0</v>
      </c>
      <c r="J21" s="56">
        <f t="shared" si="3"/>
        <v>25</v>
      </c>
      <c r="K21" s="56">
        <f>if(IsNA(vlookup(C21,'Feb Att'!$I$2:$J$76,2,0)),0,vlookup(C21,'Feb Att'!$I$2:$J$76,2,0))</f>
        <v>2</v>
      </c>
      <c r="L21" s="60">
        <f t="shared" si="4"/>
        <v>25</v>
      </c>
    </row>
    <row r="22">
      <c r="A22" s="49" t="s">
        <v>318</v>
      </c>
      <c r="B22" s="49" t="s">
        <v>319</v>
      </c>
      <c r="C22" s="51" t="str">
        <f t="shared" si="1"/>
        <v>Glen Macaraeg</v>
      </c>
      <c r="D22" s="49" t="s">
        <v>143</v>
      </c>
      <c r="E22" s="53" t="str">
        <f>vlookup(D22,'Invoice ClientIds'!$B$2:$D$100,3,0)</f>
        <v>36</v>
      </c>
      <c r="F22" s="18">
        <v>15.0</v>
      </c>
      <c r="G22" s="56" t="str">
        <f t="shared" si="2"/>
        <v>Glen Macaraeg Feb Attendance - 4 sessions</v>
      </c>
      <c r="H22" s="26" t="s">
        <v>348</v>
      </c>
      <c r="I22" s="18">
        <v>1.0</v>
      </c>
      <c r="J22" s="56">
        <f t="shared" si="3"/>
        <v>40</v>
      </c>
      <c r="K22" s="56">
        <f>if(IsNA(vlookup(C22,'Feb Att'!$I$2:$J$76,2,0)),0,vlookup(C22,'Feb Att'!$I$2:$J$76,2,0))</f>
        <v>4</v>
      </c>
      <c r="L22" s="60">
        <f t="shared" si="4"/>
        <v>40</v>
      </c>
    </row>
    <row r="23">
      <c r="A23" s="49" t="s">
        <v>328</v>
      </c>
      <c r="B23" s="49" t="s">
        <v>319</v>
      </c>
      <c r="C23" s="51" t="str">
        <f t="shared" si="1"/>
        <v>Tess Macaraeg</v>
      </c>
      <c r="D23" s="49" t="s">
        <v>143</v>
      </c>
      <c r="E23" s="53" t="str">
        <f>vlookup(D23,'Invoice ClientIds'!$B$2:$D$100,3,0)</f>
        <v>36</v>
      </c>
      <c r="F23" s="18">
        <v>15.0</v>
      </c>
      <c r="G23" s="56" t="str">
        <f t="shared" si="2"/>
        <v>Tess Macaraeg Feb Attendance - 4 sessions</v>
      </c>
      <c r="H23" s="26" t="s">
        <v>348</v>
      </c>
      <c r="I23" s="18">
        <v>1.0</v>
      </c>
      <c r="J23" s="56">
        <f t="shared" si="3"/>
        <v>40</v>
      </c>
      <c r="K23" s="56">
        <f>if(IsNA(vlookup(C23,'Feb Att'!$I$2:$J$76,2,0)),0,vlookup(C23,'Feb Att'!$I$2:$J$76,2,0))</f>
        <v>4</v>
      </c>
      <c r="L23" s="60">
        <f t="shared" si="4"/>
        <v>40</v>
      </c>
    </row>
    <row r="24">
      <c r="A24" s="49" t="s">
        <v>333</v>
      </c>
      <c r="B24" s="49" t="s">
        <v>335</v>
      </c>
      <c r="C24" s="51" t="str">
        <f t="shared" si="1"/>
        <v>Alex Marundan</v>
      </c>
      <c r="D24" s="49" t="s">
        <v>255</v>
      </c>
      <c r="E24" s="53">
        <v>67.0</v>
      </c>
      <c r="F24" s="18">
        <v>15.0</v>
      </c>
      <c r="G24" s="56" t="str">
        <f t="shared" si="2"/>
        <v>Alex Marundan Feb Attendance - 3 sessions</v>
      </c>
      <c r="H24" s="26" t="s">
        <v>348</v>
      </c>
      <c r="I24" s="18">
        <v>1.0</v>
      </c>
      <c r="J24" s="56">
        <f t="shared" si="3"/>
        <v>40</v>
      </c>
      <c r="K24" s="56">
        <f>if(IsNA(vlookup(C24,'Feb Att'!$I$2:$J$76,2,0)),0,vlookup(C24,'Feb Att'!$I$2:$J$76,2,0))</f>
        <v>3</v>
      </c>
      <c r="L24" s="60">
        <f t="shared" si="4"/>
        <v>40</v>
      </c>
    </row>
    <row r="25">
      <c r="A25" s="49" t="s">
        <v>340</v>
      </c>
      <c r="B25" s="49" t="s">
        <v>341</v>
      </c>
      <c r="C25" s="51" t="str">
        <f t="shared" si="1"/>
        <v>Maritoni Mesina</v>
      </c>
      <c r="D25" s="49" t="s">
        <v>184</v>
      </c>
      <c r="E25" s="53">
        <f>vlookup(D25,'Invoice ClientIds'!$B$2:$D$100,3,0)</f>
        <v>46</v>
      </c>
      <c r="F25" s="18">
        <v>15.0</v>
      </c>
      <c r="G25" s="56" t="str">
        <f t="shared" si="2"/>
        <v>Maritoni Mesina Feb Attendance - 4 sessions</v>
      </c>
      <c r="H25" s="26" t="s">
        <v>348</v>
      </c>
      <c r="I25" s="18">
        <v>1.0</v>
      </c>
      <c r="J25" s="56">
        <f t="shared" si="3"/>
        <v>40</v>
      </c>
      <c r="K25" s="56">
        <f>if(IsNA(vlookup(C25,'Feb Att'!$I$2:$J$76,2,0)),0,vlookup(C25,'Feb Att'!$I$2:$J$76,2,0))</f>
        <v>4</v>
      </c>
      <c r="L25" s="60">
        <f t="shared" si="4"/>
        <v>40</v>
      </c>
    </row>
    <row r="26">
      <c r="A26" s="49" t="s">
        <v>342</v>
      </c>
      <c r="B26" s="49" t="s">
        <v>341</v>
      </c>
      <c r="C26" s="51" t="str">
        <f t="shared" si="1"/>
        <v>Bimbo Mesina</v>
      </c>
      <c r="D26" s="49" t="s">
        <v>184</v>
      </c>
      <c r="E26" s="53">
        <f>vlookup(D26,'Invoice ClientIds'!$B$2:$D$100,3,0)</f>
        <v>46</v>
      </c>
      <c r="F26" s="18">
        <v>15.0</v>
      </c>
      <c r="G26" s="56" t="str">
        <f t="shared" si="2"/>
        <v>Bimbo Mesina Feb Attendance - 4 sessions</v>
      </c>
      <c r="H26" s="26" t="s">
        <v>348</v>
      </c>
      <c r="I26" s="18">
        <v>1.0</v>
      </c>
      <c r="J26" s="56">
        <f t="shared" si="3"/>
        <v>40</v>
      </c>
      <c r="K26" s="56">
        <f>if(IsNA(vlookup(C26,'Feb Att'!$I$2:$J$76,2,0)),0,vlookup(C26,'Feb Att'!$I$2:$J$76,2,0))</f>
        <v>4</v>
      </c>
      <c r="L26" s="60">
        <f t="shared" si="4"/>
        <v>40</v>
      </c>
    </row>
    <row r="27">
      <c r="A27" s="61" t="s">
        <v>343</v>
      </c>
      <c r="B27" s="61" t="s">
        <v>344</v>
      </c>
      <c r="C27" s="51" t="str">
        <f t="shared" si="1"/>
        <v>Vikram Murthi</v>
      </c>
      <c r="D27" s="61" t="s">
        <v>311</v>
      </c>
      <c r="E27" s="53" t="str">
        <f>vlookup(D27,'Invoice ClientIds'!$B$2:$D$100,3,0)</f>
        <v>27e08fe4-d057-4932-b633-7cfbf4b5a83a</v>
      </c>
      <c r="F27" s="18">
        <v>15.0</v>
      </c>
      <c r="G27" s="56" t="str">
        <f t="shared" si="2"/>
        <v>Vikram Murthi Feb Attendance - 4 sessions</v>
      </c>
      <c r="H27" s="26" t="s">
        <v>348</v>
      </c>
      <c r="I27" s="18">
        <v>1.0</v>
      </c>
      <c r="J27" s="56">
        <f t="shared" si="3"/>
        <v>40</v>
      </c>
      <c r="K27" s="56">
        <f>if(IsNA(vlookup(C27,'Feb Att'!$I$2:$J$76,2,0)),0,vlookup(C27,'Feb Att'!$I$2:$J$76,2,0))</f>
        <v>4</v>
      </c>
      <c r="L27" s="60">
        <f t="shared" si="4"/>
        <v>40</v>
      </c>
    </row>
    <row r="28">
      <c r="A28" s="49" t="s">
        <v>345</v>
      </c>
      <c r="B28" s="49" t="s">
        <v>346</v>
      </c>
      <c r="C28" s="51" t="str">
        <f t="shared" si="1"/>
        <v>Marlon Nacua</v>
      </c>
      <c r="D28" s="49" t="s">
        <v>87</v>
      </c>
      <c r="E28" s="53" t="str">
        <f>vlookup(D28,'Invoice ClientIds'!$B$2:$D$100,3,0)</f>
        <v>18</v>
      </c>
      <c r="F28" s="18">
        <v>15.0</v>
      </c>
      <c r="G28" s="56" t="str">
        <f t="shared" si="2"/>
        <v>Marlon Nacua Feb Attendance - 1 session</v>
      </c>
      <c r="H28" s="26" t="s">
        <v>348</v>
      </c>
      <c r="I28" s="18">
        <v>1.0</v>
      </c>
      <c r="J28" s="56">
        <f t="shared" si="3"/>
        <v>25</v>
      </c>
      <c r="K28" s="56">
        <f>if(IsNA(vlookup(C28,'Feb Att'!$I$2:$J$76,2,0)),0,vlookup(C28,'Feb Att'!$I$2:$J$76,2,0))</f>
        <v>1</v>
      </c>
      <c r="L28" s="60">
        <f t="shared" si="4"/>
        <v>25</v>
      </c>
    </row>
    <row r="29">
      <c r="A29" s="49" t="s">
        <v>347</v>
      </c>
      <c r="B29" s="49" t="s">
        <v>346</v>
      </c>
      <c r="C29" s="51" t="str">
        <f t="shared" si="1"/>
        <v>Lorraine Nacua</v>
      </c>
      <c r="D29" s="49" t="s">
        <v>87</v>
      </c>
      <c r="E29" s="53" t="str">
        <f>vlookup(D29,'Invoice ClientIds'!$B$2:$D$100,3,0)</f>
        <v>18</v>
      </c>
      <c r="F29" s="18">
        <v>15.0</v>
      </c>
      <c r="G29" s="56" t="str">
        <f t="shared" si="2"/>
        <v>Lorraine Nacua Feb Attendance - 1 session</v>
      </c>
      <c r="H29" s="26" t="s">
        <v>348</v>
      </c>
      <c r="I29" s="18">
        <v>1.0</v>
      </c>
      <c r="J29" s="56">
        <f t="shared" si="3"/>
        <v>25</v>
      </c>
      <c r="K29" s="56">
        <f>if(IsNA(vlookup(C29,'Feb Att'!$I$2:$J$76,2,0)),0,vlookup(C29,'Feb Att'!$I$2:$J$76,2,0))</f>
        <v>1</v>
      </c>
      <c r="L29" s="60">
        <f t="shared" si="4"/>
        <v>25</v>
      </c>
    </row>
    <row r="30">
      <c r="A30" s="61" t="s">
        <v>351</v>
      </c>
      <c r="B30" s="49" t="s">
        <v>350</v>
      </c>
      <c r="C30" s="51" t="str">
        <f t="shared" si="1"/>
        <v>Reiner Nalzaro</v>
      </c>
      <c r="D30" s="49" t="s">
        <v>128</v>
      </c>
      <c r="E30" s="53" t="str">
        <f>vlookup(D30,'Invoice ClientIds'!$B$2:$D$100,3,0)</f>
        <v>31</v>
      </c>
      <c r="F30" s="18">
        <v>15.0</v>
      </c>
      <c r="G30" s="56" t="str">
        <f t="shared" si="2"/>
        <v>Reiner Nalzaro Feb Attendance - 4 sessions</v>
      </c>
      <c r="H30" s="26" t="s">
        <v>348</v>
      </c>
      <c r="I30" s="18">
        <v>1.0</v>
      </c>
      <c r="J30" s="56">
        <f t="shared" si="3"/>
        <v>40</v>
      </c>
      <c r="K30" s="56">
        <f>if(IsNA(vlookup(C30,'Feb Att'!$I$2:$J$76,2,0)),0,vlookup(C30,'Feb Att'!$I$2:$J$76,2,0))</f>
        <v>4</v>
      </c>
      <c r="L30" s="60">
        <f t="shared" si="4"/>
        <v>40</v>
      </c>
    </row>
    <row r="31">
      <c r="A31" s="49" t="s">
        <v>349</v>
      </c>
      <c r="B31" s="49" t="s">
        <v>350</v>
      </c>
      <c r="C31" s="51" t="str">
        <f t="shared" si="1"/>
        <v>Reinhardt Nalzaro</v>
      </c>
      <c r="D31" s="61" t="s">
        <v>296</v>
      </c>
      <c r="E31" s="53" t="str">
        <f>vlookup(D31,'Invoice ClientIds'!$B$2:$D$100,3,0)</f>
        <v>e7de831f-d2aa-4e7a-b94c-36977657934d</v>
      </c>
      <c r="F31" s="18">
        <v>15.0</v>
      </c>
      <c r="G31" s="56" t="str">
        <f t="shared" si="2"/>
        <v>Reinhardt Nalzaro Feb Attendance - 2 sessions</v>
      </c>
      <c r="H31" s="26" t="s">
        <v>357</v>
      </c>
      <c r="I31" s="18">
        <v>1.0</v>
      </c>
      <c r="J31" s="56">
        <f t="shared" si="3"/>
        <v>25</v>
      </c>
      <c r="K31" s="56">
        <f>if(IsNA(vlookup(C31,'Feb Att'!$I$2:$J$76,2,0)),0,vlookup(C31,'Feb Att'!$I$2:$J$76,2,0))</f>
        <v>2</v>
      </c>
      <c r="L31" s="68">
        <v>25.0</v>
      </c>
    </row>
    <row r="32">
      <c r="A32" s="49" t="s">
        <v>352</v>
      </c>
      <c r="B32" s="49" t="s">
        <v>353</v>
      </c>
      <c r="C32" s="51" t="str">
        <f t="shared" si="1"/>
        <v>Jess Pangilinan</v>
      </c>
      <c r="D32" s="49" t="s">
        <v>140</v>
      </c>
      <c r="E32" s="53" t="str">
        <f>vlookup(D32,'Invoice ClientIds'!$B$2:$D$100,3,0)</f>
        <v>35</v>
      </c>
      <c r="F32" s="18">
        <v>15.0</v>
      </c>
      <c r="G32" s="56" t="str">
        <f t="shared" si="2"/>
        <v>Jess Pangilinan Feb Attendance - 3 sessions</v>
      </c>
      <c r="H32" s="26" t="s">
        <v>348</v>
      </c>
      <c r="I32" s="18">
        <v>1.0</v>
      </c>
      <c r="J32" s="56">
        <f t="shared" si="3"/>
        <v>40</v>
      </c>
      <c r="K32" s="56">
        <f>if(IsNA(vlookup(C32,'Feb Att'!$I$2:$J$76,2,0)),0,vlookup(C32,'Feb Att'!$I$2:$J$76,2,0))</f>
        <v>3</v>
      </c>
      <c r="L32" s="60">
        <f t="shared" ref="L32:L33" si="5">I32*J32</f>
        <v>40</v>
      </c>
    </row>
    <row r="33">
      <c r="A33" s="49" t="s">
        <v>354</v>
      </c>
      <c r="B33" s="49" t="s">
        <v>353</v>
      </c>
      <c r="C33" s="51" t="str">
        <f t="shared" si="1"/>
        <v>Terry Pangilinan</v>
      </c>
      <c r="D33" s="49" t="s">
        <v>140</v>
      </c>
      <c r="E33" s="53" t="str">
        <f>vlookup(D33,'Invoice ClientIds'!$B$2:$D$100,3,0)</f>
        <v>35</v>
      </c>
      <c r="F33" s="18">
        <v>15.0</v>
      </c>
      <c r="G33" s="56" t="str">
        <f t="shared" si="2"/>
        <v>Terry Pangilinan Feb Attendance - 2 sessions</v>
      </c>
      <c r="H33" s="26" t="s">
        <v>348</v>
      </c>
      <c r="I33" s="18">
        <v>1.0</v>
      </c>
      <c r="J33" s="56">
        <f t="shared" si="3"/>
        <v>25</v>
      </c>
      <c r="K33" s="56">
        <f>if(IsNA(vlookup(C33,'Feb Att'!$I$2:$J$76,2,0)),0,vlookup(C33,'Feb Att'!$I$2:$J$76,2,0))</f>
        <v>2</v>
      </c>
      <c r="L33" s="60">
        <f t="shared" si="5"/>
        <v>25</v>
      </c>
    </row>
    <row r="34">
      <c r="A34" s="49" t="s">
        <v>356</v>
      </c>
      <c r="B34" s="49" t="s">
        <v>353</v>
      </c>
      <c r="C34" s="51" t="str">
        <f t="shared" si="1"/>
        <v>Nina Pangilinan</v>
      </c>
      <c r="D34" s="49" t="s">
        <v>140</v>
      </c>
      <c r="E34" s="53" t="str">
        <f>vlookup(D34,'Invoice ClientIds'!$B$2:$D$100,3,0)</f>
        <v>35</v>
      </c>
      <c r="F34" s="18">
        <v>15.0</v>
      </c>
      <c r="G34" s="56" t="str">
        <f t="shared" si="2"/>
        <v>Nina Pangilinan Feb Attendance - 3 sessions</v>
      </c>
      <c r="H34" s="26" t="s">
        <v>357</v>
      </c>
      <c r="I34" s="18">
        <v>1.0</v>
      </c>
      <c r="J34" s="56">
        <f t="shared" si="3"/>
        <v>25</v>
      </c>
      <c r="K34" s="56">
        <f>if(IsNA(vlookup(C34,'Feb Att'!$I$2:$J$76,2,0)),0,vlookup(C34,'Feb Att'!$I$2:$J$76,2,0))</f>
        <v>3</v>
      </c>
      <c r="L34" s="68">
        <v>25.0</v>
      </c>
    </row>
    <row r="35">
      <c r="A35" s="49" t="s">
        <v>355</v>
      </c>
      <c r="B35" s="49" t="s">
        <v>353</v>
      </c>
      <c r="C35" s="51" t="str">
        <f t="shared" si="1"/>
        <v>Ceth Pangilinan</v>
      </c>
      <c r="D35" s="49" t="s">
        <v>140</v>
      </c>
      <c r="E35" s="53" t="str">
        <f>vlookup(D35,'Invoice ClientIds'!$B$2:$D$100,3,0)</f>
        <v>35</v>
      </c>
      <c r="F35" s="18">
        <v>15.0</v>
      </c>
      <c r="G35" s="56" t="str">
        <f t="shared" si="2"/>
        <v>Ceth Pangilinan Feb Attendance - 2 sessions</v>
      </c>
      <c r="H35" s="26" t="s">
        <v>357</v>
      </c>
      <c r="I35" s="18">
        <v>1.0</v>
      </c>
      <c r="J35" s="56">
        <f t="shared" si="3"/>
        <v>25</v>
      </c>
      <c r="K35" s="56">
        <f>if(IsNA(vlookup(C35,'Feb Att'!$I$2:$J$76,2,0)),0,vlookup(C35,'Feb Att'!$I$2:$J$76,2,0))</f>
        <v>2</v>
      </c>
      <c r="L35" s="68">
        <v>25.0</v>
      </c>
    </row>
    <row r="36">
      <c r="A36" s="49" t="s">
        <v>358</v>
      </c>
      <c r="B36" s="49" t="s">
        <v>359</v>
      </c>
      <c r="C36" s="51" t="str">
        <f t="shared" si="1"/>
        <v>Allan Puente</v>
      </c>
      <c r="D36" s="49" t="s">
        <v>41</v>
      </c>
      <c r="E36" s="53" t="str">
        <f>vlookup(D36,'Invoice ClientIds'!$B$2:$D$100,3,0)</f>
        <v>4</v>
      </c>
      <c r="F36" s="18">
        <v>15.0</v>
      </c>
      <c r="G36" s="56" t="str">
        <f t="shared" si="2"/>
        <v>Allan Puente Feb Attendance - 0 sessions</v>
      </c>
      <c r="H36" s="26" t="s">
        <v>348</v>
      </c>
      <c r="I36" s="18">
        <v>1.0</v>
      </c>
      <c r="J36" s="56">
        <f t="shared" si="3"/>
        <v>25</v>
      </c>
      <c r="K36" s="56">
        <f>if(IsNA(vlookup(C36,'Feb Att'!$I$2:$J$76,2,0)),0,vlookup(C36,'Feb Att'!$I$2:$J$76,2,0))</f>
        <v>0</v>
      </c>
      <c r="L36" s="60">
        <f t="shared" ref="L36:L48" si="6">I36*J36</f>
        <v>25</v>
      </c>
    </row>
    <row r="37">
      <c r="A37" s="49" t="s">
        <v>361</v>
      </c>
      <c r="B37" s="49" t="s">
        <v>362</v>
      </c>
      <c r="C37" s="51" t="str">
        <f t="shared" si="1"/>
        <v>Rodel Rillera</v>
      </c>
      <c r="D37" s="49" t="s">
        <v>94</v>
      </c>
      <c r="E37" s="53" t="str">
        <f>vlookup(D37,'Invoice ClientIds'!$B$2:$D$100,3,0)</f>
        <v>20</v>
      </c>
      <c r="F37" s="18">
        <v>15.0</v>
      </c>
      <c r="G37" s="56" t="str">
        <f t="shared" si="2"/>
        <v>Rodel Rillera Feb Attendance - 2 sessions</v>
      </c>
      <c r="H37" s="26" t="s">
        <v>348</v>
      </c>
      <c r="I37" s="18">
        <v>1.0</v>
      </c>
      <c r="J37" s="56">
        <f t="shared" si="3"/>
        <v>25</v>
      </c>
      <c r="K37" s="56">
        <f>if(IsNA(vlookup(C37,'Feb Att'!$I$2:$J$76,2,0)),0,vlookup(C37,'Feb Att'!$I$2:$J$76,2,0))</f>
        <v>2</v>
      </c>
      <c r="L37" s="60">
        <f t="shared" si="6"/>
        <v>25</v>
      </c>
    </row>
    <row r="38">
      <c r="A38" s="49" t="s">
        <v>367</v>
      </c>
      <c r="B38" s="49" t="s">
        <v>362</v>
      </c>
      <c r="C38" s="51" t="str">
        <f t="shared" si="1"/>
        <v>Marianne Rillera</v>
      </c>
      <c r="D38" s="49" t="s">
        <v>94</v>
      </c>
      <c r="E38" s="53" t="str">
        <f>vlookup(D38,'Invoice ClientIds'!$B$2:$D$100,3,0)</f>
        <v>20</v>
      </c>
      <c r="F38" s="18">
        <v>15.0</v>
      </c>
      <c r="G38" s="56" t="str">
        <f t="shared" si="2"/>
        <v>Marianne Rillera Feb Attendance - 3 sessions</v>
      </c>
      <c r="H38" s="26" t="s">
        <v>348</v>
      </c>
      <c r="I38" s="18">
        <v>1.0</v>
      </c>
      <c r="J38" s="56">
        <f t="shared" si="3"/>
        <v>40</v>
      </c>
      <c r="K38" s="56">
        <f>if(IsNA(vlookup(C38,'Feb Att'!$I$2:$J$76,2,0)),0,vlookup(C38,'Feb Att'!$I$2:$J$76,2,0))</f>
        <v>3</v>
      </c>
      <c r="L38" s="60">
        <f t="shared" si="6"/>
        <v>40</v>
      </c>
    </row>
    <row r="39">
      <c r="A39" s="61" t="s">
        <v>370</v>
      </c>
      <c r="B39" s="61" t="s">
        <v>372</v>
      </c>
      <c r="C39" s="51" t="str">
        <f t="shared" si="1"/>
        <v>Rinaldi Roque</v>
      </c>
      <c r="D39" s="61" t="s">
        <v>307</v>
      </c>
      <c r="E39" s="53" t="str">
        <f>vlookup(D39,'Invoice ClientIds'!$B$2:$D$100,3,0)</f>
        <v>d03b3e08-1f8e-489e-a104-04f382902878</v>
      </c>
      <c r="F39" s="18">
        <v>15.0</v>
      </c>
      <c r="G39" s="56" t="str">
        <f t="shared" si="2"/>
        <v>Rinaldi Roque Feb Attendance - 3 sessions</v>
      </c>
      <c r="H39" s="26" t="s">
        <v>348</v>
      </c>
      <c r="I39" s="18">
        <v>1.0</v>
      </c>
      <c r="J39" s="56">
        <f t="shared" si="3"/>
        <v>40</v>
      </c>
      <c r="K39" s="56">
        <f>if(IsNA(vlookup(C39,'Feb Att'!$I$2:$J$76,2,0)),0,vlookup(C39,'Feb Att'!$I$2:$J$76,2,0))</f>
        <v>3</v>
      </c>
      <c r="L39" s="60">
        <f t="shared" si="6"/>
        <v>40</v>
      </c>
    </row>
    <row r="40">
      <c r="A40" s="49" t="s">
        <v>378</v>
      </c>
      <c r="B40" s="49" t="s">
        <v>379</v>
      </c>
      <c r="C40" s="51" t="str">
        <f t="shared" si="1"/>
        <v>Gay Salac</v>
      </c>
      <c r="D40" s="49" t="s">
        <v>91</v>
      </c>
      <c r="E40" s="53" t="str">
        <f>vlookup(D40,'Invoice ClientIds'!$B$2:$D$100,3,0)</f>
        <v>19</v>
      </c>
      <c r="F40" s="18">
        <v>15.0</v>
      </c>
      <c r="G40" s="56" t="str">
        <f t="shared" si="2"/>
        <v>Gay Salac Feb Attendance - 4 sessions</v>
      </c>
      <c r="H40" s="26" t="s">
        <v>348</v>
      </c>
      <c r="I40" s="18">
        <v>1.0</v>
      </c>
      <c r="J40" s="56">
        <f t="shared" si="3"/>
        <v>40</v>
      </c>
      <c r="K40" s="56">
        <f>if(IsNA(vlookup(C40,'Feb Att'!$I$2:$J$76,2,0)),0,vlookup(C40,'Feb Att'!$I$2:$J$76,2,0))</f>
        <v>4</v>
      </c>
      <c r="L40" s="60">
        <f t="shared" si="6"/>
        <v>40</v>
      </c>
    </row>
    <row r="41">
      <c r="A41" s="49" t="s">
        <v>387</v>
      </c>
      <c r="B41" s="49" t="s">
        <v>379</v>
      </c>
      <c r="C41" s="51" t="str">
        <f t="shared" si="1"/>
        <v>Manny Salac</v>
      </c>
      <c r="D41" s="49" t="s">
        <v>91</v>
      </c>
      <c r="E41" s="53" t="str">
        <f>vlookup(D41,'Invoice ClientIds'!$B$2:$D$100,3,0)</f>
        <v>19</v>
      </c>
      <c r="F41" s="18">
        <v>15.0</v>
      </c>
      <c r="G41" s="56" t="str">
        <f t="shared" si="2"/>
        <v>Manny Salac Feb Attendance - 4 sessions</v>
      </c>
      <c r="H41" s="26" t="s">
        <v>348</v>
      </c>
      <c r="I41" s="18">
        <v>1.0</v>
      </c>
      <c r="J41" s="56">
        <f t="shared" si="3"/>
        <v>40</v>
      </c>
      <c r="K41" s="56">
        <f>if(IsNA(vlookup(C41,'Feb Att'!$I$2:$J$76,2,0)),0,vlookup(C41,'Feb Att'!$I$2:$J$76,2,0))</f>
        <v>4</v>
      </c>
      <c r="L41" s="60">
        <f t="shared" si="6"/>
        <v>40</v>
      </c>
    </row>
    <row r="42">
      <c r="A42" s="49" t="s">
        <v>393</v>
      </c>
      <c r="B42" s="49" t="s">
        <v>394</v>
      </c>
      <c r="C42" s="51" t="str">
        <f t="shared" si="1"/>
        <v>Al Saulon</v>
      </c>
      <c r="D42" s="49" t="s">
        <v>30</v>
      </c>
      <c r="E42" s="53" t="str">
        <f>vlookup(D42,'Invoice ClientIds'!$B$2:$D$100,3,0)</f>
        <v>2</v>
      </c>
      <c r="F42" s="18">
        <v>15.0</v>
      </c>
      <c r="G42" s="56" t="str">
        <f t="shared" si="2"/>
        <v>Al Saulon Feb Attendance - 3 sessions</v>
      </c>
      <c r="H42" s="26" t="s">
        <v>348</v>
      </c>
      <c r="I42" s="18">
        <v>1.0</v>
      </c>
      <c r="J42" s="56">
        <f t="shared" si="3"/>
        <v>40</v>
      </c>
      <c r="K42" s="56">
        <f>if(IsNA(vlookup(C42,'Feb Att'!$I$2:$J$76,2,0)),0,vlookup(C42,'Feb Att'!$I$2:$J$76,2,0))</f>
        <v>3</v>
      </c>
      <c r="L42" s="60">
        <f t="shared" si="6"/>
        <v>40</v>
      </c>
    </row>
    <row r="43">
      <c r="A43" s="49" t="s">
        <v>396</v>
      </c>
      <c r="B43" s="49" t="s">
        <v>394</v>
      </c>
      <c r="C43" s="51" t="str">
        <f t="shared" si="1"/>
        <v>Charrylou Saulon</v>
      </c>
      <c r="D43" s="49" t="s">
        <v>30</v>
      </c>
      <c r="E43" s="53" t="str">
        <f>vlookup(D43,'Invoice ClientIds'!$B$2:$D$100,3,0)</f>
        <v>2</v>
      </c>
      <c r="F43" s="18">
        <v>15.0</v>
      </c>
      <c r="G43" s="56" t="str">
        <f t="shared" si="2"/>
        <v>Charrylou Saulon Feb Attendance - 3 sessions</v>
      </c>
      <c r="H43" s="26" t="s">
        <v>348</v>
      </c>
      <c r="I43" s="18">
        <v>1.0</v>
      </c>
      <c r="J43" s="56">
        <f t="shared" si="3"/>
        <v>40</v>
      </c>
      <c r="K43" s="56">
        <f>if(IsNA(vlookup(C43,'Feb Att'!$I$2:$J$76,2,0)),0,vlookup(C43,'Feb Att'!$I$2:$J$76,2,0))</f>
        <v>3</v>
      </c>
      <c r="L43" s="60">
        <f t="shared" si="6"/>
        <v>40</v>
      </c>
    </row>
    <row r="44">
      <c r="A44" s="61" t="s">
        <v>401</v>
      </c>
      <c r="B44" s="49" t="s">
        <v>402</v>
      </c>
      <c r="C44" s="51" t="str">
        <f t="shared" si="1"/>
        <v>Ding Vega</v>
      </c>
      <c r="D44" s="49" t="s">
        <v>55</v>
      </c>
      <c r="E44" s="53" t="str">
        <f>vlookup(D44,'Invoice ClientIds'!$B$2:$D$100,3,0)</f>
        <v>9</v>
      </c>
      <c r="F44" s="18">
        <v>15.0</v>
      </c>
      <c r="G44" s="56" t="str">
        <f t="shared" si="2"/>
        <v>Ding Vega Feb Attendance - 4 sessions</v>
      </c>
      <c r="H44" s="26" t="s">
        <v>348</v>
      </c>
      <c r="I44" s="18">
        <v>1.0</v>
      </c>
      <c r="J44" s="56">
        <f t="shared" si="3"/>
        <v>40</v>
      </c>
      <c r="K44" s="56">
        <f>if(IsNA(vlookup(C44,'Feb Att'!$I$2:$J$76,2,0)),0,vlookup(C44,'Feb Att'!$I$2:$J$76,2,0))</f>
        <v>4</v>
      </c>
      <c r="L44" s="60">
        <f t="shared" si="6"/>
        <v>40</v>
      </c>
    </row>
    <row r="45">
      <c r="A45" s="61" t="s">
        <v>404</v>
      </c>
      <c r="B45" s="49" t="s">
        <v>402</v>
      </c>
      <c r="C45" s="51" t="str">
        <f t="shared" si="1"/>
        <v>Jodee Vega</v>
      </c>
      <c r="D45" s="49" t="s">
        <v>55</v>
      </c>
      <c r="E45" s="53" t="str">
        <f>vlookup(D45,'Invoice ClientIds'!$B$2:$D$100,3,0)</f>
        <v>9</v>
      </c>
      <c r="F45" s="18">
        <v>15.0</v>
      </c>
      <c r="G45" s="56" t="str">
        <f t="shared" si="2"/>
        <v>Jodee Vega Feb Attendance - 4 sessions</v>
      </c>
      <c r="H45" s="26" t="s">
        <v>357</v>
      </c>
      <c r="I45" s="18">
        <v>1.0</v>
      </c>
      <c r="J45" s="56">
        <f t="shared" si="3"/>
        <v>25</v>
      </c>
      <c r="K45" s="56">
        <f>if(IsNA(vlookup(C45,'Feb Att'!$I$2:$J$76,2,0)),0,vlookup(C45,'Feb Att'!$I$2:$J$76,2,0))</f>
        <v>4</v>
      </c>
      <c r="L45" s="60">
        <f t="shared" si="6"/>
        <v>25</v>
      </c>
    </row>
    <row r="46">
      <c r="A46" s="61" t="s">
        <v>405</v>
      </c>
      <c r="B46" s="61" t="s">
        <v>406</v>
      </c>
      <c r="C46" s="51" t="str">
        <f t="shared" si="1"/>
        <v>Leo Villanueva</v>
      </c>
      <c r="D46" s="49" t="s">
        <v>287</v>
      </c>
      <c r="E46" s="66">
        <v>76.0</v>
      </c>
      <c r="F46" s="18">
        <v>15.0</v>
      </c>
      <c r="G46" s="56" t="str">
        <f t="shared" si="2"/>
        <v>Leo Villanueva Feb Attendance - 4 sessions</v>
      </c>
      <c r="H46" s="26" t="s">
        <v>348</v>
      </c>
      <c r="I46" s="18">
        <v>1.0</v>
      </c>
      <c r="J46" s="56">
        <f t="shared" si="3"/>
        <v>40</v>
      </c>
      <c r="K46" s="56">
        <f>if(IsNA(vlookup(C46,'Feb Att'!$I$2:$J$76,2,0)),0,vlookup(C46,'Feb Att'!$I$2:$J$76,2,0))</f>
        <v>4</v>
      </c>
      <c r="L46" s="60">
        <f t="shared" si="6"/>
        <v>40</v>
      </c>
    </row>
    <row r="47">
      <c r="A47" s="61" t="s">
        <v>407</v>
      </c>
      <c r="B47" s="61" t="s">
        <v>406</v>
      </c>
      <c r="C47" s="51" t="str">
        <f t="shared" si="1"/>
        <v>Lance Villanueva</v>
      </c>
      <c r="D47" s="49" t="s">
        <v>287</v>
      </c>
      <c r="E47" s="66">
        <v>76.0</v>
      </c>
      <c r="F47" s="18">
        <v>15.0</v>
      </c>
      <c r="G47" s="56" t="str">
        <f t="shared" si="2"/>
        <v>Lance Villanueva Feb Attendance - 3 sessions</v>
      </c>
      <c r="H47" s="26" t="s">
        <v>357</v>
      </c>
      <c r="I47" s="18">
        <v>1.0</v>
      </c>
      <c r="J47" s="56">
        <f t="shared" si="3"/>
        <v>25</v>
      </c>
      <c r="K47" s="56">
        <f>if(IsNA(vlookup(C47,'Feb Att'!$I$2:$J$76,2,0)),0,vlookup(C47,'Feb Att'!$I$2:$J$76,2,0))</f>
        <v>3</v>
      </c>
      <c r="L47" s="60">
        <f t="shared" si="6"/>
        <v>25</v>
      </c>
    </row>
    <row r="48">
      <c r="A48" s="49" t="s">
        <v>398</v>
      </c>
      <c r="B48" s="49" t="s">
        <v>399</v>
      </c>
      <c r="C48" s="51" t="str">
        <f t="shared" si="1"/>
        <v>Wilfred Tupaz</v>
      </c>
      <c r="D48" s="49" t="s">
        <v>229</v>
      </c>
      <c r="E48" s="53">
        <f>vlookup(D48,'Invoice ClientIds'!$B$2:$D$100,3,0)</f>
        <v>59</v>
      </c>
      <c r="F48" s="18">
        <v>15.0</v>
      </c>
      <c r="G48" s="56" t="str">
        <f t="shared" si="2"/>
        <v>Wilfred Tupaz Feb Attendance - 0 sessions</v>
      </c>
      <c r="H48" s="26" t="s">
        <v>348</v>
      </c>
      <c r="I48" s="18">
        <v>1.0</v>
      </c>
      <c r="J48" s="56">
        <f t="shared" si="3"/>
        <v>25</v>
      </c>
      <c r="K48" s="56">
        <f>if(IsNA(vlookup(C48,'Feb Att'!$I$2:$J$76,2,0)),0,vlookup(C48,'Feb Att'!$I$2:$J$76,2,0))</f>
        <v>0</v>
      </c>
      <c r="L48" s="60">
        <f t="shared" si="6"/>
        <v>25</v>
      </c>
    </row>
    <row r="49">
      <c r="E49" s="69"/>
    </row>
    <row r="50">
      <c r="A50" s="49" t="s">
        <v>242</v>
      </c>
      <c r="B50" s="49" t="s">
        <v>244</v>
      </c>
      <c r="C50" s="51" t="str">
        <f t="shared" ref="C50:C58" si="7">CONCATENATE(A50, " ",B50)</f>
        <v>Mark Dasco</v>
      </c>
      <c r="D50" s="49" t="s">
        <v>98</v>
      </c>
      <c r="E50" s="53" t="str">
        <f>vlookup(D50,'Invoice ClientIds'!$B$2:$D$100,3,0)</f>
        <v>21</v>
      </c>
      <c r="F50" s="18">
        <v>15.0</v>
      </c>
      <c r="G50" s="70" t="s">
        <v>453</v>
      </c>
      <c r="H50" s="71" t="s">
        <v>441</v>
      </c>
      <c r="I50" s="70">
        <v>6.0</v>
      </c>
      <c r="J50" s="70">
        <v>15.0</v>
      </c>
      <c r="K50" s="70"/>
      <c r="L50" s="60">
        <f t="shared" ref="L50:L58" si="8">I50*J50</f>
        <v>90</v>
      </c>
    </row>
    <row r="51">
      <c r="A51" s="61" t="s">
        <v>351</v>
      </c>
      <c r="B51" s="49" t="s">
        <v>350</v>
      </c>
      <c r="C51" s="51" t="str">
        <f t="shared" si="7"/>
        <v>Reiner Nalzaro</v>
      </c>
      <c r="D51" s="49" t="s">
        <v>128</v>
      </c>
      <c r="E51" s="53" t="str">
        <f>vlookup(D51,'Invoice ClientIds'!$B$2:$D$100,3,0)</f>
        <v>31</v>
      </c>
      <c r="F51" s="18">
        <v>15.0</v>
      </c>
      <c r="G51" s="70" t="s">
        <v>454</v>
      </c>
      <c r="H51" s="71" t="s">
        <v>441</v>
      </c>
      <c r="I51" s="70">
        <v>4.0</v>
      </c>
      <c r="J51" s="70">
        <v>15.0</v>
      </c>
      <c r="K51" s="70"/>
      <c r="L51" s="60">
        <f t="shared" si="8"/>
        <v>60</v>
      </c>
    </row>
    <row r="52">
      <c r="A52" s="49" t="s">
        <v>393</v>
      </c>
      <c r="B52" s="49" t="s">
        <v>394</v>
      </c>
      <c r="C52" s="51" t="str">
        <f t="shared" si="7"/>
        <v>Al Saulon</v>
      </c>
      <c r="D52" s="49" t="s">
        <v>30</v>
      </c>
      <c r="E52" s="53" t="str">
        <f>vlookup(D52,'Invoice ClientIds'!$B$2:$D$100,3,0)</f>
        <v>2</v>
      </c>
      <c r="F52" s="18">
        <v>15.0</v>
      </c>
      <c r="G52" s="70" t="s">
        <v>456</v>
      </c>
      <c r="H52" s="71" t="s">
        <v>441</v>
      </c>
      <c r="I52" s="70">
        <v>9.0</v>
      </c>
      <c r="J52" s="70">
        <v>15.0</v>
      </c>
      <c r="K52" s="70"/>
      <c r="L52" s="60">
        <f t="shared" si="8"/>
        <v>135</v>
      </c>
    </row>
    <row r="53">
      <c r="A53" s="49" t="s">
        <v>242</v>
      </c>
      <c r="B53" s="49" t="s">
        <v>244</v>
      </c>
      <c r="C53" s="51" t="str">
        <f t="shared" si="7"/>
        <v>Mark Dasco</v>
      </c>
      <c r="D53" s="49" t="s">
        <v>98</v>
      </c>
      <c r="E53" s="53" t="str">
        <f>vlookup(D53,'Invoice ClientIds'!$B$2:$D$100,3,0)</f>
        <v>21</v>
      </c>
      <c r="F53" s="18">
        <v>15.0</v>
      </c>
      <c r="G53" s="70" t="s">
        <v>459</v>
      </c>
      <c r="H53" s="71" t="s">
        <v>441</v>
      </c>
      <c r="I53" s="70">
        <v>4.0</v>
      </c>
      <c r="J53" s="70">
        <v>15.0</v>
      </c>
      <c r="K53" s="70"/>
      <c r="L53" s="60">
        <f t="shared" si="8"/>
        <v>60</v>
      </c>
    </row>
    <row r="54">
      <c r="A54" s="49" t="s">
        <v>242</v>
      </c>
      <c r="B54" s="49" t="s">
        <v>244</v>
      </c>
      <c r="C54" s="51" t="str">
        <f t="shared" si="7"/>
        <v>Mark Dasco</v>
      </c>
      <c r="D54" s="49" t="s">
        <v>98</v>
      </c>
      <c r="E54" s="53" t="str">
        <f>vlookup(D54,'Invoice ClientIds'!$B$2:$D$100,3,0)</f>
        <v>21</v>
      </c>
      <c r="F54" s="18">
        <v>15.0</v>
      </c>
      <c r="G54" s="70" t="s">
        <v>459</v>
      </c>
      <c r="H54" s="71" t="s">
        <v>446</v>
      </c>
      <c r="I54" s="70">
        <v>1.0</v>
      </c>
      <c r="J54" s="70">
        <v>10.0</v>
      </c>
      <c r="K54" s="70"/>
      <c r="L54" s="60">
        <f t="shared" si="8"/>
        <v>10</v>
      </c>
    </row>
    <row r="55">
      <c r="A55" s="61" t="s">
        <v>152</v>
      </c>
      <c r="B55" s="61" t="s">
        <v>153</v>
      </c>
      <c r="C55" s="51" t="str">
        <f t="shared" si="7"/>
        <v>Gloria Araullo</v>
      </c>
      <c r="D55" s="49" t="s">
        <v>67</v>
      </c>
      <c r="E55" s="66">
        <v>12.0</v>
      </c>
      <c r="F55" s="18">
        <v>15.0</v>
      </c>
      <c r="G55" s="70" t="s">
        <v>461</v>
      </c>
      <c r="H55" s="71" t="s">
        <v>446</v>
      </c>
      <c r="I55" s="70">
        <v>1.0</v>
      </c>
      <c r="J55" s="70">
        <v>10.0</v>
      </c>
      <c r="K55" s="70"/>
      <c r="L55" s="60">
        <f t="shared" si="8"/>
        <v>10</v>
      </c>
    </row>
    <row r="56">
      <c r="A56" s="61" t="s">
        <v>152</v>
      </c>
      <c r="B56" s="61" t="s">
        <v>153</v>
      </c>
      <c r="C56" s="51" t="str">
        <f t="shared" si="7"/>
        <v>Gloria Araullo</v>
      </c>
      <c r="D56" s="49" t="s">
        <v>67</v>
      </c>
      <c r="E56" s="66">
        <v>12.0</v>
      </c>
      <c r="F56" s="18">
        <v>15.0</v>
      </c>
      <c r="G56" s="70" t="s">
        <v>462</v>
      </c>
      <c r="H56" s="71" t="s">
        <v>446</v>
      </c>
      <c r="I56" s="70">
        <v>1.0</v>
      </c>
      <c r="J56" s="70">
        <v>10.0</v>
      </c>
      <c r="K56" s="70"/>
      <c r="L56" s="60">
        <f t="shared" si="8"/>
        <v>10</v>
      </c>
    </row>
    <row r="57">
      <c r="A57" s="61" t="s">
        <v>418</v>
      </c>
      <c r="B57" s="61" t="s">
        <v>463</v>
      </c>
      <c r="C57" s="51" t="str">
        <f t="shared" si="7"/>
        <v>Alden Peregrino</v>
      </c>
      <c r="D57" s="49" t="s">
        <v>38</v>
      </c>
      <c r="E57" s="66">
        <v>3.0</v>
      </c>
      <c r="F57" s="27">
        <v>15.0</v>
      </c>
      <c r="G57" s="70" t="s">
        <v>453</v>
      </c>
      <c r="H57" s="71" t="s">
        <v>441</v>
      </c>
      <c r="I57" s="70">
        <v>1.0</v>
      </c>
      <c r="J57" s="70">
        <v>15.0</v>
      </c>
      <c r="K57" s="70"/>
      <c r="L57" s="60">
        <f t="shared" si="8"/>
        <v>15</v>
      </c>
    </row>
    <row r="58">
      <c r="A58" s="61" t="s">
        <v>418</v>
      </c>
      <c r="B58" s="61" t="s">
        <v>463</v>
      </c>
      <c r="C58" s="51" t="str">
        <f t="shared" si="7"/>
        <v>Alden Peregrino</v>
      </c>
      <c r="D58" s="49" t="s">
        <v>38</v>
      </c>
      <c r="E58" s="66">
        <v>3.0</v>
      </c>
      <c r="F58" s="27">
        <v>15.0</v>
      </c>
      <c r="G58" s="70" t="s">
        <v>465</v>
      </c>
      <c r="H58" s="71" t="s">
        <v>441</v>
      </c>
      <c r="I58" s="70">
        <v>1.0</v>
      </c>
      <c r="J58" s="70">
        <v>15.0</v>
      </c>
      <c r="K58" s="70"/>
      <c r="L58" s="60">
        <f t="shared" si="8"/>
        <v>15</v>
      </c>
    </row>
    <row r="59">
      <c r="A59" s="49"/>
      <c r="B59" s="49"/>
      <c r="C59" s="51"/>
      <c r="D59" s="49"/>
      <c r="E59" s="53"/>
      <c r="F59" s="18"/>
      <c r="G59" s="70"/>
      <c r="H59" s="70"/>
      <c r="I59" s="70"/>
      <c r="J59" s="70"/>
      <c r="K59" s="70"/>
      <c r="L59" s="60"/>
    </row>
    <row r="60">
      <c r="A60" s="49" t="s">
        <v>398</v>
      </c>
      <c r="B60" s="49" t="s">
        <v>399</v>
      </c>
      <c r="C60" s="51" t="str">
        <f t="shared" ref="C60:C61" si="9">CONCATENATE(A60, " ",B60)</f>
        <v>Wilfred Tupaz</v>
      </c>
      <c r="D60" s="49" t="s">
        <v>229</v>
      </c>
      <c r="E60" s="53">
        <f>vlookup(D60,'Invoice ClientIds'!$B$2:$D$100,3,0)</f>
        <v>59</v>
      </c>
      <c r="F60" s="18">
        <v>15.0</v>
      </c>
      <c r="G60" s="70" t="s">
        <v>449</v>
      </c>
      <c r="H60" s="71" t="s">
        <v>450</v>
      </c>
      <c r="I60" s="70">
        <v>1.0</v>
      </c>
      <c r="J60" s="70">
        <v>-25.0</v>
      </c>
      <c r="K60" s="70"/>
      <c r="L60" s="60">
        <f t="shared" ref="L60:L61" si="10">I60*J60</f>
        <v>-25</v>
      </c>
    </row>
    <row r="61">
      <c r="A61" s="61" t="s">
        <v>60</v>
      </c>
      <c r="B61" s="61" t="s">
        <v>18</v>
      </c>
      <c r="C61" s="51" t="str">
        <f t="shared" si="9"/>
        <v>Kim Adriano</v>
      </c>
      <c r="D61" s="49" t="s">
        <v>20</v>
      </c>
      <c r="E61" s="53" t="str">
        <f>vlookup(D61,'Invoice ClientIds'!$B$2:$D$100,3,0)</f>
        <v>8</v>
      </c>
      <c r="F61" s="18">
        <v>15.0</v>
      </c>
      <c r="G61" s="70" t="s">
        <v>467</v>
      </c>
      <c r="H61" s="71" t="s">
        <v>450</v>
      </c>
      <c r="I61" s="70">
        <v>1.0</v>
      </c>
      <c r="J61" s="70">
        <v>-25.0</v>
      </c>
      <c r="K61" s="70"/>
      <c r="L61" s="60">
        <f t="shared" si="10"/>
        <v>-25</v>
      </c>
    </row>
    <row r="62">
      <c r="E62" s="69"/>
      <c r="I62" s="5"/>
    </row>
    <row r="63">
      <c r="A63" s="61" t="s">
        <v>401</v>
      </c>
      <c r="B63" s="49" t="s">
        <v>402</v>
      </c>
      <c r="C63" s="51" t="str">
        <f t="shared" ref="C63:C66" si="11">CONCATENATE(A63, " ",B63)</f>
        <v>Ding Vega</v>
      </c>
      <c r="D63" s="49" t="s">
        <v>55</v>
      </c>
      <c r="E63" s="53" t="str">
        <f>vlookup(D63,'Invoice ClientIds'!$B$2:$D$100,3,0)</f>
        <v>9</v>
      </c>
      <c r="F63" s="18">
        <v>15.0</v>
      </c>
      <c r="G63" s="70" t="s">
        <v>469</v>
      </c>
      <c r="H63" s="72" t="s">
        <v>458</v>
      </c>
      <c r="I63" s="70">
        <v>1.0</v>
      </c>
      <c r="J63" s="70">
        <v>5.0</v>
      </c>
      <c r="K63" s="70"/>
      <c r="L63" s="60">
        <f t="shared" ref="L63:L66" si="12">I63*J63</f>
        <v>5</v>
      </c>
    </row>
    <row r="64">
      <c r="A64" s="49" t="s">
        <v>218</v>
      </c>
      <c r="B64" s="49" t="s">
        <v>194</v>
      </c>
      <c r="C64" s="51" t="str">
        <f t="shared" si="11"/>
        <v>West Cruz</v>
      </c>
      <c r="D64" s="61" t="s">
        <v>149</v>
      </c>
      <c r="E64" s="53" t="str">
        <f>vlookup(D64,'Invoice ClientIds'!$B$2:$D$100,3,0)</f>
        <v>38</v>
      </c>
      <c r="F64" s="18">
        <v>15.0</v>
      </c>
      <c r="G64" s="70" t="s">
        <v>470</v>
      </c>
      <c r="H64" s="26" t="s">
        <v>458</v>
      </c>
      <c r="I64" s="70">
        <v>1.0</v>
      </c>
      <c r="J64" s="70">
        <v>50.0</v>
      </c>
      <c r="K64" s="70"/>
      <c r="L64" s="60">
        <f t="shared" si="12"/>
        <v>50</v>
      </c>
    </row>
    <row r="65">
      <c r="A65" s="49" t="s">
        <v>275</v>
      </c>
      <c r="B65" s="49" t="s">
        <v>276</v>
      </c>
      <c r="C65" s="51" t="str">
        <f t="shared" si="11"/>
        <v>Jonathan De Guzman</v>
      </c>
      <c r="D65" s="49" t="s">
        <v>77</v>
      </c>
      <c r="E65" s="53" t="str">
        <f>vlookup(D65,'Invoice ClientIds'!$B$2:$D$100,3,0)</f>
        <v>15</v>
      </c>
      <c r="F65" s="18">
        <v>15.0</v>
      </c>
      <c r="G65" s="70" t="s">
        <v>471</v>
      </c>
      <c r="H65" s="26" t="s">
        <v>458</v>
      </c>
      <c r="I65" s="18">
        <v>1.0</v>
      </c>
      <c r="J65" s="27">
        <v>50.0</v>
      </c>
      <c r="K65" s="56"/>
      <c r="L65" s="60">
        <f t="shared" si="12"/>
        <v>50</v>
      </c>
    </row>
    <row r="66">
      <c r="A66" s="61" t="s">
        <v>298</v>
      </c>
      <c r="B66" s="61" t="s">
        <v>299</v>
      </c>
      <c r="C66" s="51" t="str">
        <f t="shared" si="11"/>
        <v>Josel Garcia</v>
      </c>
      <c r="D66" s="61" t="s">
        <v>273</v>
      </c>
      <c r="E66" s="53">
        <f>vlookup(D66,'Invoice ClientIds'!$B$2:$D$100,3,0)</f>
        <v>72</v>
      </c>
      <c r="F66" s="18">
        <v>15.0</v>
      </c>
      <c r="G66" s="70" t="s">
        <v>472</v>
      </c>
      <c r="H66" s="72" t="s">
        <v>458</v>
      </c>
      <c r="I66" s="27">
        <v>1.0</v>
      </c>
      <c r="J66" s="27">
        <v>75.0</v>
      </c>
      <c r="K66" s="18"/>
      <c r="L66" s="60">
        <f t="shared" si="12"/>
        <v>75</v>
      </c>
    </row>
    <row r="67">
      <c r="A67" s="73"/>
      <c r="B67" s="73"/>
      <c r="C67" s="74"/>
      <c r="D67" s="73"/>
      <c r="E67" s="59"/>
      <c r="F67" s="50"/>
      <c r="K67" s="55"/>
      <c r="L67" s="75"/>
    </row>
    <row r="68">
      <c r="A68" s="73"/>
      <c r="B68" s="73"/>
      <c r="C68" s="74"/>
      <c r="D68" s="73"/>
      <c r="E68" s="59"/>
      <c r="F68" s="50"/>
      <c r="H68" s="76"/>
      <c r="I68" s="76" t="s">
        <v>468</v>
      </c>
      <c r="J68" s="59">
        <f>sum(J63:J66)</f>
        <v>180</v>
      </c>
      <c r="K68" s="55"/>
      <c r="L68" s="75"/>
    </row>
    <row r="69">
      <c r="A69" s="73"/>
      <c r="B69" s="73"/>
      <c r="C69" s="74"/>
      <c r="D69" s="73"/>
      <c r="E69" s="59"/>
      <c r="F69" s="50"/>
      <c r="K69" s="55"/>
      <c r="L69" s="75"/>
    </row>
    <row r="70">
      <c r="A70" s="73"/>
      <c r="B70" s="73"/>
      <c r="C70" s="74"/>
      <c r="D70" s="73"/>
      <c r="E70" s="59"/>
      <c r="F70" s="50"/>
      <c r="K70" s="55"/>
      <c r="L70" s="75">
        <f>Sum(L2:L69)</f>
        <v>2070</v>
      </c>
    </row>
    <row r="71">
      <c r="A71" s="73"/>
      <c r="B71" s="73"/>
      <c r="C71" s="74"/>
      <c r="D71" s="73"/>
      <c r="E71" s="59"/>
      <c r="F71" s="50"/>
      <c r="K71" s="55"/>
      <c r="L71" s="75"/>
    </row>
    <row r="72">
      <c r="A72" s="73"/>
      <c r="B72" s="73"/>
      <c r="C72" s="74"/>
      <c r="D72" s="73"/>
      <c r="E72" s="59"/>
      <c r="F72" s="50"/>
      <c r="K72" s="55"/>
      <c r="L72" s="7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29"/>
    <col customWidth="1" min="2" max="2" width="36.14"/>
    <col customWidth="1" min="3" max="3" width="30.71"/>
    <col customWidth="1" min="4" max="4" width="35.57"/>
    <col customWidth="1" min="5" max="5" width="33.29"/>
    <col customWidth="1" min="6" max="6" width="28.29"/>
    <col customWidth="1" min="7" max="7" width="33.29"/>
    <col customWidth="1" min="8" max="8" width="17.29"/>
    <col customWidth="1" min="9" max="9" width="35.0"/>
    <col customWidth="1" min="10" max="10" width="17.29"/>
    <col customWidth="1" min="11" max="11" width="26.14"/>
    <col customWidth="1" min="12" max="59" width="17.29"/>
  </cols>
  <sheetData>
    <row r="1">
      <c r="A1" s="45" t="s">
        <v>326</v>
      </c>
      <c r="B1" s="47" t="s">
        <v>327</v>
      </c>
      <c r="C1" s="47" t="s">
        <v>332</v>
      </c>
      <c r="D1" s="47" t="s">
        <v>334</v>
      </c>
      <c r="E1" s="47" t="s">
        <v>336</v>
      </c>
      <c r="F1" s="48" t="s">
        <v>337</v>
      </c>
      <c r="G1" s="50" t="s">
        <v>339</v>
      </c>
    </row>
    <row r="2">
      <c r="A2" s="52">
        <f>sum(B2:F2)/(COUNTIF(B2:F2,"&gt;0"))</f>
        <v>39.25</v>
      </c>
      <c r="B2" s="54">
        <f t="shared" ref="B2:F2" si="1">IFERROR(__xludf.DUMMYFUNCTION("COUNTUNIQUE(B3:B69)"),"44")</f>
        <v>44</v>
      </c>
      <c r="C2" s="54">
        <f t="shared" si="1"/>
        <v>33</v>
      </c>
      <c r="D2" s="54">
        <f t="shared" si="1"/>
        <v>43</v>
      </c>
      <c r="E2" s="54">
        <f t="shared" si="1"/>
        <v>37</v>
      </c>
      <c r="F2" s="54">
        <f t="shared" si="1"/>
        <v>0</v>
      </c>
      <c r="G2" s="55"/>
      <c r="I2" s="57"/>
      <c r="J2" s="57">
        <v>0.0</v>
      </c>
      <c r="K2" s="58"/>
      <c r="L2" s="55"/>
      <c r="M2" s="55"/>
    </row>
    <row r="3">
      <c r="G3" s="59" t="str">
        <f>IFERROR(__xludf.DUMMYFUNCTION("transpose(split(join("";"",B3:B90)&amp;join("";"",C3:C90)&amp;join("";"",D3:D90)&amp;join("";"",E3:E90)&amp;join("";"",F3:F90),"";""))"),"Dar Adriano")</f>
        <v>Dar Adriano</v>
      </c>
      <c r="I3" s="57" t="s">
        <v>302</v>
      </c>
      <c r="J3" s="57">
        <v>4.0</v>
      </c>
      <c r="K3" s="58"/>
    </row>
    <row r="4">
      <c r="B4" s="62" t="str">
        <f>IFERROR(__xludf.DUMMYFUNCTION("Transpose(SPLIT(Transpose(Attendance!$B$8),"", "",False))"),"Dar Adriano")</f>
        <v>Dar Adriano</v>
      </c>
      <c r="C4" s="62" t="str">
        <f>IFERROR(__xludf.DUMMYFUNCTION("Transpose(SPLIT(Transpose(Attendance!$B$9),"", "",False))"),"Chez Adriano")</f>
        <v>Chez Adriano</v>
      </c>
      <c r="D4" s="62" t="str">
        <f>IFERROR(__xludf.DUMMYFUNCTION("Transpose(SPLIT(Transpose(Attendance!$B$10),"", "",False))"),"Chez Adriano")</f>
        <v>Chez Adriano</v>
      </c>
      <c r="E4" s="62" t="str">
        <f>IFERROR(__xludf.DUMMYFUNCTION("Transpose(SPLIT(Transpose(Attendance!$B$11),"", "",False))"),"Chez Adriano")</f>
        <v>Chez Adriano</v>
      </c>
      <c r="F4" s="59"/>
      <c r="G4" s="59" t="s">
        <v>365</v>
      </c>
      <c r="I4" s="57" t="s">
        <v>34</v>
      </c>
      <c r="J4" s="57">
        <v>3.0</v>
      </c>
      <c r="K4" s="58"/>
    </row>
    <row r="5">
      <c r="B5" s="59" t="s">
        <v>365</v>
      </c>
      <c r="C5" s="59" t="s">
        <v>53</v>
      </c>
      <c r="D5" s="59" t="s">
        <v>53</v>
      </c>
      <c r="E5" s="59" t="s">
        <v>53</v>
      </c>
      <c r="F5" s="59"/>
      <c r="G5" s="59" t="s">
        <v>368</v>
      </c>
      <c r="I5" s="57" t="s">
        <v>418</v>
      </c>
      <c r="J5" s="57">
        <v>1.0</v>
      </c>
      <c r="K5" s="58"/>
    </row>
    <row r="6">
      <c r="B6" s="59" t="s">
        <v>368</v>
      </c>
      <c r="C6" s="59" t="s">
        <v>403</v>
      </c>
      <c r="D6" s="59" t="s">
        <v>368</v>
      </c>
      <c r="E6" s="59" t="s">
        <v>365</v>
      </c>
      <c r="F6" s="59"/>
      <c r="G6" s="59" t="s">
        <v>363</v>
      </c>
      <c r="I6" s="57" t="s">
        <v>419</v>
      </c>
      <c r="J6" s="57">
        <v>1.0</v>
      </c>
      <c r="K6" s="58"/>
    </row>
    <row r="7">
      <c r="B7" s="59" t="s">
        <v>363</v>
      </c>
      <c r="C7" s="59" t="s">
        <v>363</v>
      </c>
      <c r="D7" s="59" t="s">
        <v>363</v>
      </c>
      <c r="E7" s="59" t="s">
        <v>134</v>
      </c>
      <c r="F7" s="59"/>
      <c r="G7" s="59" t="s">
        <v>134</v>
      </c>
      <c r="I7" s="57" t="s">
        <v>420</v>
      </c>
      <c r="J7" s="57">
        <v>1.0</v>
      </c>
      <c r="K7" s="58"/>
    </row>
    <row r="8">
      <c r="B8" s="59" t="s">
        <v>134</v>
      </c>
      <c r="C8" s="59" t="s">
        <v>134</v>
      </c>
      <c r="D8" s="59" t="s">
        <v>134</v>
      </c>
      <c r="E8" s="59" t="s">
        <v>68</v>
      </c>
      <c r="F8" s="59"/>
      <c r="G8" s="59" t="s">
        <v>68</v>
      </c>
      <c r="I8" s="57" t="s">
        <v>421</v>
      </c>
      <c r="J8" s="57">
        <v>1.0</v>
      </c>
      <c r="K8" s="58"/>
      <c r="M8" s="58"/>
    </row>
    <row r="9">
      <c r="B9" s="59" t="s">
        <v>68</v>
      </c>
      <c r="C9" s="59" t="s">
        <v>68</v>
      </c>
      <c r="D9" s="59" t="s">
        <v>68</v>
      </c>
      <c r="E9" s="59" t="s">
        <v>147</v>
      </c>
      <c r="F9" s="59"/>
      <c r="G9" s="59" t="s">
        <v>147</v>
      </c>
      <c r="I9" s="57" t="s">
        <v>256</v>
      </c>
      <c r="J9" s="57">
        <v>3.0</v>
      </c>
      <c r="K9" s="58"/>
      <c r="M9" s="58"/>
    </row>
    <row r="10">
      <c r="B10" s="59" t="s">
        <v>147</v>
      </c>
      <c r="C10" s="59" t="s">
        <v>147</v>
      </c>
      <c r="D10" s="59" t="s">
        <v>147</v>
      </c>
      <c r="E10" s="59" t="s">
        <v>100</v>
      </c>
      <c r="F10" s="59"/>
      <c r="G10" s="59" t="s">
        <v>373</v>
      </c>
      <c r="I10" s="57" t="s">
        <v>422</v>
      </c>
      <c r="J10" s="57">
        <v>1.0</v>
      </c>
      <c r="K10" s="58"/>
    </row>
    <row r="11">
      <c r="B11" s="59" t="s">
        <v>373</v>
      </c>
      <c r="C11" s="59" t="s">
        <v>373</v>
      </c>
      <c r="D11" s="59" t="s">
        <v>78</v>
      </c>
      <c r="E11" s="59" t="s">
        <v>78</v>
      </c>
      <c r="F11" s="59"/>
      <c r="G11" s="59" t="s">
        <v>376</v>
      </c>
      <c r="I11" s="57" t="s">
        <v>423</v>
      </c>
      <c r="J11" s="57">
        <v>1.0</v>
      </c>
      <c r="K11" s="58"/>
    </row>
    <row r="12">
      <c r="B12" s="59" t="s">
        <v>376</v>
      </c>
      <c r="C12" s="59" t="s">
        <v>376</v>
      </c>
      <c r="D12" s="59" t="s">
        <v>424</v>
      </c>
      <c r="E12" s="59" t="s">
        <v>424</v>
      </c>
      <c r="F12" s="59"/>
      <c r="G12" s="59" t="s">
        <v>100</v>
      </c>
      <c r="I12" s="57" t="s">
        <v>374</v>
      </c>
      <c r="J12" s="57">
        <v>4.0</v>
      </c>
      <c r="K12" s="58"/>
    </row>
    <row r="13">
      <c r="B13" s="59" t="s">
        <v>100</v>
      </c>
      <c r="C13" s="59" t="s">
        <v>78</v>
      </c>
      <c r="D13" s="59" t="s">
        <v>294</v>
      </c>
      <c r="E13" s="59" t="s">
        <v>294</v>
      </c>
      <c r="F13" s="59"/>
      <c r="G13" s="59" t="s">
        <v>78</v>
      </c>
      <c r="I13" s="57" t="s">
        <v>377</v>
      </c>
      <c r="J13" s="57">
        <v>2.0</v>
      </c>
      <c r="K13" s="58"/>
    </row>
    <row r="14">
      <c r="B14" s="59" t="s">
        <v>78</v>
      </c>
      <c r="C14" s="59" t="s">
        <v>424</v>
      </c>
      <c r="D14" s="59" t="s">
        <v>302</v>
      </c>
      <c r="E14" s="59" t="s">
        <v>302</v>
      </c>
      <c r="F14" s="59"/>
      <c r="G14" s="59" t="s">
        <v>424</v>
      </c>
      <c r="I14" s="57" t="s">
        <v>381</v>
      </c>
      <c r="J14" s="57">
        <v>3.0</v>
      </c>
      <c r="K14" s="58"/>
    </row>
    <row r="15">
      <c r="B15" s="59" t="s">
        <v>424</v>
      </c>
      <c r="C15" s="59" t="s">
        <v>294</v>
      </c>
      <c r="D15" s="59" t="s">
        <v>256</v>
      </c>
      <c r="E15" s="59" t="s">
        <v>375</v>
      </c>
      <c r="F15" s="59"/>
      <c r="G15" s="59" t="s">
        <v>294</v>
      </c>
      <c r="I15" s="57" t="s">
        <v>383</v>
      </c>
      <c r="J15" s="57">
        <v>3.0</v>
      </c>
      <c r="K15" s="58"/>
    </row>
    <row r="16">
      <c r="B16" s="59" t="s">
        <v>294</v>
      </c>
      <c r="C16" s="59" t="s">
        <v>305</v>
      </c>
      <c r="D16" s="59" t="s">
        <v>375</v>
      </c>
      <c r="E16" s="59" t="s">
        <v>144</v>
      </c>
      <c r="F16" s="59"/>
      <c r="G16" s="59" t="s">
        <v>305</v>
      </c>
      <c r="I16" s="57" t="s">
        <v>385</v>
      </c>
      <c r="J16" s="57">
        <v>1.0</v>
      </c>
      <c r="K16" s="58"/>
    </row>
    <row r="17">
      <c r="B17" s="59" t="s">
        <v>305</v>
      </c>
      <c r="C17" s="59" t="s">
        <v>302</v>
      </c>
      <c r="D17" s="59" t="s">
        <v>144</v>
      </c>
      <c r="E17" s="59" t="s">
        <v>374</v>
      </c>
      <c r="F17" s="59"/>
      <c r="G17" s="59" t="s">
        <v>302</v>
      </c>
      <c r="I17" s="57" t="s">
        <v>53</v>
      </c>
      <c r="J17" s="57">
        <v>4.0</v>
      </c>
      <c r="K17" s="58"/>
    </row>
    <row r="18">
      <c r="B18" s="59" t="s">
        <v>302</v>
      </c>
      <c r="C18" s="59" t="s">
        <v>256</v>
      </c>
      <c r="D18" s="59" t="s">
        <v>374</v>
      </c>
      <c r="E18" s="59" t="s">
        <v>185</v>
      </c>
      <c r="F18" s="59"/>
      <c r="G18" s="59" t="s">
        <v>256</v>
      </c>
      <c r="I18" s="57" t="s">
        <v>390</v>
      </c>
      <c r="J18" s="57">
        <v>1.0</v>
      </c>
      <c r="K18" s="58"/>
    </row>
    <row r="19">
      <c r="B19" s="59" t="s">
        <v>256</v>
      </c>
      <c r="C19" s="59" t="s">
        <v>375</v>
      </c>
      <c r="D19" s="59" t="s">
        <v>185</v>
      </c>
      <c r="E19" s="59" t="s">
        <v>312</v>
      </c>
      <c r="F19" s="59"/>
      <c r="G19" s="59" t="s">
        <v>375</v>
      </c>
      <c r="I19" s="57" t="s">
        <v>425</v>
      </c>
      <c r="J19" s="57">
        <v>1.0</v>
      </c>
      <c r="K19" s="58"/>
    </row>
    <row r="20">
      <c r="B20" s="59" t="s">
        <v>375</v>
      </c>
      <c r="C20" s="59" t="s">
        <v>144</v>
      </c>
      <c r="D20" s="59" t="s">
        <v>312</v>
      </c>
      <c r="E20" s="59" t="s">
        <v>388</v>
      </c>
      <c r="F20" s="59"/>
      <c r="G20" s="59" t="s">
        <v>144</v>
      </c>
      <c r="I20" s="57" t="s">
        <v>56</v>
      </c>
      <c r="J20" s="57">
        <v>4.0</v>
      </c>
      <c r="K20" s="58"/>
    </row>
    <row r="21">
      <c r="B21" s="59" t="s">
        <v>144</v>
      </c>
      <c r="C21" s="59" t="s">
        <v>374</v>
      </c>
      <c r="D21" s="59" t="s">
        <v>129</v>
      </c>
      <c r="E21" s="63" t="s">
        <v>391</v>
      </c>
      <c r="F21" s="59"/>
      <c r="G21" s="59" t="s">
        <v>374</v>
      </c>
      <c r="I21" s="57" t="s">
        <v>426</v>
      </c>
      <c r="J21" s="57">
        <v>1.0</v>
      </c>
      <c r="K21" s="58"/>
    </row>
    <row r="22">
      <c r="B22" s="59" t="s">
        <v>374</v>
      </c>
      <c r="C22" s="59" t="s">
        <v>185</v>
      </c>
      <c r="D22" s="59" t="s">
        <v>297</v>
      </c>
      <c r="E22" s="63" t="s">
        <v>89</v>
      </c>
      <c r="F22" s="59"/>
      <c r="G22" s="59" t="s">
        <v>185</v>
      </c>
      <c r="I22" s="57" t="s">
        <v>92</v>
      </c>
      <c r="J22" s="57">
        <v>4.0</v>
      </c>
      <c r="K22" s="58"/>
    </row>
    <row r="23">
      <c r="B23" s="59" t="s">
        <v>185</v>
      </c>
      <c r="C23" s="59" t="s">
        <v>312</v>
      </c>
      <c r="D23" s="59" t="s">
        <v>382</v>
      </c>
      <c r="E23" s="63" t="s">
        <v>129</v>
      </c>
      <c r="F23" s="59"/>
      <c r="G23" s="59" t="s">
        <v>129</v>
      </c>
      <c r="I23" s="57" t="s">
        <v>375</v>
      </c>
      <c r="J23" s="57">
        <v>4.0</v>
      </c>
      <c r="K23" s="58"/>
    </row>
    <row r="24">
      <c r="B24" s="59" t="s">
        <v>129</v>
      </c>
      <c r="C24" s="59" t="s">
        <v>129</v>
      </c>
      <c r="D24" s="59" t="s">
        <v>384</v>
      </c>
      <c r="E24" s="63" t="s">
        <v>377</v>
      </c>
      <c r="F24" s="59"/>
      <c r="G24" s="59" t="s">
        <v>297</v>
      </c>
      <c r="I24" s="57" t="s">
        <v>68</v>
      </c>
      <c r="J24" s="57">
        <v>4.0</v>
      </c>
      <c r="K24" s="58"/>
    </row>
    <row r="25">
      <c r="B25" s="59" t="s">
        <v>297</v>
      </c>
      <c r="C25" s="59" t="s">
        <v>95</v>
      </c>
      <c r="D25" s="59" t="s">
        <v>141</v>
      </c>
      <c r="E25" s="59" t="s">
        <v>382</v>
      </c>
      <c r="F25" s="59"/>
      <c r="G25" s="59" t="s">
        <v>377</v>
      </c>
      <c r="I25" s="57" t="s">
        <v>427</v>
      </c>
      <c r="J25" s="57">
        <v>1.0</v>
      </c>
      <c r="K25" s="58"/>
    </row>
    <row r="26">
      <c r="B26" s="63" t="s">
        <v>377</v>
      </c>
      <c r="C26" s="59" t="s">
        <v>400</v>
      </c>
      <c r="D26" s="59" t="s">
        <v>95</v>
      </c>
      <c r="E26" s="59" t="s">
        <v>384</v>
      </c>
      <c r="F26" s="59"/>
      <c r="G26" s="59" t="s">
        <v>382</v>
      </c>
      <c r="I26" s="57" t="s">
        <v>428</v>
      </c>
      <c r="J26" s="57">
        <v>1.0</v>
      </c>
      <c r="K26" s="58"/>
    </row>
    <row r="27">
      <c r="B27" t="s">
        <v>382</v>
      </c>
      <c r="C27" s="63" t="s">
        <v>308</v>
      </c>
      <c r="D27" s="63" t="s">
        <v>400</v>
      </c>
      <c r="E27" t="s">
        <v>141</v>
      </c>
      <c r="G27" s="59" t="s">
        <v>384</v>
      </c>
      <c r="I27" s="57" t="s">
        <v>429</v>
      </c>
      <c r="J27" s="57">
        <v>1.0</v>
      </c>
      <c r="K27" s="58"/>
    </row>
    <row r="28">
      <c r="B28" s="63" t="s">
        <v>384</v>
      </c>
      <c r="C28" s="63" t="s">
        <v>92</v>
      </c>
      <c r="D28" s="63" t="s">
        <v>308</v>
      </c>
      <c r="E28" s="5" t="s">
        <v>92</v>
      </c>
      <c r="F28" s="5"/>
      <c r="G28" s="59" t="s">
        <v>95</v>
      </c>
      <c r="I28" s="57" t="s">
        <v>430</v>
      </c>
      <c r="J28" s="57">
        <v>1.0</v>
      </c>
      <c r="K28" s="58"/>
    </row>
    <row r="29">
      <c r="B29" s="5" t="s">
        <v>95</v>
      </c>
      <c r="C29" s="5" t="s">
        <v>389</v>
      </c>
      <c r="D29" s="63" t="s">
        <v>92</v>
      </c>
      <c r="E29" s="5" t="s">
        <v>389</v>
      </c>
      <c r="F29" s="5"/>
      <c r="G29" s="59" t="s">
        <v>308</v>
      </c>
      <c r="I29" s="57" t="s">
        <v>424</v>
      </c>
      <c r="J29" s="57">
        <v>4.0</v>
      </c>
      <c r="K29" s="58"/>
    </row>
    <row r="30">
      <c r="B30" s="63" t="s">
        <v>308</v>
      </c>
      <c r="C30" s="5" t="s">
        <v>56</v>
      </c>
      <c r="D30" s="63" t="s">
        <v>389</v>
      </c>
      <c r="E30" s="5" t="s">
        <v>34</v>
      </c>
      <c r="F30" s="5"/>
      <c r="G30" s="59" t="s">
        <v>92</v>
      </c>
      <c r="I30" s="57" t="s">
        <v>431</v>
      </c>
      <c r="J30" s="57">
        <v>1.0</v>
      </c>
      <c r="K30" s="58"/>
    </row>
    <row r="31">
      <c r="B31" s="63" t="s">
        <v>92</v>
      </c>
      <c r="C31" s="63" t="s">
        <v>432</v>
      </c>
      <c r="D31" s="63" t="s">
        <v>34</v>
      </c>
      <c r="E31" s="5" t="s">
        <v>381</v>
      </c>
      <c r="F31" s="5"/>
      <c r="G31" s="59" t="s">
        <v>389</v>
      </c>
      <c r="I31" s="57" t="s">
        <v>433</v>
      </c>
      <c r="J31" s="57">
        <v>1.0</v>
      </c>
      <c r="K31" s="58"/>
    </row>
    <row r="32">
      <c r="B32" s="63" t="s">
        <v>389</v>
      </c>
      <c r="C32" s="63" t="s">
        <v>288</v>
      </c>
      <c r="D32" s="63" t="s">
        <v>381</v>
      </c>
      <c r="E32" s="5" t="s">
        <v>56</v>
      </c>
      <c r="F32" s="5"/>
      <c r="G32" s="59" t="s">
        <v>34</v>
      </c>
      <c r="I32" s="57" t="s">
        <v>388</v>
      </c>
      <c r="J32" s="57">
        <v>1.0</v>
      </c>
      <c r="K32" s="58"/>
    </row>
    <row r="33">
      <c r="B33" s="5" t="s">
        <v>34</v>
      </c>
      <c r="C33" s="5"/>
      <c r="D33" s="5" t="s">
        <v>56</v>
      </c>
      <c r="E33" s="64" t="s">
        <v>432</v>
      </c>
      <c r="F33" s="5"/>
      <c r="G33" s="59" t="s">
        <v>381</v>
      </c>
      <c r="I33" s="57" t="s">
        <v>382</v>
      </c>
      <c r="J33" s="57">
        <v>3.0</v>
      </c>
      <c r="K33" s="58"/>
    </row>
    <row r="34">
      <c r="B34" s="5" t="s">
        <v>381</v>
      </c>
      <c r="C34" s="5"/>
      <c r="D34" s="63" t="s">
        <v>432</v>
      </c>
      <c r="E34" s="5" t="s">
        <v>288</v>
      </c>
      <c r="G34" s="59" t="s">
        <v>56</v>
      </c>
      <c r="I34" s="57" t="s">
        <v>432</v>
      </c>
      <c r="J34" s="57">
        <v>4.0</v>
      </c>
      <c r="K34" s="58"/>
    </row>
    <row r="35">
      <c r="B35" s="5" t="s">
        <v>56</v>
      </c>
      <c r="C35" s="5"/>
      <c r="D35" s="5" t="s">
        <v>288</v>
      </c>
      <c r="E35" s="5" t="s">
        <v>392</v>
      </c>
      <c r="F35" s="58"/>
      <c r="G35" s="59" t="s">
        <v>432</v>
      </c>
      <c r="I35" s="57" t="s">
        <v>78</v>
      </c>
      <c r="J35" s="57">
        <v>4.0</v>
      </c>
      <c r="K35" s="58"/>
    </row>
    <row r="36">
      <c r="B36" t="s">
        <v>432</v>
      </c>
      <c r="C36" s="5"/>
      <c r="D36" s="5" t="s">
        <v>392</v>
      </c>
      <c r="E36" s="5"/>
      <c r="F36" s="58"/>
      <c r="G36" s="59" t="s">
        <v>288</v>
      </c>
      <c r="I36" s="57" t="s">
        <v>403</v>
      </c>
      <c r="J36" s="57">
        <v>1.0</v>
      </c>
      <c r="K36" s="58"/>
    </row>
    <row r="37">
      <c r="B37" s="5" t="s">
        <v>288</v>
      </c>
      <c r="C37" s="5"/>
      <c r="D37" s="5"/>
      <c r="E37" s="5"/>
      <c r="F37" s="58"/>
      <c r="G37" s="59" t="s">
        <v>392</v>
      </c>
      <c r="I37" s="57" t="s">
        <v>434</v>
      </c>
      <c r="J37" s="57">
        <v>1.0</v>
      </c>
      <c r="K37" s="58"/>
    </row>
    <row r="38">
      <c r="B38" s="5" t="s">
        <v>392</v>
      </c>
      <c r="C38" s="64"/>
      <c r="D38" s="5"/>
      <c r="E38" s="5"/>
      <c r="G38" s="59" t="s">
        <v>312</v>
      </c>
      <c r="I38" s="57" t="s">
        <v>365</v>
      </c>
      <c r="J38" s="57">
        <v>2.0</v>
      </c>
      <c r="K38" s="58"/>
    </row>
    <row r="39">
      <c r="B39" s="5" t="s">
        <v>312</v>
      </c>
      <c r="C39" s="5"/>
      <c r="D39" s="5"/>
      <c r="G39" s="59" t="s">
        <v>426</v>
      </c>
      <c r="I39" s="57" t="s">
        <v>392</v>
      </c>
      <c r="J39" s="57">
        <v>3.0</v>
      </c>
      <c r="K39" s="58"/>
    </row>
    <row r="40">
      <c r="B40" s="5"/>
      <c r="C40" s="5"/>
      <c r="D40" s="5"/>
      <c r="G40" s="59" t="s">
        <v>421</v>
      </c>
      <c r="I40" s="57" t="s">
        <v>288</v>
      </c>
      <c r="J40" s="57">
        <v>4.0</v>
      </c>
      <c r="K40" s="58"/>
    </row>
    <row r="41">
      <c r="B41" s="5"/>
      <c r="C41" s="5"/>
      <c r="D41" s="5"/>
      <c r="G41" s="59" t="s">
        <v>343</v>
      </c>
      <c r="I41" s="57" t="s">
        <v>89</v>
      </c>
      <c r="J41" s="57">
        <v>1.0</v>
      </c>
      <c r="K41" s="58"/>
    </row>
    <row r="42">
      <c r="B42" s="5"/>
      <c r="C42" s="5"/>
      <c r="D42" s="5"/>
      <c r="E42" s="5"/>
      <c r="G42" s="59" t="s">
        <v>390</v>
      </c>
      <c r="I42" s="57" t="s">
        <v>363</v>
      </c>
      <c r="J42" s="57">
        <v>3.0</v>
      </c>
      <c r="K42" s="58"/>
    </row>
    <row r="43">
      <c r="C43" s="5"/>
      <c r="E43" s="5"/>
      <c r="G43" s="59" t="s">
        <v>435</v>
      </c>
      <c r="I43" s="57" t="s">
        <v>389</v>
      </c>
      <c r="J43" s="57">
        <v>4.0</v>
      </c>
    </row>
    <row r="44">
      <c r="B44" s="5"/>
      <c r="C44" s="5"/>
      <c r="E44" s="5"/>
      <c r="G44" s="59" t="s">
        <v>411</v>
      </c>
      <c r="I44" s="57" t="s">
        <v>95</v>
      </c>
      <c r="J44" s="57">
        <v>3.0</v>
      </c>
      <c r="K44" s="58"/>
    </row>
    <row r="45">
      <c r="B45" s="5"/>
      <c r="C45" s="5"/>
      <c r="D45" s="5"/>
      <c r="E45" s="5"/>
      <c r="G45" s="59" t="s">
        <v>419</v>
      </c>
      <c r="I45" s="57" t="s">
        <v>185</v>
      </c>
      <c r="J45" s="57">
        <v>4.0</v>
      </c>
      <c r="K45" s="58"/>
    </row>
    <row r="46">
      <c r="D46" s="5"/>
      <c r="E46" s="5"/>
      <c r="G46" s="59" t="s">
        <v>436</v>
      </c>
      <c r="I46" s="57" t="s">
        <v>408</v>
      </c>
      <c r="J46" s="57">
        <v>1.0</v>
      </c>
      <c r="K46" s="58"/>
    </row>
    <row r="47">
      <c r="D47" s="5"/>
      <c r="G47" s="59" t="s">
        <v>383</v>
      </c>
      <c r="I47" s="57" t="s">
        <v>435</v>
      </c>
      <c r="J47" s="57">
        <v>1.0</v>
      </c>
      <c r="K47" s="58"/>
    </row>
    <row r="48">
      <c r="G48" s="59" t="s">
        <v>53</v>
      </c>
      <c r="I48" s="57" t="s">
        <v>100</v>
      </c>
      <c r="J48" s="57">
        <v>2.0</v>
      </c>
      <c r="K48" s="58"/>
    </row>
    <row r="49">
      <c r="G49" s="59" t="s">
        <v>403</v>
      </c>
      <c r="I49" s="57" t="s">
        <v>391</v>
      </c>
      <c r="J49" s="57">
        <v>1.0</v>
      </c>
      <c r="K49" s="58"/>
    </row>
    <row r="50">
      <c r="G50" s="59" t="s">
        <v>363</v>
      </c>
      <c r="I50" s="57" t="s">
        <v>437</v>
      </c>
      <c r="J50" s="57">
        <v>1.0</v>
      </c>
      <c r="K50" s="58"/>
    </row>
    <row r="51">
      <c r="G51" s="59" t="s">
        <v>134</v>
      </c>
      <c r="I51" s="57" t="s">
        <v>436</v>
      </c>
      <c r="J51" s="57">
        <v>1.0</v>
      </c>
      <c r="K51" s="58"/>
    </row>
    <row r="52">
      <c r="G52" s="59" t="s">
        <v>68</v>
      </c>
      <c r="I52" s="57" t="s">
        <v>384</v>
      </c>
      <c r="J52" s="57">
        <v>3.0</v>
      </c>
      <c r="K52" s="58"/>
    </row>
    <row r="53">
      <c r="B53" s="67" t="str">
        <f>IFERROR(__xludf.DUMMYFUNCTION("if(IsBlank(Attendance!E8),"""",transpose(split(Attendance!E8,CHAR(10),FALSE)))"),"Emmanuel")</f>
        <v>Emmanuel</v>
      </c>
      <c r="C53" s="67" t="str">
        <f>IFERROR(__xludf.DUMMYFUNCTION("if(IsBlank(Attendance!E9),"""",transpose(split(Attendance!E9,CHAR(10),FALSE)))"),"Obul")</f>
        <v>Obul</v>
      </c>
      <c r="D53" t="str">
        <f>IFERROR(__xludf.DUMMYFUNCTION("if(IsBlank(Attendance!E10),"""",transpose(split(Attendance!E10,CHAR(10),FALSE)))"),"Reagan")</f>
        <v>Reagan</v>
      </c>
      <c r="E53" s="67" t="str">
        <f>IFERROR(__xludf.DUMMYFUNCTION("if(IsBlank(Attendance!E11),"""",transpose(split(Attendance!E11,CHAR(10),FALSE)))"),"Kevin guo")</f>
        <v>Kevin guo</v>
      </c>
      <c r="G53" s="59" t="s">
        <v>147</v>
      </c>
      <c r="I53" s="57" t="s">
        <v>411</v>
      </c>
      <c r="J53" s="57">
        <v>2.0</v>
      </c>
      <c r="K53" s="58"/>
    </row>
    <row r="54">
      <c r="B54" t="s">
        <v>421</v>
      </c>
      <c r="C54" t="s">
        <v>425</v>
      </c>
      <c r="D54" t="s">
        <v>427</v>
      </c>
      <c r="E54" t="s">
        <v>418</v>
      </c>
      <c r="G54" s="59" t="s">
        <v>373</v>
      </c>
      <c r="I54" s="57" t="s">
        <v>368</v>
      </c>
      <c r="J54" s="57">
        <v>2.0</v>
      </c>
      <c r="K54" s="58"/>
    </row>
    <row r="55">
      <c r="B55" t="s">
        <v>343</v>
      </c>
      <c r="C55" t="s">
        <v>408</v>
      </c>
      <c r="D55" t="s">
        <v>428</v>
      </c>
      <c r="E55" t="s">
        <v>438</v>
      </c>
      <c r="G55" s="59" t="s">
        <v>376</v>
      </c>
      <c r="I55" s="57" t="s">
        <v>373</v>
      </c>
      <c r="J55" s="57">
        <v>2.0</v>
      </c>
      <c r="K55" s="58"/>
    </row>
    <row r="56">
      <c r="B56" t="s">
        <v>390</v>
      </c>
      <c r="C56" t="s">
        <v>430</v>
      </c>
      <c r="D56" t="s">
        <v>429</v>
      </c>
      <c r="E56" t="s">
        <v>409</v>
      </c>
      <c r="G56" s="59" t="s">
        <v>78</v>
      </c>
      <c r="I56" s="57" t="s">
        <v>409</v>
      </c>
      <c r="J56" s="57">
        <v>1.0</v>
      </c>
      <c r="K56" s="58"/>
    </row>
    <row r="57">
      <c r="B57" t="s">
        <v>435</v>
      </c>
      <c r="D57" t="s">
        <v>422</v>
      </c>
      <c r="E57" t="s">
        <v>431</v>
      </c>
      <c r="G57" s="59" t="s">
        <v>424</v>
      </c>
      <c r="I57" s="57" t="s">
        <v>439</v>
      </c>
      <c r="J57" s="58">
        <v>1.0</v>
      </c>
      <c r="K57" s="58"/>
    </row>
    <row r="58">
      <c r="B58" t="s">
        <v>411</v>
      </c>
      <c r="D58" t="s">
        <v>423</v>
      </c>
      <c r="G58" s="59" t="s">
        <v>294</v>
      </c>
      <c r="I58" s="57" t="s">
        <v>129</v>
      </c>
      <c r="J58" s="58">
        <v>4.0</v>
      </c>
      <c r="K58" s="58"/>
    </row>
    <row r="59">
      <c r="B59" t="s">
        <v>419</v>
      </c>
      <c r="D59" t="s">
        <v>433</v>
      </c>
      <c r="G59" s="59" t="s">
        <v>305</v>
      </c>
      <c r="I59" s="57" t="s">
        <v>297</v>
      </c>
      <c r="J59" s="58">
        <v>2.0</v>
      </c>
      <c r="K59" s="58"/>
    </row>
    <row r="60">
      <c r="B60" t="s">
        <v>436</v>
      </c>
      <c r="D60" t="s">
        <v>420</v>
      </c>
      <c r="G60" s="59" t="s">
        <v>302</v>
      </c>
      <c r="I60" s="57" t="s">
        <v>308</v>
      </c>
      <c r="J60" s="58">
        <v>3.0</v>
      </c>
      <c r="K60" s="58"/>
    </row>
    <row r="61">
      <c r="D61" t="s">
        <v>385</v>
      </c>
      <c r="G61" s="59" t="s">
        <v>256</v>
      </c>
      <c r="I61" s="57" t="s">
        <v>400</v>
      </c>
      <c r="J61" s="58">
        <v>2.0</v>
      </c>
      <c r="K61" s="58"/>
    </row>
    <row r="62">
      <c r="D62" t="s">
        <v>437</v>
      </c>
      <c r="G62" s="59" t="s">
        <v>375</v>
      </c>
      <c r="I62" s="57" t="s">
        <v>305</v>
      </c>
      <c r="J62" s="58">
        <v>2.0</v>
      </c>
      <c r="K62" s="58"/>
    </row>
    <row r="63">
      <c r="G63" s="59" t="s">
        <v>144</v>
      </c>
      <c r="I63" s="57" t="s">
        <v>294</v>
      </c>
      <c r="J63" s="58">
        <v>4.0</v>
      </c>
      <c r="K63" s="58"/>
    </row>
    <row r="64">
      <c r="G64" s="59" t="s">
        <v>374</v>
      </c>
      <c r="I64" s="57" t="s">
        <v>134</v>
      </c>
      <c r="J64" s="58">
        <v>4.0</v>
      </c>
      <c r="K64" s="58"/>
    </row>
    <row r="65">
      <c r="G65" s="59" t="s">
        <v>185</v>
      </c>
      <c r="I65" s="57" t="s">
        <v>141</v>
      </c>
      <c r="J65" s="58">
        <v>2.0</v>
      </c>
      <c r="K65" s="58"/>
    </row>
    <row r="66">
      <c r="G66" s="59" t="s">
        <v>312</v>
      </c>
      <c r="I66" s="57" t="s">
        <v>144</v>
      </c>
      <c r="J66" s="58">
        <v>4.0</v>
      </c>
      <c r="K66" s="58"/>
    </row>
    <row r="67">
      <c r="G67" s="59" t="s">
        <v>129</v>
      </c>
      <c r="I67" s="57" t="s">
        <v>147</v>
      </c>
      <c r="J67" s="58">
        <v>4.0</v>
      </c>
      <c r="K67" s="58"/>
    </row>
    <row r="68">
      <c r="G68" s="59" t="s">
        <v>95</v>
      </c>
      <c r="I68" s="57" t="s">
        <v>343</v>
      </c>
      <c r="J68" s="58">
        <v>1.0</v>
      </c>
      <c r="K68" s="58"/>
    </row>
    <row r="69">
      <c r="G69" s="59" t="s">
        <v>400</v>
      </c>
      <c r="I69" s="57" t="s">
        <v>312</v>
      </c>
      <c r="J69" s="58">
        <v>4.0</v>
      </c>
      <c r="K69" s="58"/>
    </row>
    <row r="70">
      <c r="G70" s="59" t="s">
        <v>308</v>
      </c>
      <c r="I70" s="58" t="s">
        <v>438</v>
      </c>
      <c r="J70" s="58">
        <v>1.0</v>
      </c>
      <c r="K70" s="58"/>
    </row>
    <row r="71">
      <c r="G71" s="59" t="s">
        <v>92</v>
      </c>
      <c r="I71" s="57" t="s">
        <v>376</v>
      </c>
      <c r="J71" s="58">
        <v>2.0</v>
      </c>
      <c r="K71" s="58"/>
    </row>
    <row r="72">
      <c r="G72" s="59" t="s">
        <v>389</v>
      </c>
    </row>
    <row r="73">
      <c r="G73" s="59" t="s">
        <v>56</v>
      </c>
    </row>
    <row r="74">
      <c r="G74" s="59" t="s">
        <v>432</v>
      </c>
    </row>
    <row r="75">
      <c r="G75" s="59" t="s">
        <v>288</v>
      </c>
    </row>
    <row r="76">
      <c r="G76" s="59" t="s">
        <v>411</v>
      </c>
    </row>
    <row r="77">
      <c r="G77" s="59" t="s">
        <v>425</v>
      </c>
    </row>
    <row r="78">
      <c r="G78" s="59" t="s">
        <v>408</v>
      </c>
    </row>
    <row r="79">
      <c r="G79" s="59" t="s">
        <v>430</v>
      </c>
    </row>
    <row r="80">
      <c r="G80" s="59" t="s">
        <v>383</v>
      </c>
    </row>
    <row r="81">
      <c r="G81" s="59" t="s">
        <v>53</v>
      </c>
    </row>
    <row r="82">
      <c r="G82" s="59" t="s">
        <v>368</v>
      </c>
    </row>
    <row r="83">
      <c r="G83" s="59" t="s">
        <v>363</v>
      </c>
    </row>
    <row r="84">
      <c r="G84" s="59" t="s">
        <v>134</v>
      </c>
    </row>
    <row r="85">
      <c r="G85" s="59" t="s">
        <v>68</v>
      </c>
    </row>
    <row r="86">
      <c r="G86" s="59" t="s">
        <v>147</v>
      </c>
    </row>
    <row r="87">
      <c r="G87" s="59" t="s">
        <v>78</v>
      </c>
    </row>
    <row r="88">
      <c r="G88" s="59" t="s">
        <v>424</v>
      </c>
    </row>
    <row r="89">
      <c r="G89" s="59" t="s">
        <v>294</v>
      </c>
    </row>
    <row r="90">
      <c r="G90" s="59" t="s">
        <v>302</v>
      </c>
    </row>
    <row r="91">
      <c r="G91" s="59" t="s">
        <v>256</v>
      </c>
    </row>
    <row r="92">
      <c r="G92" s="59" t="s">
        <v>375</v>
      </c>
    </row>
    <row r="93">
      <c r="G93" s="59" t="s">
        <v>144</v>
      </c>
    </row>
    <row r="94">
      <c r="G94" s="59" t="s">
        <v>374</v>
      </c>
    </row>
    <row r="95">
      <c r="G95" s="59" t="s">
        <v>185</v>
      </c>
    </row>
    <row r="96">
      <c r="G96" s="59" t="s">
        <v>312</v>
      </c>
    </row>
    <row r="97">
      <c r="G97" s="59" t="s">
        <v>129</v>
      </c>
    </row>
    <row r="98">
      <c r="G98" s="59" t="s">
        <v>297</v>
      </c>
    </row>
    <row r="99">
      <c r="G99" s="59" t="s">
        <v>382</v>
      </c>
    </row>
    <row r="100">
      <c r="G100" s="59" t="s">
        <v>384</v>
      </c>
    </row>
    <row r="101">
      <c r="G101" s="59" t="s">
        <v>141</v>
      </c>
    </row>
    <row r="102">
      <c r="G102" s="59" t="s">
        <v>95</v>
      </c>
    </row>
    <row r="103">
      <c r="G103" s="59" t="s">
        <v>400</v>
      </c>
    </row>
    <row r="104">
      <c r="G104" s="59" t="s">
        <v>308</v>
      </c>
    </row>
    <row r="105">
      <c r="G105" s="59" t="s">
        <v>92</v>
      </c>
    </row>
    <row r="106">
      <c r="G106" s="59" t="s">
        <v>389</v>
      </c>
    </row>
    <row r="107">
      <c r="G107" s="59" t="s">
        <v>34</v>
      </c>
    </row>
    <row r="108">
      <c r="G108" s="59" t="s">
        <v>381</v>
      </c>
    </row>
    <row r="109">
      <c r="G109" s="59" t="s">
        <v>56</v>
      </c>
    </row>
    <row r="110">
      <c r="G110" s="59" t="s">
        <v>432</v>
      </c>
    </row>
    <row r="111">
      <c r="G111" s="59" t="s">
        <v>288</v>
      </c>
    </row>
    <row r="112">
      <c r="G112" s="59" t="s">
        <v>392</v>
      </c>
    </row>
    <row r="113">
      <c r="G113" s="59" t="s">
        <v>439</v>
      </c>
    </row>
    <row r="114">
      <c r="G114" s="59" t="s">
        <v>427</v>
      </c>
    </row>
    <row r="115">
      <c r="G115" s="59" t="s">
        <v>428</v>
      </c>
    </row>
    <row r="116">
      <c r="G116" s="59" t="s">
        <v>429</v>
      </c>
    </row>
    <row r="117">
      <c r="G117" s="59" t="s">
        <v>422</v>
      </c>
    </row>
    <row r="118">
      <c r="G118" s="59" t="s">
        <v>423</v>
      </c>
    </row>
    <row r="119">
      <c r="G119" s="59" t="s">
        <v>433</v>
      </c>
    </row>
    <row r="120">
      <c r="G120" s="59" t="s">
        <v>420</v>
      </c>
    </row>
    <row r="121">
      <c r="G121" s="59" t="s">
        <v>385</v>
      </c>
    </row>
    <row r="122">
      <c r="G122" s="59" t="s">
        <v>437</v>
      </c>
    </row>
    <row r="123">
      <c r="G123" s="59" t="s">
        <v>383</v>
      </c>
    </row>
    <row r="124">
      <c r="G124" s="59" t="s">
        <v>53</v>
      </c>
    </row>
    <row r="125">
      <c r="G125" s="59" t="s">
        <v>365</v>
      </c>
    </row>
    <row r="126">
      <c r="G126" s="59" t="s">
        <v>134</v>
      </c>
    </row>
    <row r="127">
      <c r="G127" s="59" t="s">
        <v>68</v>
      </c>
    </row>
    <row r="128">
      <c r="G128" s="59" t="s">
        <v>147</v>
      </c>
    </row>
    <row r="129">
      <c r="G129" s="59" t="s">
        <v>100</v>
      </c>
    </row>
    <row r="130">
      <c r="G130" s="59" t="s">
        <v>78</v>
      </c>
    </row>
    <row r="131">
      <c r="G131" s="59" t="s">
        <v>424</v>
      </c>
    </row>
    <row r="132">
      <c r="G132" s="59" t="s">
        <v>294</v>
      </c>
    </row>
    <row r="133">
      <c r="G133" s="59" t="s">
        <v>302</v>
      </c>
    </row>
    <row r="134">
      <c r="G134" s="59" t="s">
        <v>375</v>
      </c>
    </row>
    <row r="135">
      <c r="G135" s="59" t="s">
        <v>144</v>
      </c>
    </row>
    <row r="136">
      <c r="G136" t="s">
        <v>374</v>
      </c>
    </row>
    <row r="137">
      <c r="G137" t="s">
        <v>185</v>
      </c>
    </row>
    <row r="138">
      <c r="G138" t="s">
        <v>312</v>
      </c>
    </row>
    <row r="139">
      <c r="G139" t="s">
        <v>388</v>
      </c>
    </row>
    <row r="140">
      <c r="G140" t="s">
        <v>391</v>
      </c>
    </row>
    <row r="141">
      <c r="G141" t="s">
        <v>89</v>
      </c>
    </row>
    <row r="142">
      <c r="G142" t="s">
        <v>129</v>
      </c>
    </row>
    <row r="143">
      <c r="G143" t="s">
        <v>377</v>
      </c>
    </row>
    <row r="144">
      <c r="G144" t="s">
        <v>382</v>
      </c>
    </row>
    <row r="145">
      <c r="G145" t="s">
        <v>384</v>
      </c>
    </row>
    <row r="146">
      <c r="G146" t="s">
        <v>141</v>
      </c>
    </row>
    <row r="147">
      <c r="G147" t="s">
        <v>92</v>
      </c>
    </row>
    <row r="148">
      <c r="G148" t="s">
        <v>389</v>
      </c>
    </row>
    <row r="149">
      <c r="G149" t="s">
        <v>34</v>
      </c>
    </row>
    <row r="150">
      <c r="G150" t="s">
        <v>381</v>
      </c>
    </row>
    <row r="151">
      <c r="G151" t="s">
        <v>56</v>
      </c>
    </row>
    <row r="152">
      <c r="G152" t="s">
        <v>432</v>
      </c>
    </row>
    <row r="153">
      <c r="G153" t="s">
        <v>288</v>
      </c>
    </row>
    <row r="154">
      <c r="G154" t="s">
        <v>392</v>
      </c>
    </row>
    <row r="155">
      <c r="G155" t="s">
        <v>434</v>
      </c>
    </row>
    <row r="156">
      <c r="G156" t="s">
        <v>418</v>
      </c>
    </row>
    <row r="157">
      <c r="G157" t="s">
        <v>438</v>
      </c>
    </row>
    <row r="158">
      <c r="G158" t="s">
        <v>409</v>
      </c>
    </row>
    <row r="159">
      <c r="G159" t="s">
        <v>431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4.57"/>
    <col customWidth="1" min="2" max="2" width="16.86"/>
    <col customWidth="1" min="3" max="3" width="20.86"/>
    <col customWidth="1" min="4" max="4" width="25.57"/>
    <col customWidth="1" min="5" max="5" width="36.43"/>
    <col customWidth="1" min="6" max="6" width="7.0"/>
    <col customWidth="1" min="7" max="7" width="51.14"/>
    <col customWidth="1" min="8" max="9" width="14.86"/>
    <col customWidth="1" min="10" max="10" width="19.29"/>
    <col customWidth="1" min="11" max="11" width="13.29"/>
    <col customWidth="1" min="12" max="12" width="11.14"/>
  </cols>
  <sheetData>
    <row r="1">
      <c r="A1" s="45" t="s">
        <v>320</v>
      </c>
      <c r="B1" s="45" t="s">
        <v>321</v>
      </c>
      <c r="C1" s="45" t="s">
        <v>4</v>
      </c>
      <c r="D1" s="45" t="s">
        <v>322</v>
      </c>
      <c r="E1" s="45" t="s">
        <v>1</v>
      </c>
      <c r="F1" s="45" t="s">
        <v>323</v>
      </c>
      <c r="G1" s="45" t="s">
        <v>324</v>
      </c>
      <c r="H1" s="46" t="s">
        <v>325</v>
      </c>
      <c r="I1" s="45" t="s">
        <v>329</v>
      </c>
      <c r="J1" s="45" t="s">
        <v>330</v>
      </c>
      <c r="K1" s="48" t="s">
        <v>331</v>
      </c>
      <c r="L1" s="48" t="s">
        <v>338</v>
      </c>
    </row>
    <row r="2">
      <c r="A2" s="49" t="s">
        <v>88</v>
      </c>
      <c r="B2" s="49" t="s">
        <v>18</v>
      </c>
      <c r="C2" s="51" t="str">
        <f t="shared" ref="C2:C48" si="1">CONCATENATE(A2, " ",B2)</f>
        <v>Dar Adriano</v>
      </c>
      <c r="D2" s="49" t="s">
        <v>20</v>
      </c>
      <c r="E2" s="53" t="str">
        <f>vlookup(D2,'Invoice ClientIds'!$B$2:$D$100,3,0)</f>
        <v>8</v>
      </c>
      <c r="F2" s="18">
        <v>15.0</v>
      </c>
      <c r="G2" s="56" t="str">
        <f t="shared" ref="G2:G48" si="2">CONCATENATE(A2," ",B2, " Mar Attendance - ",K2, if(K2=1," session", " sessions"))</f>
        <v>Dar Adriano Mar Attendance - 3 sessions</v>
      </c>
      <c r="H2" s="26" t="s">
        <v>348</v>
      </c>
      <c r="I2" s="18">
        <v>1.0</v>
      </c>
      <c r="J2" s="56">
        <f t="shared" ref="J2:J48" si="3">if(H2="J",25, if(K2&lt;=2,25, 40))</f>
        <v>40</v>
      </c>
      <c r="K2" s="56">
        <f>if(IsNA(vlookup(C2,'Mar Att'!$I$2:$J$76,2,0)),0,vlookup(C2,'Mar Att'!$I$2:$J$76,2,0))</f>
        <v>3</v>
      </c>
      <c r="L2" s="60">
        <f t="shared" ref="L2:L30" si="4">I2*J2</f>
        <v>40</v>
      </c>
    </row>
    <row r="3">
      <c r="A3" s="61" t="s">
        <v>36</v>
      </c>
      <c r="B3" s="61" t="s">
        <v>18</v>
      </c>
      <c r="C3" s="51" t="str">
        <f t="shared" si="1"/>
        <v>Paulo Adriano</v>
      </c>
      <c r="D3" s="49" t="s">
        <v>20</v>
      </c>
      <c r="E3" s="53" t="str">
        <f>vlookup(D3,'Invoice ClientIds'!$B$2:$D$100,3,0)</f>
        <v>8</v>
      </c>
      <c r="F3" s="18">
        <v>15.0</v>
      </c>
      <c r="G3" s="56" t="str">
        <f t="shared" si="2"/>
        <v>Paulo Adriano Mar Attendance - 3 sessions</v>
      </c>
      <c r="H3" s="26" t="s">
        <v>357</v>
      </c>
      <c r="I3" s="18">
        <v>1.0</v>
      </c>
      <c r="J3" s="56">
        <f t="shared" si="3"/>
        <v>25</v>
      </c>
      <c r="K3" s="56">
        <f>if(IsNA(vlookup(C3,'Mar Att'!$I$2:$J$76,2,0)),0,vlookup(C3,'Mar Att'!$I$2:$J$76,2,0))</f>
        <v>3</v>
      </c>
      <c r="L3" s="60">
        <f t="shared" si="4"/>
        <v>25</v>
      </c>
    </row>
    <row r="4">
      <c r="A4" s="61" t="s">
        <v>16</v>
      </c>
      <c r="B4" s="61" t="s">
        <v>18</v>
      </c>
      <c r="C4" s="51" t="str">
        <f t="shared" si="1"/>
        <v>Chez Adriano</v>
      </c>
      <c r="D4" s="49" t="s">
        <v>20</v>
      </c>
      <c r="E4" s="53" t="str">
        <f>vlookup(D4,'Invoice ClientIds'!$B$2:$D$100,3,0)</f>
        <v>8</v>
      </c>
      <c r="F4" s="18">
        <v>15.0</v>
      </c>
      <c r="G4" s="56" t="str">
        <f t="shared" si="2"/>
        <v>Chez Adriano Mar Attendance - 2 sessions</v>
      </c>
      <c r="H4" s="26" t="s">
        <v>357</v>
      </c>
      <c r="I4" s="18">
        <v>1.0</v>
      </c>
      <c r="J4" s="56">
        <f t="shared" si="3"/>
        <v>25</v>
      </c>
      <c r="K4" s="56">
        <f>if(IsNA(vlookup(C4,'Mar Att'!$I$2:$J$76,2,0)),0,vlookup(C4,'Mar Att'!$I$2:$J$76,2,0))</f>
        <v>2</v>
      </c>
      <c r="L4" s="60">
        <f t="shared" si="4"/>
        <v>25</v>
      </c>
    </row>
    <row r="5">
      <c r="A5" s="61" t="s">
        <v>380</v>
      </c>
      <c r="B5" s="61" t="s">
        <v>18</v>
      </c>
      <c r="C5" s="51" t="str">
        <f t="shared" si="1"/>
        <v>Kyle Adriano</v>
      </c>
      <c r="D5" s="49" t="s">
        <v>20</v>
      </c>
      <c r="E5" s="53" t="str">
        <f>vlookup(D5,'Invoice ClientIds'!$B$2:$D$100,3,0)</f>
        <v>8</v>
      </c>
      <c r="F5" s="18">
        <v>15.0</v>
      </c>
      <c r="G5" s="56" t="str">
        <f t="shared" si="2"/>
        <v>Kyle Adriano Mar Attendance - 1 session</v>
      </c>
      <c r="H5" s="26" t="s">
        <v>348</v>
      </c>
      <c r="I5" s="18">
        <v>1.0</v>
      </c>
      <c r="J5" s="56">
        <f t="shared" si="3"/>
        <v>25</v>
      </c>
      <c r="K5" s="56">
        <f>if(IsNA(vlookup(C5,'Mar Att'!$I$2:$J$76,2,0)),0,vlookup(C5,'Mar Att'!$I$2:$J$76,2,0))</f>
        <v>1</v>
      </c>
      <c r="L5" s="60">
        <f t="shared" si="4"/>
        <v>25</v>
      </c>
    </row>
    <row r="6">
      <c r="A6" s="61" t="s">
        <v>60</v>
      </c>
      <c r="B6" s="61" t="s">
        <v>18</v>
      </c>
      <c r="C6" s="51" t="str">
        <f t="shared" si="1"/>
        <v>Kim Adriano</v>
      </c>
      <c r="D6" s="49" t="s">
        <v>20</v>
      </c>
      <c r="E6" s="53" t="str">
        <f>vlookup(D6,'Invoice ClientIds'!$B$2:$D$100,3,0)</f>
        <v>8</v>
      </c>
      <c r="F6" s="18">
        <v>15.0</v>
      </c>
      <c r="G6" s="56" t="str">
        <f t="shared" si="2"/>
        <v>Kim Adriano Mar Attendance - 0 sessions</v>
      </c>
      <c r="H6" s="26" t="s">
        <v>348</v>
      </c>
      <c r="I6" s="18">
        <v>1.0</v>
      </c>
      <c r="J6" s="56">
        <f t="shared" si="3"/>
        <v>25</v>
      </c>
      <c r="K6" s="56">
        <f>if(IsNA(vlookup(C6,'Mar Att'!$I$2:$J$76,2,0)),0,vlookup(C6,'Mar Att'!$I$2:$J$76,2,0))</f>
        <v>0</v>
      </c>
      <c r="L6" s="60">
        <f t="shared" si="4"/>
        <v>25</v>
      </c>
    </row>
    <row r="7">
      <c r="A7" s="61" t="s">
        <v>97</v>
      </c>
      <c r="B7" s="49" t="s">
        <v>99</v>
      </c>
      <c r="C7" s="51" t="str">
        <f t="shared" si="1"/>
        <v>Majan Almazan</v>
      </c>
      <c r="D7" s="49" t="s">
        <v>104</v>
      </c>
      <c r="E7" s="53" t="str">
        <f>vlookup(D7,'Invoice ClientIds'!$B$2:$D$100,3,0)</f>
        <v>33</v>
      </c>
      <c r="F7" s="18">
        <v>15.0</v>
      </c>
      <c r="G7" s="56" t="str">
        <f t="shared" si="2"/>
        <v>Majan Almazan Mar Attendance - 2 sessions</v>
      </c>
      <c r="H7" s="26" t="s">
        <v>357</v>
      </c>
      <c r="I7" s="18">
        <v>1.0</v>
      </c>
      <c r="J7" s="56">
        <f t="shared" si="3"/>
        <v>25</v>
      </c>
      <c r="K7" s="56">
        <f>if(IsNA(vlookup(C7,'Mar Att'!$I$2:$J$76,2,0)),0,vlookup(C7,'Mar Att'!$I$2:$J$76,2,0))</f>
        <v>2</v>
      </c>
      <c r="L7" s="60">
        <f t="shared" si="4"/>
        <v>25</v>
      </c>
    </row>
    <row r="8">
      <c r="A8" s="49" t="s">
        <v>135</v>
      </c>
      <c r="B8" s="49" t="s">
        <v>99</v>
      </c>
      <c r="C8" s="51" t="str">
        <f t="shared" si="1"/>
        <v>Ruth Almazan</v>
      </c>
      <c r="D8" s="49" t="s">
        <v>104</v>
      </c>
      <c r="E8" s="53" t="str">
        <f>vlookup(D8,'Invoice ClientIds'!$B$2:$D$100,3,0)</f>
        <v>33</v>
      </c>
      <c r="F8" s="18">
        <v>15.0</v>
      </c>
      <c r="G8" s="56" t="str">
        <f t="shared" si="2"/>
        <v>Ruth Almazan Mar Attendance - 4 sessions</v>
      </c>
      <c r="H8" s="26" t="s">
        <v>348</v>
      </c>
      <c r="I8" s="18">
        <v>1.0</v>
      </c>
      <c r="J8" s="56">
        <f t="shared" si="3"/>
        <v>40</v>
      </c>
      <c r="K8" s="56">
        <f>if(IsNA(vlookup(C8,'Mar Att'!$I$2:$J$76,2,0)),0,vlookup(C8,'Mar Att'!$I$2:$J$76,2,0))</f>
        <v>4</v>
      </c>
      <c r="L8" s="60">
        <f t="shared" si="4"/>
        <v>40</v>
      </c>
    </row>
    <row r="9">
      <c r="A9" s="61" t="s">
        <v>152</v>
      </c>
      <c r="B9" s="61" t="s">
        <v>153</v>
      </c>
      <c r="C9" s="51" t="str">
        <f t="shared" si="1"/>
        <v>Gloria Araullo</v>
      </c>
      <c r="D9" s="49" t="s">
        <v>67</v>
      </c>
      <c r="E9" s="66">
        <v>12.0</v>
      </c>
      <c r="F9" s="18">
        <v>15.0</v>
      </c>
      <c r="G9" s="56" t="str">
        <f t="shared" si="2"/>
        <v>Gloria Araullo Mar Attendance - 4 sessions</v>
      </c>
      <c r="H9" s="26" t="s">
        <v>348</v>
      </c>
      <c r="I9" s="18">
        <v>1.0</v>
      </c>
      <c r="J9" s="56">
        <f t="shared" si="3"/>
        <v>40</v>
      </c>
      <c r="K9" s="56">
        <f>if(IsNA(vlookup(C9,'Mar Att'!$I$2:$J$76,2,0)),0,vlookup(C9,'Mar Att'!$I$2:$J$76,2,0))</f>
        <v>4</v>
      </c>
      <c r="L9" s="60">
        <f t="shared" si="4"/>
        <v>40</v>
      </c>
    </row>
    <row r="10">
      <c r="A10" s="49" t="s">
        <v>175</v>
      </c>
      <c r="B10" s="49" t="s">
        <v>176</v>
      </c>
      <c r="C10" s="51" t="str">
        <f t="shared" si="1"/>
        <v>Tina Castillo</v>
      </c>
      <c r="D10" s="49" t="s">
        <v>146</v>
      </c>
      <c r="E10" s="53" t="str">
        <f>vlookup(D10,'Invoice ClientIds'!$B$2:$D$100,3,0)</f>
        <v>37</v>
      </c>
      <c r="F10" s="18">
        <v>15.0</v>
      </c>
      <c r="G10" s="56" t="str">
        <f t="shared" si="2"/>
        <v>Tina Castillo Mar Attendance - 2 sessions</v>
      </c>
      <c r="H10" s="26" t="s">
        <v>348</v>
      </c>
      <c r="I10" s="18">
        <v>1.0</v>
      </c>
      <c r="J10" s="56">
        <f t="shared" si="3"/>
        <v>25</v>
      </c>
      <c r="K10" s="56">
        <f>if(IsNA(vlookup(C10,'Mar Att'!$I$2:$J$76,2,0)),0,vlookup(C10,'Mar Att'!$I$2:$J$76,2,0))</f>
        <v>2</v>
      </c>
      <c r="L10" s="60">
        <f t="shared" si="4"/>
        <v>25</v>
      </c>
    </row>
    <row r="11">
      <c r="A11" s="49" t="s">
        <v>193</v>
      </c>
      <c r="B11" s="49" t="s">
        <v>194</v>
      </c>
      <c r="C11" s="51" t="str">
        <f t="shared" si="1"/>
        <v>Racquel Cruz</v>
      </c>
      <c r="D11" s="61" t="s">
        <v>149</v>
      </c>
      <c r="E11" s="53" t="str">
        <f>vlookup(D11,'Invoice ClientIds'!$B$2:$D$100,3,0)</f>
        <v>38</v>
      </c>
      <c r="F11" s="18">
        <v>15.0</v>
      </c>
      <c r="G11" s="56" t="str">
        <f t="shared" si="2"/>
        <v>Racquel Cruz Mar Attendance - 2 sessions</v>
      </c>
      <c r="H11" s="26" t="s">
        <v>348</v>
      </c>
      <c r="I11" s="18">
        <v>1.0</v>
      </c>
      <c r="J11" s="56">
        <f t="shared" si="3"/>
        <v>25</v>
      </c>
      <c r="K11" s="56">
        <f>if(IsNA(vlookup(C11,'Mar Att'!$I$2:$J$76,2,0)),0,vlookup(C11,'Mar Att'!$I$2:$J$76,2,0))</f>
        <v>2</v>
      </c>
      <c r="L11" s="60">
        <f t="shared" si="4"/>
        <v>25</v>
      </c>
    </row>
    <row r="12">
      <c r="A12" s="49" t="s">
        <v>218</v>
      </c>
      <c r="B12" s="49" t="s">
        <v>194</v>
      </c>
      <c r="C12" s="51" t="str">
        <f t="shared" si="1"/>
        <v>West Cruz</v>
      </c>
      <c r="D12" s="61" t="s">
        <v>149</v>
      </c>
      <c r="E12" s="53" t="str">
        <f>vlookup(D12,'Invoice ClientIds'!$B$2:$D$100,3,0)</f>
        <v>38</v>
      </c>
      <c r="F12" s="18">
        <v>15.0</v>
      </c>
      <c r="G12" s="56" t="str">
        <f t="shared" si="2"/>
        <v>West Cruz Mar Attendance - 3 sessions</v>
      </c>
      <c r="H12" s="26" t="s">
        <v>348</v>
      </c>
      <c r="I12" s="18">
        <v>1.0</v>
      </c>
      <c r="J12" s="56">
        <f t="shared" si="3"/>
        <v>40</v>
      </c>
      <c r="K12" s="56">
        <f>if(IsNA(vlookup(C12,'Mar Att'!$I$2:$J$76,2,0)),0,vlookup(C12,'Mar Att'!$I$2:$J$76,2,0))</f>
        <v>3</v>
      </c>
      <c r="L12" s="60">
        <f t="shared" si="4"/>
        <v>40</v>
      </c>
    </row>
    <row r="13">
      <c r="A13" s="49" t="s">
        <v>242</v>
      </c>
      <c r="B13" s="49" t="s">
        <v>244</v>
      </c>
      <c r="C13" s="51" t="str">
        <f t="shared" si="1"/>
        <v>Mark Dasco</v>
      </c>
      <c r="D13" s="49" t="s">
        <v>98</v>
      </c>
      <c r="E13" s="53" t="str">
        <f>vlookup(D13,'Invoice ClientIds'!$B$2:$D$100,3,0)</f>
        <v>21</v>
      </c>
      <c r="F13" s="18">
        <v>15.0</v>
      </c>
      <c r="G13" s="56" t="str">
        <f t="shared" si="2"/>
        <v>Mark Dasco Mar Attendance - 3 sessions</v>
      </c>
      <c r="H13" s="26" t="s">
        <v>348</v>
      </c>
      <c r="I13" s="18">
        <v>1.0</v>
      </c>
      <c r="J13" s="56">
        <f t="shared" si="3"/>
        <v>40</v>
      </c>
      <c r="K13" s="56">
        <f>if(IsNA(vlookup(C13,'Mar Att'!$I$2:$J$76,2,0)),0,vlookup(C13,'Mar Att'!$I$2:$J$76,2,0))</f>
        <v>3</v>
      </c>
      <c r="L13" s="60">
        <f t="shared" si="4"/>
        <v>40</v>
      </c>
    </row>
    <row r="14">
      <c r="A14" s="61" t="s">
        <v>263</v>
      </c>
      <c r="B14" s="61" t="s">
        <v>264</v>
      </c>
      <c r="C14" s="51" t="str">
        <f t="shared" si="1"/>
        <v>Roldan Discaya</v>
      </c>
      <c r="D14" s="49" t="s">
        <v>265</v>
      </c>
      <c r="E14" s="53" t="str">
        <f>vlookup(D14,'Invoice ClientIds'!$B$2:$D$100,3,0)</f>
        <v>1e8ef7fe-5922-4927-8471-70cab702e874</v>
      </c>
      <c r="F14" s="18">
        <v>15.0</v>
      </c>
      <c r="G14" s="56" t="str">
        <f t="shared" si="2"/>
        <v>Roldan Discaya Mar Attendance - 3 sessions</v>
      </c>
      <c r="H14" s="26" t="s">
        <v>348</v>
      </c>
      <c r="I14" s="18">
        <v>1.0</v>
      </c>
      <c r="J14" s="56">
        <f t="shared" si="3"/>
        <v>40</v>
      </c>
      <c r="K14" s="56">
        <f>if(IsNA(vlookup(C14,'Mar Att'!$I$2:$J$76,2,0)),0,vlookup(C14,'Mar Att'!$I$2:$J$76,2,0))</f>
        <v>3</v>
      </c>
      <c r="L14" s="60">
        <f t="shared" si="4"/>
        <v>40</v>
      </c>
    </row>
    <row r="15">
      <c r="A15" s="49" t="s">
        <v>275</v>
      </c>
      <c r="B15" s="49" t="s">
        <v>276</v>
      </c>
      <c r="C15" s="51" t="str">
        <f t="shared" si="1"/>
        <v>Jonathan De Guzman</v>
      </c>
      <c r="D15" s="49" t="s">
        <v>77</v>
      </c>
      <c r="E15" s="53" t="str">
        <f>vlookup(D15,'Invoice ClientIds'!$B$2:$D$100,3,0)</f>
        <v>15</v>
      </c>
      <c r="F15" s="18">
        <v>15.0</v>
      </c>
      <c r="G15" s="56" t="str">
        <f t="shared" si="2"/>
        <v>Jonathan De Guzman Mar Attendance - 4 sessions</v>
      </c>
      <c r="H15" s="26" t="s">
        <v>348</v>
      </c>
      <c r="I15" s="18">
        <v>1.0</v>
      </c>
      <c r="J15" s="56">
        <f t="shared" si="3"/>
        <v>40</v>
      </c>
      <c r="K15" s="56">
        <f>if(IsNA(vlookup(C15,'Mar Att'!$I$2:$J$76,2,0)),0,vlookup(C15,'Mar Att'!$I$2:$J$76,2,0))</f>
        <v>4</v>
      </c>
      <c r="L15" s="60">
        <f t="shared" si="4"/>
        <v>40</v>
      </c>
    </row>
    <row r="16">
      <c r="A16" s="49" t="s">
        <v>292</v>
      </c>
      <c r="B16" s="49" t="s">
        <v>276</v>
      </c>
      <c r="C16" s="51" t="str">
        <f t="shared" si="1"/>
        <v>Ime De Guzman</v>
      </c>
      <c r="D16" s="49" t="s">
        <v>77</v>
      </c>
      <c r="E16" s="53" t="str">
        <f>vlookup(D16,'Invoice ClientIds'!$B$2:$D$100,3,0)</f>
        <v>15</v>
      </c>
      <c r="F16" s="18">
        <v>15.0</v>
      </c>
      <c r="G16" s="56" t="str">
        <f t="shared" si="2"/>
        <v>Ime De Guzman Mar Attendance - 4 sessions</v>
      </c>
      <c r="H16" s="26" t="s">
        <v>348</v>
      </c>
      <c r="I16" s="18">
        <v>1.0</v>
      </c>
      <c r="J16" s="56">
        <f t="shared" si="3"/>
        <v>40</v>
      </c>
      <c r="K16" s="56">
        <f>if(IsNA(vlookup(C16,'Mar Att'!$I$2:$J$76,2,0)),0,vlookup(C16,'Mar Att'!$I$2:$J$76,2,0))</f>
        <v>4</v>
      </c>
      <c r="L16" s="60">
        <f t="shared" si="4"/>
        <v>40</v>
      </c>
    </row>
    <row r="17">
      <c r="A17" s="49" t="s">
        <v>313</v>
      </c>
      <c r="B17" s="49" t="s">
        <v>299</v>
      </c>
      <c r="C17" s="51" t="str">
        <f t="shared" si="1"/>
        <v>Jed Garcia</v>
      </c>
      <c r="D17" s="49" t="s">
        <v>273</v>
      </c>
      <c r="E17" s="53">
        <v>72.0</v>
      </c>
      <c r="F17" s="18">
        <v>15.0</v>
      </c>
      <c r="G17" s="56" t="str">
        <f t="shared" si="2"/>
        <v>Jed Garcia Mar Attendance - 4 sessions</v>
      </c>
      <c r="H17" s="26" t="s">
        <v>357</v>
      </c>
      <c r="I17" s="18">
        <v>1.0</v>
      </c>
      <c r="J17" s="56">
        <f t="shared" si="3"/>
        <v>25</v>
      </c>
      <c r="K17" s="56">
        <f>if(IsNA(vlookup(C17,'Mar Att'!$I$2:$J$76,2,0)),0,vlookup(C17,'Mar Att'!$I$2:$J$76,2,0))</f>
        <v>4</v>
      </c>
      <c r="L17" s="60">
        <f t="shared" si="4"/>
        <v>25</v>
      </c>
    </row>
    <row r="18">
      <c r="A18" s="61" t="s">
        <v>298</v>
      </c>
      <c r="B18" s="61" t="s">
        <v>299</v>
      </c>
      <c r="C18" s="51" t="str">
        <f t="shared" si="1"/>
        <v>Josel Garcia</v>
      </c>
      <c r="D18" s="61" t="s">
        <v>273</v>
      </c>
      <c r="E18" s="53">
        <f>vlookup(D18,'Invoice ClientIds'!$B$2:$D$100,3,0)</f>
        <v>72</v>
      </c>
      <c r="F18" s="18">
        <v>15.0</v>
      </c>
      <c r="G18" s="56" t="str">
        <f t="shared" si="2"/>
        <v>Josel Garcia Mar Attendance - 4 sessions</v>
      </c>
      <c r="H18" s="26" t="s">
        <v>348</v>
      </c>
      <c r="I18" s="18">
        <v>1.0</v>
      </c>
      <c r="J18" s="56">
        <f t="shared" si="3"/>
        <v>40</v>
      </c>
      <c r="K18" s="56">
        <f>if(IsNA(vlookup(C18,'Mar Att'!$I$2:$J$76,2,0)),0,vlookup(C18,'Mar Att'!$I$2:$J$76,2,0))</f>
        <v>4</v>
      </c>
      <c r="L18" s="60">
        <f t="shared" si="4"/>
        <v>40</v>
      </c>
    </row>
    <row r="19">
      <c r="A19" s="61" t="s">
        <v>309</v>
      </c>
      <c r="B19" s="61" t="s">
        <v>299</v>
      </c>
      <c r="C19" s="51" t="str">
        <f t="shared" si="1"/>
        <v>Aileen Garcia</v>
      </c>
      <c r="D19" s="61" t="s">
        <v>273</v>
      </c>
      <c r="E19" s="53">
        <f>vlookup(D19,'Invoice ClientIds'!$B$2:$D$100,3,0)</f>
        <v>72</v>
      </c>
      <c r="F19" s="18">
        <v>15.0</v>
      </c>
      <c r="G19" s="56" t="str">
        <f t="shared" si="2"/>
        <v>Aileen Garcia Mar Attendance - 2 sessions</v>
      </c>
      <c r="H19" s="26" t="s">
        <v>348</v>
      </c>
      <c r="I19" s="18">
        <v>1.0</v>
      </c>
      <c r="J19" s="56">
        <f t="shared" si="3"/>
        <v>25</v>
      </c>
      <c r="K19" s="56">
        <f>if(IsNA(vlookup(C19,'Mar Att'!$I$2:$J$76,2,0)),0,vlookup(C19,'Mar Att'!$I$2:$J$76,2,0))</f>
        <v>2</v>
      </c>
      <c r="L19" s="60">
        <f t="shared" si="4"/>
        <v>25</v>
      </c>
    </row>
    <row r="20">
      <c r="A20" s="61" t="s">
        <v>314</v>
      </c>
      <c r="B20" s="61" t="s">
        <v>417</v>
      </c>
      <c r="C20" s="51" t="str">
        <f t="shared" si="1"/>
        <v>Aashish Kumar</v>
      </c>
      <c r="D20" s="61" t="s">
        <v>301</v>
      </c>
      <c r="E20" s="53" t="str">
        <f>vlookup(D20,'Invoice ClientIds'!$B$2:$D$100,3,0)</f>
        <v>d82e7614-b40a-46ae-a48b-143c809bca66</v>
      </c>
      <c r="F20" s="18">
        <v>15.0</v>
      </c>
      <c r="G20" s="56" t="str">
        <f t="shared" si="2"/>
        <v>Aashish Kumar Mar Attendance - 3 sessions</v>
      </c>
      <c r="H20" s="26" t="s">
        <v>348</v>
      </c>
      <c r="I20" s="18">
        <v>1.0</v>
      </c>
      <c r="J20" s="56">
        <f t="shared" si="3"/>
        <v>40</v>
      </c>
      <c r="K20" s="56">
        <f>if(IsNA(vlookup(C20,'Mar Att'!$I$2:$J$76,2,0)),0,vlookup(C20,'Mar Att'!$I$2:$J$76,2,0))</f>
        <v>3</v>
      </c>
      <c r="L20" s="60">
        <f t="shared" si="4"/>
        <v>40</v>
      </c>
    </row>
    <row r="21">
      <c r="A21" s="61" t="s">
        <v>316</v>
      </c>
      <c r="B21" s="61" t="s">
        <v>317</v>
      </c>
      <c r="C21" s="51" t="str">
        <f t="shared" si="1"/>
        <v>Rohith Krishna</v>
      </c>
      <c r="D21" s="61" t="s">
        <v>304</v>
      </c>
      <c r="E21" s="53" t="str">
        <f>vlookup(D21,'Invoice ClientIds'!$B$2:$D$100,3,0)</f>
        <v>5d744242-e398-4705-b209-5c1d3de276bd</v>
      </c>
      <c r="F21" s="18">
        <v>15.0</v>
      </c>
      <c r="G21" s="56" t="str">
        <f t="shared" si="2"/>
        <v>Rohith Krishna Mar Attendance - 1 session</v>
      </c>
      <c r="H21" s="26" t="s">
        <v>348</v>
      </c>
      <c r="I21" s="18">
        <v>1.0</v>
      </c>
      <c r="J21" s="56">
        <f t="shared" si="3"/>
        <v>25</v>
      </c>
      <c r="K21" s="56">
        <f>if(IsNA(vlookup(C21,'Mar Att'!$I$2:$J$76,2,0)),0,vlookup(C21,'Mar Att'!$I$2:$J$76,2,0))</f>
        <v>1</v>
      </c>
      <c r="L21" s="60">
        <f t="shared" si="4"/>
        <v>25</v>
      </c>
    </row>
    <row r="22">
      <c r="A22" s="49" t="s">
        <v>318</v>
      </c>
      <c r="B22" s="49" t="s">
        <v>319</v>
      </c>
      <c r="C22" s="51" t="str">
        <f t="shared" si="1"/>
        <v>Glen Macaraeg</v>
      </c>
      <c r="D22" s="49" t="s">
        <v>143</v>
      </c>
      <c r="E22" s="53" t="str">
        <f>vlookup(D22,'Invoice ClientIds'!$B$2:$D$100,3,0)</f>
        <v>36</v>
      </c>
      <c r="F22" s="18">
        <v>15.0</v>
      </c>
      <c r="G22" s="56" t="str">
        <f t="shared" si="2"/>
        <v>Glen Macaraeg Mar Attendance - 2 sessions</v>
      </c>
      <c r="H22" s="26" t="s">
        <v>348</v>
      </c>
      <c r="I22" s="18">
        <v>1.0</v>
      </c>
      <c r="J22" s="56">
        <f t="shared" si="3"/>
        <v>25</v>
      </c>
      <c r="K22" s="56">
        <f>if(IsNA(vlookup(C22,'Mar Att'!$I$2:$J$76,2,0)),0,vlookup(C22,'Mar Att'!$I$2:$J$76,2,0))</f>
        <v>2</v>
      </c>
      <c r="L22" s="60">
        <f t="shared" si="4"/>
        <v>25</v>
      </c>
    </row>
    <row r="23">
      <c r="A23" s="49" t="s">
        <v>328</v>
      </c>
      <c r="B23" s="49" t="s">
        <v>319</v>
      </c>
      <c r="C23" s="51" t="str">
        <f t="shared" si="1"/>
        <v>Tess Macaraeg</v>
      </c>
      <c r="D23" s="49" t="s">
        <v>143</v>
      </c>
      <c r="E23" s="53" t="str">
        <f>vlookup(D23,'Invoice ClientIds'!$B$2:$D$100,3,0)</f>
        <v>36</v>
      </c>
      <c r="F23" s="18">
        <v>15.0</v>
      </c>
      <c r="G23" s="56" t="str">
        <f t="shared" si="2"/>
        <v>Tess Macaraeg Mar Attendance - 2 sessions</v>
      </c>
      <c r="H23" s="26" t="s">
        <v>348</v>
      </c>
      <c r="I23" s="18">
        <v>1.0</v>
      </c>
      <c r="J23" s="56">
        <f t="shared" si="3"/>
        <v>25</v>
      </c>
      <c r="K23" s="56">
        <f>if(IsNA(vlookup(C23,'Mar Att'!$I$2:$J$76,2,0)),0,vlookup(C23,'Mar Att'!$I$2:$J$76,2,0))</f>
        <v>2</v>
      </c>
      <c r="L23" s="60">
        <f t="shared" si="4"/>
        <v>25</v>
      </c>
    </row>
    <row r="24">
      <c r="A24" s="49" t="s">
        <v>333</v>
      </c>
      <c r="B24" s="49" t="s">
        <v>335</v>
      </c>
      <c r="C24" s="51" t="str">
        <f t="shared" si="1"/>
        <v>Alex Marundan</v>
      </c>
      <c r="D24" s="49" t="s">
        <v>255</v>
      </c>
      <c r="E24" s="53">
        <v>67.0</v>
      </c>
      <c r="F24" s="18">
        <v>15.0</v>
      </c>
      <c r="G24" s="56" t="str">
        <f t="shared" si="2"/>
        <v>Alex Marundan Mar Attendance - 2 sessions</v>
      </c>
      <c r="H24" s="26" t="s">
        <v>348</v>
      </c>
      <c r="I24" s="18">
        <v>1.0</v>
      </c>
      <c r="J24" s="56">
        <f t="shared" si="3"/>
        <v>25</v>
      </c>
      <c r="K24" s="56">
        <f>if(IsNA(vlookup(C24,'Mar Att'!$I$2:$J$76,2,0)),0,vlookup(C24,'Mar Att'!$I$2:$J$76,2,0))</f>
        <v>2</v>
      </c>
      <c r="L24" s="60">
        <f t="shared" si="4"/>
        <v>25</v>
      </c>
    </row>
    <row r="25">
      <c r="A25" s="49" t="s">
        <v>340</v>
      </c>
      <c r="B25" s="49" t="s">
        <v>341</v>
      </c>
      <c r="C25" s="51" t="str">
        <f t="shared" si="1"/>
        <v>Maritoni Mesina</v>
      </c>
      <c r="D25" s="49" t="s">
        <v>184</v>
      </c>
      <c r="E25" s="53">
        <f>vlookup(D25,'Invoice ClientIds'!$B$2:$D$100,3,0)</f>
        <v>46</v>
      </c>
      <c r="F25" s="18">
        <v>15.0</v>
      </c>
      <c r="G25" s="56" t="str">
        <f t="shared" si="2"/>
        <v>Maritoni Mesina Mar Attendance - 2 sessions</v>
      </c>
      <c r="H25" s="26" t="s">
        <v>348</v>
      </c>
      <c r="I25" s="18">
        <v>1.0</v>
      </c>
      <c r="J25" s="56">
        <f t="shared" si="3"/>
        <v>25</v>
      </c>
      <c r="K25" s="56">
        <f>if(IsNA(vlookup(C25,'Mar Att'!$I$2:$J$76,2,0)),0,vlookup(C25,'Mar Att'!$I$2:$J$76,2,0))</f>
        <v>2</v>
      </c>
      <c r="L25" s="60">
        <f t="shared" si="4"/>
        <v>25</v>
      </c>
    </row>
    <row r="26">
      <c r="A26" s="49" t="s">
        <v>342</v>
      </c>
      <c r="B26" s="49" t="s">
        <v>341</v>
      </c>
      <c r="C26" s="51" t="str">
        <f t="shared" si="1"/>
        <v>Bimbo Mesina</v>
      </c>
      <c r="D26" s="49" t="s">
        <v>184</v>
      </c>
      <c r="E26" s="53">
        <f>vlookup(D26,'Invoice ClientIds'!$B$2:$D$100,3,0)</f>
        <v>46</v>
      </c>
      <c r="F26" s="18">
        <v>15.0</v>
      </c>
      <c r="G26" s="56" t="str">
        <f t="shared" si="2"/>
        <v>Bimbo Mesina Mar Attendance - 2 sessions</v>
      </c>
      <c r="H26" s="26" t="s">
        <v>348</v>
      </c>
      <c r="I26" s="18">
        <v>1.0</v>
      </c>
      <c r="J26" s="56">
        <f t="shared" si="3"/>
        <v>25</v>
      </c>
      <c r="K26" s="56">
        <f>if(IsNA(vlookup(C26,'Mar Att'!$I$2:$J$76,2,0)),0,vlookup(C26,'Mar Att'!$I$2:$J$76,2,0))</f>
        <v>2</v>
      </c>
      <c r="L26" s="60">
        <f t="shared" si="4"/>
        <v>25</v>
      </c>
    </row>
    <row r="27">
      <c r="A27" s="61" t="s">
        <v>343</v>
      </c>
      <c r="B27" s="61" t="s">
        <v>344</v>
      </c>
      <c r="C27" s="51" t="str">
        <f t="shared" si="1"/>
        <v>Vikram Murthi</v>
      </c>
      <c r="D27" s="61" t="s">
        <v>311</v>
      </c>
      <c r="E27" s="53" t="str">
        <f>vlookup(D27,'Invoice ClientIds'!$B$2:$D$100,3,0)</f>
        <v>27e08fe4-d057-4932-b633-7cfbf4b5a83a</v>
      </c>
      <c r="F27" s="18">
        <v>15.0</v>
      </c>
      <c r="G27" s="56" t="str">
        <f t="shared" si="2"/>
        <v>Vikram Murthi Mar Attendance - 4 sessions</v>
      </c>
      <c r="H27" s="26" t="s">
        <v>348</v>
      </c>
      <c r="I27" s="18">
        <v>1.0</v>
      </c>
      <c r="J27" s="56">
        <f t="shared" si="3"/>
        <v>40</v>
      </c>
      <c r="K27" s="56">
        <f>if(IsNA(vlookup(C27,'Mar Att'!$I$2:$J$76,2,0)),0,vlookup(C27,'Mar Att'!$I$2:$J$76,2,0))</f>
        <v>4</v>
      </c>
      <c r="L27" s="60">
        <f t="shared" si="4"/>
        <v>40</v>
      </c>
    </row>
    <row r="28">
      <c r="A28" s="49" t="s">
        <v>345</v>
      </c>
      <c r="B28" s="49" t="s">
        <v>346</v>
      </c>
      <c r="C28" s="51" t="str">
        <f t="shared" si="1"/>
        <v>Marlon Nacua</v>
      </c>
      <c r="D28" s="49" t="s">
        <v>87</v>
      </c>
      <c r="E28" s="53" t="str">
        <f>vlookup(D28,'Invoice ClientIds'!$B$2:$D$100,3,0)</f>
        <v>18</v>
      </c>
      <c r="F28" s="18">
        <v>15.0</v>
      </c>
      <c r="G28" s="56" t="str">
        <f t="shared" si="2"/>
        <v>Marlon Nacua Mar Attendance - 3 sessions</v>
      </c>
      <c r="H28" s="26" t="s">
        <v>348</v>
      </c>
      <c r="I28" s="18">
        <v>1.0</v>
      </c>
      <c r="J28" s="56">
        <f t="shared" si="3"/>
        <v>40</v>
      </c>
      <c r="K28" s="56">
        <f>if(IsNA(vlookup(C28,'Mar Att'!$I$2:$J$76,2,0)),0,vlookup(C28,'Mar Att'!$I$2:$J$76,2,0))</f>
        <v>3</v>
      </c>
      <c r="L28" s="60">
        <f t="shared" si="4"/>
        <v>40</v>
      </c>
    </row>
    <row r="29">
      <c r="A29" s="49" t="s">
        <v>347</v>
      </c>
      <c r="B29" s="49" t="s">
        <v>346</v>
      </c>
      <c r="C29" s="51" t="str">
        <f t="shared" si="1"/>
        <v>Lorraine Nacua</v>
      </c>
      <c r="D29" s="49" t="s">
        <v>87</v>
      </c>
      <c r="E29" s="53" t="str">
        <f>vlookup(D29,'Invoice ClientIds'!$B$2:$D$100,3,0)</f>
        <v>18</v>
      </c>
      <c r="F29" s="18">
        <v>15.0</v>
      </c>
      <c r="G29" s="56" t="str">
        <f t="shared" si="2"/>
        <v>Lorraine Nacua Mar Attendance - 4 sessions</v>
      </c>
      <c r="H29" s="26" t="s">
        <v>348</v>
      </c>
      <c r="I29" s="18">
        <v>1.0</v>
      </c>
      <c r="J29" s="56">
        <f t="shared" si="3"/>
        <v>40</v>
      </c>
      <c r="K29" s="56">
        <f>if(IsNA(vlookup(C29,'Mar Att'!$I$2:$J$76,2,0)),0,vlookup(C29,'Mar Att'!$I$2:$J$76,2,0))</f>
        <v>4</v>
      </c>
      <c r="L29" s="60">
        <f t="shared" si="4"/>
        <v>40</v>
      </c>
    </row>
    <row r="30">
      <c r="A30" s="61" t="s">
        <v>351</v>
      </c>
      <c r="B30" s="49" t="s">
        <v>350</v>
      </c>
      <c r="C30" s="51" t="str">
        <f t="shared" si="1"/>
        <v>Reiner Nalzaro</v>
      </c>
      <c r="D30" s="49" t="s">
        <v>128</v>
      </c>
      <c r="E30" s="53" t="str">
        <f>vlookup(D30,'Invoice ClientIds'!$B$2:$D$100,3,0)</f>
        <v>31</v>
      </c>
      <c r="F30" s="18">
        <v>15.0</v>
      </c>
      <c r="G30" s="56" t="str">
        <f t="shared" si="2"/>
        <v>Reiner Nalzaro Mar Attendance - 3 sessions</v>
      </c>
      <c r="H30" s="26" t="s">
        <v>348</v>
      </c>
      <c r="I30" s="18">
        <v>1.0</v>
      </c>
      <c r="J30" s="56">
        <f t="shared" si="3"/>
        <v>40</v>
      </c>
      <c r="K30" s="56">
        <f>if(IsNA(vlookup(C30,'Mar Att'!$I$2:$J$76,2,0)),0,vlookup(C30,'Mar Att'!$I$2:$J$76,2,0))</f>
        <v>3</v>
      </c>
      <c r="L30" s="60">
        <f t="shared" si="4"/>
        <v>40</v>
      </c>
    </row>
    <row r="31">
      <c r="A31" s="49" t="s">
        <v>349</v>
      </c>
      <c r="B31" s="49" t="s">
        <v>350</v>
      </c>
      <c r="C31" s="51" t="str">
        <f t="shared" si="1"/>
        <v>Reinhardt Nalzaro</v>
      </c>
      <c r="D31" s="61" t="s">
        <v>296</v>
      </c>
      <c r="E31" s="53" t="str">
        <f>vlookup(D31,'Invoice ClientIds'!$B$2:$D$100,3,0)</f>
        <v>e7de831f-d2aa-4e7a-b94c-36977657934d</v>
      </c>
      <c r="F31" s="18">
        <v>15.0</v>
      </c>
      <c r="G31" s="56" t="str">
        <f t="shared" si="2"/>
        <v>Reinhardt Nalzaro Mar Attendance - 3 sessions</v>
      </c>
      <c r="H31" s="26" t="s">
        <v>357</v>
      </c>
      <c r="I31" s="18">
        <v>1.0</v>
      </c>
      <c r="J31" s="56">
        <f t="shared" si="3"/>
        <v>25</v>
      </c>
      <c r="K31" s="56">
        <f>if(IsNA(vlookup(C31,'Mar Att'!$I$2:$J$76,2,0)),0,vlookup(C31,'Mar Att'!$I$2:$J$76,2,0))</f>
        <v>3</v>
      </c>
      <c r="L31" s="68">
        <v>25.0</v>
      </c>
    </row>
    <row r="32">
      <c r="A32" s="49" t="s">
        <v>352</v>
      </c>
      <c r="B32" s="49" t="s">
        <v>353</v>
      </c>
      <c r="C32" s="51" t="str">
        <f t="shared" si="1"/>
        <v>Jess Pangilinan</v>
      </c>
      <c r="D32" s="49" t="s">
        <v>140</v>
      </c>
      <c r="E32" s="53" t="str">
        <f>vlookup(D32,'Invoice ClientIds'!$B$2:$D$100,3,0)</f>
        <v>35</v>
      </c>
      <c r="F32" s="18">
        <v>15.0</v>
      </c>
      <c r="G32" s="56" t="str">
        <f t="shared" si="2"/>
        <v>Jess Pangilinan Mar Attendance - 2 sessions</v>
      </c>
      <c r="H32" s="26" t="s">
        <v>348</v>
      </c>
      <c r="I32" s="18">
        <v>1.0</v>
      </c>
      <c r="J32" s="56">
        <f t="shared" si="3"/>
        <v>25</v>
      </c>
      <c r="K32" s="56">
        <f>if(IsNA(vlookup(C32,'Mar Att'!$I$2:$J$76,2,0)),0,vlookup(C32,'Mar Att'!$I$2:$J$76,2,0))</f>
        <v>2</v>
      </c>
      <c r="L32" s="60">
        <f t="shared" ref="L32:L33" si="5">I32*J32</f>
        <v>25</v>
      </c>
    </row>
    <row r="33">
      <c r="A33" s="49" t="s">
        <v>354</v>
      </c>
      <c r="B33" s="49" t="s">
        <v>353</v>
      </c>
      <c r="C33" s="51" t="str">
        <f t="shared" si="1"/>
        <v>Terry Pangilinan</v>
      </c>
      <c r="D33" s="49" t="s">
        <v>140</v>
      </c>
      <c r="E33" s="53" t="str">
        <f>vlookup(D33,'Invoice ClientIds'!$B$2:$D$100,3,0)</f>
        <v>35</v>
      </c>
      <c r="F33" s="18">
        <v>15.0</v>
      </c>
      <c r="G33" s="56" t="str">
        <f t="shared" si="2"/>
        <v>Terry Pangilinan Mar Attendance - 2 sessions</v>
      </c>
      <c r="H33" s="26" t="s">
        <v>348</v>
      </c>
      <c r="I33" s="18">
        <v>1.0</v>
      </c>
      <c r="J33" s="56">
        <f t="shared" si="3"/>
        <v>25</v>
      </c>
      <c r="K33" s="56">
        <f>if(IsNA(vlookup(C33,'Mar Att'!$I$2:$J$76,2,0)),0,vlookup(C33,'Mar Att'!$I$2:$J$76,2,0))</f>
        <v>2</v>
      </c>
      <c r="L33" s="60">
        <f t="shared" si="5"/>
        <v>25</v>
      </c>
    </row>
    <row r="34">
      <c r="A34" s="49" t="s">
        <v>356</v>
      </c>
      <c r="B34" s="49" t="s">
        <v>353</v>
      </c>
      <c r="C34" s="51" t="str">
        <f t="shared" si="1"/>
        <v>Nina Pangilinan</v>
      </c>
      <c r="D34" s="49" t="s">
        <v>140</v>
      </c>
      <c r="E34" s="53" t="str">
        <f>vlookup(D34,'Invoice ClientIds'!$B$2:$D$100,3,0)</f>
        <v>35</v>
      </c>
      <c r="F34" s="18">
        <v>15.0</v>
      </c>
      <c r="G34" s="56" t="str">
        <f t="shared" si="2"/>
        <v>Nina Pangilinan Mar Attendance - 1 session</v>
      </c>
      <c r="H34" s="26" t="s">
        <v>357</v>
      </c>
      <c r="I34" s="18">
        <v>1.0</v>
      </c>
      <c r="J34" s="56">
        <f t="shared" si="3"/>
        <v>25</v>
      </c>
      <c r="K34" s="56">
        <f>if(IsNA(vlookup(C34,'Mar Att'!$I$2:$J$76,2,0)),0,vlookup(C34,'Mar Att'!$I$2:$J$76,2,0))</f>
        <v>1</v>
      </c>
      <c r="L34" s="68">
        <v>25.0</v>
      </c>
    </row>
    <row r="35">
      <c r="A35" s="49" t="s">
        <v>355</v>
      </c>
      <c r="B35" s="49" t="s">
        <v>353</v>
      </c>
      <c r="C35" s="51" t="str">
        <f t="shared" si="1"/>
        <v>Ceth Pangilinan</v>
      </c>
      <c r="D35" s="49" t="s">
        <v>140</v>
      </c>
      <c r="E35" s="53" t="str">
        <f>vlookup(D35,'Invoice ClientIds'!$B$2:$D$100,3,0)</f>
        <v>35</v>
      </c>
      <c r="F35" s="18">
        <v>15.0</v>
      </c>
      <c r="G35" s="56" t="str">
        <f t="shared" si="2"/>
        <v>Ceth Pangilinan Mar Attendance - 2 sessions</v>
      </c>
      <c r="H35" s="26" t="s">
        <v>357</v>
      </c>
      <c r="I35" s="18">
        <v>1.0</v>
      </c>
      <c r="J35" s="56">
        <f t="shared" si="3"/>
        <v>25</v>
      </c>
      <c r="K35" s="56">
        <f>if(IsNA(vlookup(C35,'Mar Att'!$I$2:$J$76,2,0)),0,vlookup(C35,'Mar Att'!$I$2:$J$76,2,0))</f>
        <v>2</v>
      </c>
      <c r="L35" s="68">
        <v>25.0</v>
      </c>
    </row>
    <row r="36">
      <c r="A36" s="49" t="s">
        <v>358</v>
      </c>
      <c r="B36" s="49" t="s">
        <v>359</v>
      </c>
      <c r="C36" s="51" t="str">
        <f t="shared" si="1"/>
        <v>Allan Puente</v>
      </c>
      <c r="D36" s="49" t="s">
        <v>41</v>
      </c>
      <c r="E36" s="53" t="str">
        <f>vlookup(D36,'Invoice ClientIds'!$B$2:$D$100,3,0)</f>
        <v>4</v>
      </c>
      <c r="F36" s="18">
        <v>15.0</v>
      </c>
      <c r="G36" s="56" t="str">
        <f t="shared" si="2"/>
        <v>Allan Puente Mar Attendance - 2 sessions</v>
      </c>
      <c r="H36" s="26" t="s">
        <v>348</v>
      </c>
      <c r="I36" s="18">
        <v>1.0</v>
      </c>
      <c r="J36" s="56">
        <f t="shared" si="3"/>
        <v>25</v>
      </c>
      <c r="K36" s="56">
        <f>if(IsNA(vlookup(C36,'Mar Att'!$I$2:$J$76,2,0)),0,vlookup(C36,'Mar Att'!$I$2:$J$76,2,0))</f>
        <v>2</v>
      </c>
      <c r="L36" s="60">
        <f t="shared" ref="L36:L48" si="6">I36*J36</f>
        <v>25</v>
      </c>
    </row>
    <row r="37">
      <c r="A37" s="49" t="s">
        <v>361</v>
      </c>
      <c r="B37" s="49" t="s">
        <v>362</v>
      </c>
      <c r="C37" s="51" t="str">
        <f t="shared" si="1"/>
        <v>Rodel Rillera</v>
      </c>
      <c r="D37" s="49" t="s">
        <v>94</v>
      </c>
      <c r="E37" s="53" t="str">
        <f>vlookup(D37,'Invoice ClientIds'!$B$2:$D$100,3,0)</f>
        <v>20</v>
      </c>
      <c r="F37" s="18">
        <v>15.0</v>
      </c>
      <c r="G37" s="56" t="str">
        <f t="shared" si="2"/>
        <v>Rodel Rillera Mar Attendance - 3 sessions</v>
      </c>
      <c r="H37" s="26" t="s">
        <v>348</v>
      </c>
      <c r="I37" s="18">
        <v>1.0</v>
      </c>
      <c r="J37" s="56">
        <f t="shared" si="3"/>
        <v>40</v>
      </c>
      <c r="K37" s="56">
        <f>if(IsNA(vlookup(C37,'Mar Att'!$I$2:$J$76,2,0)),0,vlookup(C37,'Mar Att'!$I$2:$J$76,2,0))</f>
        <v>3</v>
      </c>
      <c r="L37" s="60">
        <f t="shared" si="6"/>
        <v>40</v>
      </c>
    </row>
    <row r="38">
      <c r="A38" s="49" t="s">
        <v>367</v>
      </c>
      <c r="B38" s="49" t="s">
        <v>362</v>
      </c>
      <c r="C38" s="51" t="str">
        <f t="shared" si="1"/>
        <v>Marianne Rillera</v>
      </c>
      <c r="D38" s="49" t="s">
        <v>94</v>
      </c>
      <c r="E38" s="53" t="str">
        <f>vlookup(D38,'Invoice ClientIds'!$B$2:$D$100,3,0)</f>
        <v>20</v>
      </c>
      <c r="F38" s="18">
        <v>15.0</v>
      </c>
      <c r="G38" s="56" t="str">
        <f t="shared" si="2"/>
        <v>Marianne Rillera Mar Attendance - 4 sessions</v>
      </c>
      <c r="H38" s="26" t="s">
        <v>348</v>
      </c>
      <c r="I38" s="18">
        <v>1.0</v>
      </c>
      <c r="J38" s="56">
        <f t="shared" si="3"/>
        <v>40</v>
      </c>
      <c r="K38" s="56">
        <f>if(IsNA(vlookup(C38,'Mar Att'!$I$2:$J$76,2,0)),0,vlookup(C38,'Mar Att'!$I$2:$J$76,2,0))</f>
        <v>4</v>
      </c>
      <c r="L38" s="60">
        <f t="shared" si="6"/>
        <v>40</v>
      </c>
    </row>
    <row r="39">
      <c r="A39" s="61" t="s">
        <v>370</v>
      </c>
      <c r="B39" s="61" t="s">
        <v>372</v>
      </c>
      <c r="C39" s="51" t="str">
        <f t="shared" si="1"/>
        <v>Rinaldi Roque</v>
      </c>
      <c r="D39" s="61" t="s">
        <v>307</v>
      </c>
      <c r="E39" s="53" t="str">
        <f>vlookup(D39,'Invoice ClientIds'!$B$2:$D$100,3,0)</f>
        <v>d03b3e08-1f8e-489e-a104-04f382902878</v>
      </c>
      <c r="F39" s="18">
        <v>15.0</v>
      </c>
      <c r="G39" s="56" t="str">
        <f t="shared" si="2"/>
        <v>Rinaldi Roque Mar Attendance - 3 sessions</v>
      </c>
      <c r="H39" s="26" t="s">
        <v>348</v>
      </c>
      <c r="I39" s="18">
        <v>1.0</v>
      </c>
      <c r="J39" s="56">
        <f t="shared" si="3"/>
        <v>40</v>
      </c>
      <c r="K39" s="56">
        <f>if(IsNA(vlookup(C39,'Mar Att'!$I$2:$J$76,2,0)),0,vlookup(C39,'Mar Att'!$I$2:$J$76,2,0))</f>
        <v>3</v>
      </c>
      <c r="L39" s="60">
        <f t="shared" si="6"/>
        <v>40</v>
      </c>
    </row>
    <row r="40">
      <c r="A40" s="49" t="s">
        <v>378</v>
      </c>
      <c r="B40" s="49" t="s">
        <v>379</v>
      </c>
      <c r="C40" s="51" t="str">
        <f t="shared" si="1"/>
        <v>Gay Salac</v>
      </c>
      <c r="D40" s="49" t="s">
        <v>91</v>
      </c>
      <c r="E40" s="53" t="str">
        <f>vlookup(D40,'Invoice ClientIds'!$B$2:$D$100,3,0)</f>
        <v>19</v>
      </c>
      <c r="F40" s="18">
        <v>15.0</v>
      </c>
      <c r="G40" s="56" t="str">
        <f t="shared" si="2"/>
        <v>Gay Salac Mar Attendance - 4 sessions</v>
      </c>
      <c r="H40" s="26" t="s">
        <v>348</v>
      </c>
      <c r="I40" s="18">
        <v>1.0</v>
      </c>
      <c r="J40" s="56">
        <f t="shared" si="3"/>
        <v>40</v>
      </c>
      <c r="K40" s="56">
        <f>if(IsNA(vlookup(C40,'Mar Att'!$I$2:$J$76,2,0)),0,vlookup(C40,'Mar Att'!$I$2:$J$76,2,0))</f>
        <v>4</v>
      </c>
      <c r="L40" s="60">
        <f t="shared" si="6"/>
        <v>40</v>
      </c>
    </row>
    <row r="41">
      <c r="A41" s="49" t="s">
        <v>387</v>
      </c>
      <c r="B41" s="49" t="s">
        <v>379</v>
      </c>
      <c r="C41" s="51" t="str">
        <f t="shared" si="1"/>
        <v>Manny Salac</v>
      </c>
      <c r="D41" s="49" t="s">
        <v>91</v>
      </c>
      <c r="E41" s="53" t="str">
        <f>vlookup(D41,'Invoice ClientIds'!$B$2:$D$100,3,0)</f>
        <v>19</v>
      </c>
      <c r="F41" s="18">
        <v>15.0</v>
      </c>
      <c r="G41" s="56" t="str">
        <f t="shared" si="2"/>
        <v>Manny Salac Mar Attendance - 4 sessions</v>
      </c>
      <c r="H41" s="26" t="s">
        <v>348</v>
      </c>
      <c r="I41" s="18">
        <v>1.0</v>
      </c>
      <c r="J41" s="56">
        <f t="shared" si="3"/>
        <v>40</v>
      </c>
      <c r="K41" s="56">
        <f>if(IsNA(vlookup(C41,'Mar Att'!$I$2:$J$76,2,0)),0,vlookup(C41,'Mar Att'!$I$2:$J$76,2,0))</f>
        <v>4</v>
      </c>
      <c r="L41" s="60">
        <f t="shared" si="6"/>
        <v>40</v>
      </c>
    </row>
    <row r="42">
      <c r="A42" s="49" t="s">
        <v>393</v>
      </c>
      <c r="B42" s="49" t="s">
        <v>394</v>
      </c>
      <c r="C42" s="51" t="str">
        <f t="shared" si="1"/>
        <v>Al Saulon</v>
      </c>
      <c r="D42" s="49" t="s">
        <v>30</v>
      </c>
      <c r="E42" s="53" t="str">
        <f>vlookup(D42,'Invoice ClientIds'!$B$2:$D$100,3,0)</f>
        <v>2</v>
      </c>
      <c r="F42" s="18">
        <v>15.0</v>
      </c>
      <c r="G42" s="56" t="str">
        <f t="shared" si="2"/>
        <v>Al Saulon Mar Attendance - 4 sessions</v>
      </c>
      <c r="H42" s="26" t="s">
        <v>348</v>
      </c>
      <c r="I42" s="18">
        <v>1.0</v>
      </c>
      <c r="J42" s="56">
        <f t="shared" si="3"/>
        <v>40</v>
      </c>
      <c r="K42" s="56">
        <f>if(IsNA(vlookup(C42,'Mar Att'!$I$2:$J$76,2,0)),0,vlookup(C42,'Mar Att'!$I$2:$J$76,2,0))</f>
        <v>4</v>
      </c>
      <c r="L42" s="60">
        <f t="shared" si="6"/>
        <v>40</v>
      </c>
    </row>
    <row r="43">
      <c r="A43" s="49" t="s">
        <v>396</v>
      </c>
      <c r="B43" s="49" t="s">
        <v>394</v>
      </c>
      <c r="C43" s="51" t="str">
        <f t="shared" si="1"/>
        <v>Charrylou Saulon</v>
      </c>
      <c r="D43" s="49" t="s">
        <v>30</v>
      </c>
      <c r="E43" s="53" t="str">
        <f>vlookup(D43,'Invoice ClientIds'!$B$2:$D$100,3,0)</f>
        <v>2</v>
      </c>
      <c r="F43" s="18">
        <v>15.0</v>
      </c>
      <c r="G43" s="56" t="str">
        <f t="shared" si="2"/>
        <v>Charrylou Saulon Mar Attendance - 2 sessions</v>
      </c>
      <c r="H43" s="26" t="s">
        <v>348</v>
      </c>
      <c r="I43" s="18">
        <v>1.0</v>
      </c>
      <c r="J43" s="56">
        <f t="shared" si="3"/>
        <v>25</v>
      </c>
      <c r="K43" s="56">
        <f>if(IsNA(vlookup(C43,'Mar Att'!$I$2:$J$76,2,0)),0,vlookup(C43,'Mar Att'!$I$2:$J$76,2,0))</f>
        <v>2</v>
      </c>
      <c r="L43" s="60">
        <f t="shared" si="6"/>
        <v>25</v>
      </c>
    </row>
    <row r="44">
      <c r="A44" s="61" t="s">
        <v>401</v>
      </c>
      <c r="B44" s="49" t="s">
        <v>402</v>
      </c>
      <c r="C44" s="51" t="str">
        <f t="shared" si="1"/>
        <v>Ding Vega</v>
      </c>
      <c r="D44" s="49" t="s">
        <v>55</v>
      </c>
      <c r="E44" s="53" t="str">
        <f>vlookup(D44,'Invoice ClientIds'!$B$2:$D$100,3,0)</f>
        <v>9</v>
      </c>
      <c r="F44" s="18">
        <v>15.0</v>
      </c>
      <c r="G44" s="56" t="str">
        <f t="shared" si="2"/>
        <v>Ding Vega Mar Attendance - 3 sessions</v>
      </c>
      <c r="H44" s="26" t="s">
        <v>348</v>
      </c>
      <c r="I44" s="18">
        <v>1.0</v>
      </c>
      <c r="J44" s="56">
        <f t="shared" si="3"/>
        <v>40</v>
      </c>
      <c r="K44" s="56">
        <f>if(IsNA(vlookup(C44,'Mar Att'!$I$2:$J$76,2,0)),0,vlookup(C44,'Mar Att'!$I$2:$J$76,2,0))</f>
        <v>3</v>
      </c>
      <c r="L44" s="60">
        <f t="shared" si="6"/>
        <v>40</v>
      </c>
    </row>
    <row r="45">
      <c r="A45" s="61" t="s">
        <v>404</v>
      </c>
      <c r="B45" s="49" t="s">
        <v>402</v>
      </c>
      <c r="C45" s="51" t="str">
        <f t="shared" si="1"/>
        <v>Jodee Vega</v>
      </c>
      <c r="D45" s="49" t="s">
        <v>55</v>
      </c>
      <c r="E45" s="53" t="str">
        <f>vlookup(D45,'Invoice ClientIds'!$B$2:$D$100,3,0)</f>
        <v>9</v>
      </c>
      <c r="F45" s="18">
        <v>15.0</v>
      </c>
      <c r="G45" s="56" t="str">
        <f t="shared" si="2"/>
        <v>Jodee Vega Mar Attendance - 3 sessions</v>
      </c>
      <c r="H45" s="26" t="s">
        <v>357</v>
      </c>
      <c r="I45" s="18">
        <v>1.0</v>
      </c>
      <c r="J45" s="56">
        <f t="shared" si="3"/>
        <v>25</v>
      </c>
      <c r="K45" s="56">
        <f>if(IsNA(vlookup(C45,'Mar Att'!$I$2:$J$76,2,0)),0,vlookup(C45,'Mar Att'!$I$2:$J$76,2,0))</f>
        <v>3</v>
      </c>
      <c r="L45" s="60">
        <f t="shared" si="6"/>
        <v>25</v>
      </c>
    </row>
    <row r="46">
      <c r="A46" s="61" t="s">
        <v>405</v>
      </c>
      <c r="B46" s="61" t="s">
        <v>406</v>
      </c>
      <c r="C46" s="51" t="str">
        <f t="shared" si="1"/>
        <v>Leo Villanueva</v>
      </c>
      <c r="D46" s="49" t="s">
        <v>287</v>
      </c>
      <c r="E46" s="66">
        <v>76.0</v>
      </c>
      <c r="F46" s="18">
        <v>15.0</v>
      </c>
      <c r="G46" s="56" t="str">
        <f t="shared" si="2"/>
        <v>Leo Villanueva Mar Attendance - 4 sessions</v>
      </c>
      <c r="H46" s="26" t="s">
        <v>348</v>
      </c>
      <c r="I46" s="18">
        <v>1.0</v>
      </c>
      <c r="J46" s="56">
        <f t="shared" si="3"/>
        <v>40</v>
      </c>
      <c r="K46" s="56">
        <f>if(IsNA(vlookup(C46,'Mar Att'!$I$2:$J$76,2,0)),0,vlookup(C46,'Mar Att'!$I$2:$J$76,2,0))</f>
        <v>4</v>
      </c>
      <c r="L46" s="60">
        <f t="shared" si="6"/>
        <v>40</v>
      </c>
    </row>
    <row r="47">
      <c r="A47" s="61" t="s">
        <v>407</v>
      </c>
      <c r="B47" s="61" t="s">
        <v>406</v>
      </c>
      <c r="C47" s="51" t="str">
        <f t="shared" si="1"/>
        <v>Lance Villanueva</v>
      </c>
      <c r="D47" s="49" t="s">
        <v>287</v>
      </c>
      <c r="E47" s="66">
        <v>76.0</v>
      </c>
      <c r="F47" s="18">
        <v>15.0</v>
      </c>
      <c r="G47" s="56" t="str">
        <f t="shared" si="2"/>
        <v>Lance Villanueva Mar Attendance - 3 sessions</v>
      </c>
      <c r="H47" s="26" t="s">
        <v>357</v>
      </c>
      <c r="I47" s="18">
        <v>1.0</v>
      </c>
      <c r="J47" s="56">
        <f t="shared" si="3"/>
        <v>25</v>
      </c>
      <c r="K47" s="56">
        <f>if(IsNA(vlookup(C47,'Mar Att'!$I$2:$J$76,2,0)),0,vlookup(C47,'Mar Att'!$I$2:$J$76,2,0))</f>
        <v>3</v>
      </c>
      <c r="L47" s="60">
        <f t="shared" si="6"/>
        <v>25</v>
      </c>
    </row>
    <row r="48">
      <c r="A48" s="49" t="s">
        <v>398</v>
      </c>
      <c r="B48" s="49" t="s">
        <v>399</v>
      </c>
      <c r="C48" s="51" t="str">
        <f t="shared" si="1"/>
        <v>Wilfred Tupaz</v>
      </c>
      <c r="D48" s="49" t="s">
        <v>229</v>
      </c>
      <c r="E48" s="53">
        <f>vlookup(D48,'Invoice ClientIds'!$B$2:$D$100,3,0)</f>
        <v>59</v>
      </c>
      <c r="F48" s="18">
        <v>15.0</v>
      </c>
      <c r="G48" s="56" t="str">
        <f t="shared" si="2"/>
        <v>Wilfred Tupaz Mar Attendance - 0 sessions</v>
      </c>
      <c r="H48" s="26" t="s">
        <v>348</v>
      </c>
      <c r="I48" s="18">
        <v>1.0</v>
      </c>
      <c r="J48" s="56">
        <f t="shared" si="3"/>
        <v>25</v>
      </c>
      <c r="K48" s="56">
        <f>if(IsNA(vlookup(C48,'Mar Att'!$I$2:$J$76,2,0)),0,vlookup(C48,'Mar Att'!$I$2:$J$76,2,0))</f>
        <v>0</v>
      </c>
      <c r="L48" s="60">
        <f t="shared" si="6"/>
        <v>25</v>
      </c>
    </row>
    <row r="49">
      <c r="E49" s="69"/>
    </row>
    <row r="50">
      <c r="A50" s="49" t="s">
        <v>242</v>
      </c>
      <c r="B50" s="49" t="s">
        <v>244</v>
      </c>
      <c r="C50" s="51" t="str">
        <f t="shared" ref="C50:C58" si="7">CONCATENATE(A50, " ",B50)</f>
        <v>Mark Dasco</v>
      </c>
      <c r="D50" s="49" t="s">
        <v>98</v>
      </c>
      <c r="E50" s="53" t="str">
        <f>vlookup(D50,'Invoice ClientIds'!$B$2:$D$100,3,0)</f>
        <v>21</v>
      </c>
      <c r="F50" s="18">
        <v>15.0</v>
      </c>
      <c r="G50" s="70" t="s">
        <v>465</v>
      </c>
      <c r="H50" s="71" t="s">
        <v>441</v>
      </c>
      <c r="I50" s="70">
        <v>7.0</v>
      </c>
      <c r="J50" s="70">
        <v>15.0</v>
      </c>
      <c r="K50" s="70"/>
      <c r="L50" s="60">
        <f t="shared" ref="L50:L58" si="8">I50*J50</f>
        <v>105</v>
      </c>
    </row>
    <row r="51">
      <c r="A51" s="49" t="s">
        <v>242</v>
      </c>
      <c r="B51" s="49" t="s">
        <v>244</v>
      </c>
      <c r="C51" s="51" t="str">
        <f t="shared" si="7"/>
        <v>Mark Dasco</v>
      </c>
      <c r="D51" s="49" t="s">
        <v>98</v>
      </c>
      <c r="E51" s="53" t="str">
        <f>vlookup(D51,'Invoice ClientIds'!$B$2:$D$100,3,0)</f>
        <v>21</v>
      </c>
      <c r="F51" s="18">
        <v>15.0</v>
      </c>
      <c r="G51" s="70" t="s">
        <v>491</v>
      </c>
      <c r="H51" s="71" t="s">
        <v>441</v>
      </c>
      <c r="I51" s="70">
        <v>5.0</v>
      </c>
      <c r="J51" s="70">
        <v>15.0</v>
      </c>
      <c r="K51" s="70"/>
      <c r="L51" s="60">
        <f t="shared" si="8"/>
        <v>75</v>
      </c>
    </row>
    <row r="52">
      <c r="A52" s="49" t="s">
        <v>393</v>
      </c>
      <c r="B52" s="49" t="s">
        <v>394</v>
      </c>
      <c r="C52" s="51" t="str">
        <f t="shared" si="7"/>
        <v>Al Saulon</v>
      </c>
      <c r="D52" s="49" t="s">
        <v>30</v>
      </c>
      <c r="E52" s="53" t="str">
        <f>vlookup(D52,'Invoice ClientIds'!$B$2:$D$100,3,0)</f>
        <v>2</v>
      </c>
      <c r="F52" s="18">
        <v>15.0</v>
      </c>
      <c r="G52" s="70" t="s">
        <v>492</v>
      </c>
      <c r="H52" s="71" t="s">
        <v>441</v>
      </c>
      <c r="I52" s="70">
        <v>4.0</v>
      </c>
      <c r="J52" s="70">
        <v>15.0</v>
      </c>
      <c r="K52" s="70"/>
      <c r="L52" s="60">
        <f t="shared" si="8"/>
        <v>60</v>
      </c>
    </row>
    <row r="53">
      <c r="A53" s="49" t="s">
        <v>242</v>
      </c>
      <c r="B53" s="49" t="s">
        <v>244</v>
      </c>
      <c r="C53" s="51" t="str">
        <f t="shared" si="7"/>
        <v>Mark Dasco</v>
      </c>
      <c r="D53" s="49" t="s">
        <v>98</v>
      </c>
      <c r="E53" s="53" t="str">
        <f>vlookup(D53,'Invoice ClientIds'!$B$2:$D$100,3,0)</f>
        <v>21</v>
      </c>
      <c r="F53" s="18">
        <v>15.0</v>
      </c>
      <c r="G53" s="70" t="s">
        <v>493</v>
      </c>
      <c r="H53" s="71" t="s">
        <v>441</v>
      </c>
      <c r="I53" s="70">
        <v>7.0</v>
      </c>
      <c r="J53" s="70">
        <v>15.0</v>
      </c>
      <c r="K53" s="70"/>
      <c r="L53" s="60">
        <f t="shared" si="8"/>
        <v>105</v>
      </c>
    </row>
    <row r="54">
      <c r="A54" s="49" t="s">
        <v>242</v>
      </c>
      <c r="B54" s="49" t="s">
        <v>244</v>
      </c>
      <c r="C54" s="51" t="str">
        <f t="shared" si="7"/>
        <v>Mark Dasco</v>
      </c>
      <c r="D54" s="49" t="s">
        <v>98</v>
      </c>
      <c r="E54" s="53" t="str">
        <f>vlookup(D54,'Invoice ClientIds'!$B$2:$D$100,3,0)</f>
        <v>21</v>
      </c>
      <c r="F54" s="18">
        <v>15.0</v>
      </c>
      <c r="G54" s="70" t="s">
        <v>494</v>
      </c>
      <c r="H54" s="71" t="s">
        <v>441</v>
      </c>
      <c r="I54" s="70">
        <v>0.0</v>
      </c>
      <c r="J54" s="70">
        <v>15.0</v>
      </c>
      <c r="K54" s="70"/>
      <c r="L54" s="60">
        <f t="shared" si="8"/>
        <v>0</v>
      </c>
    </row>
    <row r="55">
      <c r="A55" s="49" t="s">
        <v>242</v>
      </c>
      <c r="B55" s="49" t="s">
        <v>244</v>
      </c>
      <c r="C55" s="51" t="str">
        <f t="shared" si="7"/>
        <v>Mark Dasco</v>
      </c>
      <c r="D55" s="49" t="s">
        <v>98</v>
      </c>
      <c r="E55" s="53" t="str">
        <f>vlookup(D55,'Invoice ClientIds'!$B$2:$D$100,3,0)</f>
        <v>21</v>
      </c>
      <c r="F55" s="18">
        <v>15.0</v>
      </c>
      <c r="G55" s="70" t="s">
        <v>491</v>
      </c>
      <c r="H55" s="71" t="s">
        <v>446</v>
      </c>
      <c r="I55" s="70">
        <v>0.0</v>
      </c>
      <c r="J55" s="70">
        <v>10.0</v>
      </c>
      <c r="K55" s="70"/>
      <c r="L55" s="60">
        <f t="shared" si="8"/>
        <v>0</v>
      </c>
    </row>
    <row r="56">
      <c r="A56" s="49" t="s">
        <v>393</v>
      </c>
      <c r="B56" s="49" t="s">
        <v>394</v>
      </c>
      <c r="C56" s="51" t="str">
        <f t="shared" si="7"/>
        <v>Al Saulon</v>
      </c>
      <c r="D56" s="49" t="s">
        <v>30</v>
      </c>
      <c r="E56" s="53" t="str">
        <f>vlookup(D56,'Invoice ClientIds'!$B$2:$D$100,3,0)</f>
        <v>2</v>
      </c>
      <c r="F56" s="18">
        <v>15.0</v>
      </c>
      <c r="G56" s="70" t="s">
        <v>492</v>
      </c>
      <c r="H56" s="71" t="s">
        <v>446</v>
      </c>
      <c r="I56" s="70">
        <v>2.0</v>
      </c>
      <c r="J56" s="70">
        <v>10.0</v>
      </c>
      <c r="K56" s="70"/>
      <c r="L56" s="60">
        <f t="shared" si="8"/>
        <v>20</v>
      </c>
    </row>
    <row r="57">
      <c r="A57" s="49" t="s">
        <v>242</v>
      </c>
      <c r="B57" s="49" t="s">
        <v>244</v>
      </c>
      <c r="C57" s="51" t="str">
        <f t="shared" si="7"/>
        <v>Mark Dasco</v>
      </c>
      <c r="D57" s="49" t="s">
        <v>98</v>
      </c>
      <c r="E57" s="53" t="str">
        <f>vlookup(D57,'Invoice ClientIds'!$B$2:$D$100,3,0)</f>
        <v>21</v>
      </c>
      <c r="F57" s="18">
        <v>15.0</v>
      </c>
      <c r="G57" s="70" t="s">
        <v>493</v>
      </c>
      <c r="H57" s="71" t="s">
        <v>446</v>
      </c>
      <c r="I57" s="70">
        <v>0.0</v>
      </c>
      <c r="J57" s="70">
        <v>10.0</v>
      </c>
      <c r="K57" s="70"/>
      <c r="L57" s="60">
        <f t="shared" si="8"/>
        <v>0</v>
      </c>
    </row>
    <row r="58">
      <c r="A58" s="49" t="s">
        <v>242</v>
      </c>
      <c r="B58" s="49" t="s">
        <v>244</v>
      </c>
      <c r="C58" s="51" t="str">
        <f t="shared" si="7"/>
        <v>Mark Dasco</v>
      </c>
      <c r="D58" s="49" t="s">
        <v>98</v>
      </c>
      <c r="E58" s="53" t="str">
        <f>vlookup(D58,'Invoice ClientIds'!$B$2:$D$100,3,0)</f>
        <v>21</v>
      </c>
      <c r="F58" s="18">
        <v>15.0</v>
      </c>
      <c r="G58" s="70" t="s">
        <v>494</v>
      </c>
      <c r="H58" s="71" t="s">
        <v>446</v>
      </c>
      <c r="I58" s="70">
        <v>0.0</v>
      </c>
      <c r="J58" s="70">
        <v>10.0</v>
      </c>
      <c r="K58" s="70"/>
      <c r="L58" s="60">
        <f t="shared" si="8"/>
        <v>0</v>
      </c>
    </row>
    <row r="59">
      <c r="A59" s="61"/>
      <c r="B59" s="61"/>
      <c r="C59" s="51"/>
      <c r="D59" s="49"/>
      <c r="E59" s="66"/>
      <c r="F59" s="18"/>
      <c r="G59" s="70"/>
      <c r="H59" s="71"/>
      <c r="I59" s="70"/>
      <c r="J59" s="70"/>
      <c r="K59" s="70"/>
      <c r="L59" s="60"/>
    </row>
    <row r="60">
      <c r="A60" s="61" t="s">
        <v>152</v>
      </c>
      <c r="B60" s="61" t="s">
        <v>153</v>
      </c>
      <c r="C60" s="51" t="str">
        <f t="shared" ref="C60:C62" si="9">CONCATENATE(A60, " ",B60)</f>
        <v>Gloria Araullo</v>
      </c>
      <c r="D60" s="49" t="s">
        <v>67</v>
      </c>
      <c r="E60" s="66">
        <v>12.0</v>
      </c>
      <c r="F60" s="18">
        <v>15.0</v>
      </c>
      <c r="G60" s="70" t="s">
        <v>495</v>
      </c>
      <c r="H60" s="71" t="s">
        <v>446</v>
      </c>
      <c r="I60" s="70">
        <v>1.0</v>
      </c>
      <c r="J60" s="70">
        <v>10.0</v>
      </c>
      <c r="K60" s="70"/>
      <c r="L60" s="60">
        <f t="shared" ref="L60:L62" si="10">I60*J60</f>
        <v>10</v>
      </c>
    </row>
    <row r="61">
      <c r="A61" s="61" t="s">
        <v>152</v>
      </c>
      <c r="B61" s="61" t="s">
        <v>153</v>
      </c>
      <c r="C61" s="51" t="str">
        <f t="shared" si="9"/>
        <v>Gloria Araullo</v>
      </c>
      <c r="D61" s="49" t="s">
        <v>67</v>
      </c>
      <c r="E61" s="66">
        <v>12.0</v>
      </c>
      <c r="F61" s="18">
        <v>15.0</v>
      </c>
      <c r="G61" s="70" t="s">
        <v>496</v>
      </c>
      <c r="H61" s="71" t="s">
        <v>446</v>
      </c>
      <c r="I61" s="70">
        <v>1.0</v>
      </c>
      <c r="J61" s="70">
        <v>10.0</v>
      </c>
      <c r="K61" s="70"/>
      <c r="L61" s="60">
        <f t="shared" si="10"/>
        <v>10</v>
      </c>
    </row>
    <row r="62">
      <c r="A62" s="61" t="s">
        <v>418</v>
      </c>
      <c r="B62" s="61" t="s">
        <v>463</v>
      </c>
      <c r="C62" s="51" t="str">
        <f t="shared" si="9"/>
        <v>Alden Peregrino</v>
      </c>
      <c r="D62" s="49" t="s">
        <v>38</v>
      </c>
      <c r="E62" s="66">
        <v>3.0</v>
      </c>
      <c r="F62" s="27">
        <v>15.0</v>
      </c>
      <c r="G62" s="70" t="s">
        <v>497</v>
      </c>
      <c r="H62" s="71" t="s">
        <v>441</v>
      </c>
      <c r="I62" s="70">
        <v>1.0</v>
      </c>
      <c r="J62" s="70">
        <v>15.0</v>
      </c>
      <c r="K62" s="70"/>
      <c r="L62" s="60">
        <f t="shared" si="10"/>
        <v>15</v>
      </c>
    </row>
    <row r="63">
      <c r="A63" s="49"/>
      <c r="B63" s="49"/>
      <c r="C63" s="51"/>
      <c r="D63" s="49"/>
      <c r="E63" s="53"/>
      <c r="F63" s="18"/>
      <c r="G63" s="70"/>
      <c r="H63" s="70"/>
      <c r="I63" s="70"/>
      <c r="J63" s="70"/>
      <c r="K63" s="70"/>
      <c r="L63" s="60"/>
    </row>
    <row r="64">
      <c r="A64" s="49"/>
      <c r="B64" s="49"/>
      <c r="C64" s="51"/>
      <c r="D64" s="49"/>
      <c r="E64" s="53"/>
      <c r="F64" s="18"/>
      <c r="G64" s="70"/>
      <c r="H64" s="71"/>
      <c r="I64" s="70"/>
      <c r="J64" s="70"/>
      <c r="K64" s="70"/>
      <c r="L64" s="60"/>
    </row>
    <row r="65">
      <c r="A65" s="49" t="s">
        <v>242</v>
      </c>
      <c r="B65" s="49" t="s">
        <v>244</v>
      </c>
      <c r="C65" s="51" t="str">
        <f t="shared" ref="C65:C66" si="11">CONCATENATE(A65, " ",B65)</f>
        <v>Mark Dasco</v>
      </c>
      <c r="D65" s="49" t="s">
        <v>98</v>
      </c>
      <c r="E65" s="53" t="str">
        <f>vlookup(D65,'Invoice ClientIds'!$B$2:$D$100,3,0)</f>
        <v>21</v>
      </c>
      <c r="F65" s="18">
        <v>15.0</v>
      </c>
      <c r="G65" s="70" t="s">
        <v>498</v>
      </c>
      <c r="H65" s="71" t="s">
        <v>499</v>
      </c>
      <c r="I65" s="70">
        <v>1.0</v>
      </c>
      <c r="J65" s="70">
        <v>-180.0</v>
      </c>
      <c r="K65" s="70"/>
      <c r="L65" s="60">
        <f>-(L50+L51)</f>
        <v>-180</v>
      </c>
    </row>
    <row r="66">
      <c r="A66" s="49" t="s">
        <v>367</v>
      </c>
      <c r="B66" s="49" t="s">
        <v>362</v>
      </c>
      <c r="C66" s="51" t="str">
        <f t="shared" si="11"/>
        <v>Marianne Rillera</v>
      </c>
      <c r="D66" s="49" t="s">
        <v>94</v>
      </c>
      <c r="E66" s="53" t="str">
        <f>vlookup(D66,'Invoice ClientIds'!$B$2:$D$100,3,0)</f>
        <v>20</v>
      </c>
      <c r="F66" s="18">
        <v>15.0</v>
      </c>
      <c r="G66" s="70" t="s">
        <v>500</v>
      </c>
      <c r="H66" s="71" t="s">
        <v>450</v>
      </c>
      <c r="I66" s="70">
        <v>1.0</v>
      </c>
      <c r="J66" s="70">
        <v>30.0</v>
      </c>
      <c r="K66" s="70"/>
      <c r="L66" s="60">
        <f>I66*J66</f>
        <v>30</v>
      </c>
    </row>
    <row r="67">
      <c r="A67" s="49"/>
      <c r="B67" s="49"/>
      <c r="C67" s="51"/>
      <c r="D67" s="49"/>
      <c r="E67" s="53"/>
      <c r="F67" s="18"/>
      <c r="G67" s="70"/>
      <c r="H67" s="71"/>
      <c r="I67" s="70"/>
      <c r="J67" s="70"/>
      <c r="K67" s="70"/>
      <c r="L67" s="60"/>
    </row>
    <row r="68">
      <c r="A68" s="49" t="s">
        <v>398</v>
      </c>
      <c r="B68" s="49" t="s">
        <v>399</v>
      </c>
      <c r="C68" s="51" t="str">
        <f t="shared" ref="C68:C69" si="12">CONCATENATE(A68, " ",B68)</f>
        <v>Wilfred Tupaz</v>
      </c>
      <c r="D68" s="49" t="s">
        <v>229</v>
      </c>
      <c r="E68" s="53">
        <f>vlookup(D68,'Invoice ClientIds'!$B$2:$D$100,3,0)</f>
        <v>59</v>
      </c>
      <c r="F68" s="18">
        <v>15.0</v>
      </c>
      <c r="G68" s="70" t="s">
        <v>449</v>
      </c>
      <c r="H68" s="71" t="s">
        <v>450</v>
      </c>
      <c r="I68" s="70">
        <v>1.0</v>
      </c>
      <c r="J68" s="70">
        <v>-25.0</v>
      </c>
      <c r="K68" s="70"/>
      <c r="L68" s="60">
        <f t="shared" ref="L68:L69" si="13">I68*J68</f>
        <v>-25</v>
      </c>
    </row>
    <row r="69">
      <c r="A69" s="61" t="s">
        <v>60</v>
      </c>
      <c r="B69" s="61" t="s">
        <v>18</v>
      </c>
      <c r="C69" s="51" t="str">
        <f t="shared" si="12"/>
        <v>Kim Adriano</v>
      </c>
      <c r="D69" s="49" t="s">
        <v>20</v>
      </c>
      <c r="E69" s="53" t="str">
        <f>vlookup(D69,'Invoice ClientIds'!$B$2:$D$100,3,0)</f>
        <v>8</v>
      </c>
      <c r="F69" s="18">
        <v>15.0</v>
      </c>
      <c r="G69" s="70" t="s">
        <v>467</v>
      </c>
      <c r="H69" s="71" t="s">
        <v>450</v>
      </c>
      <c r="I69" s="70">
        <v>1.0</v>
      </c>
      <c r="J69" s="70">
        <v>-25.0</v>
      </c>
      <c r="K69" s="70"/>
      <c r="L69" s="60">
        <f t="shared" si="13"/>
        <v>-25</v>
      </c>
    </row>
    <row r="70">
      <c r="E70" s="69"/>
      <c r="I70" s="5"/>
    </row>
    <row r="71">
      <c r="A71" s="61" t="s">
        <v>316</v>
      </c>
      <c r="B71" s="61" t="s">
        <v>317</v>
      </c>
      <c r="C71" s="51" t="str">
        <f t="shared" ref="C71:C75" si="14">CONCATENATE(A71, " ",B71)</f>
        <v>Rohith Krishna</v>
      </c>
      <c r="D71" s="61" t="s">
        <v>304</v>
      </c>
      <c r="E71" s="53" t="str">
        <f>vlookup(D71,'Invoice ClientIds'!$B$2:$D$100,3,0)</f>
        <v>5d744242-e398-4705-b209-5c1d3de276bd</v>
      </c>
      <c r="F71" s="18">
        <v>15.0</v>
      </c>
      <c r="G71" s="70" t="s">
        <v>501</v>
      </c>
      <c r="H71" s="72" t="s">
        <v>458</v>
      </c>
      <c r="I71" s="27">
        <v>1.0</v>
      </c>
      <c r="J71" s="27">
        <v>25.0</v>
      </c>
      <c r="K71" s="18"/>
      <c r="L71" s="60">
        <f t="shared" ref="L71:L75" si="15">I71*J71</f>
        <v>25</v>
      </c>
    </row>
    <row r="72">
      <c r="A72" s="49" t="s">
        <v>347</v>
      </c>
      <c r="B72" s="49" t="s">
        <v>346</v>
      </c>
      <c r="C72" s="51" t="str">
        <f t="shared" si="14"/>
        <v>Lorraine Nacua</v>
      </c>
      <c r="D72" s="49" t="s">
        <v>87</v>
      </c>
      <c r="E72" s="53" t="str">
        <f>vlookup(D72,'Invoice ClientIds'!$B$2:$D$100,3,0)</f>
        <v>18</v>
      </c>
      <c r="F72" s="18">
        <v>15.0</v>
      </c>
      <c r="G72" s="70" t="s">
        <v>503</v>
      </c>
      <c r="H72" s="72" t="s">
        <v>458</v>
      </c>
      <c r="I72" s="27">
        <v>1.0</v>
      </c>
      <c r="J72" s="27">
        <v>50.0</v>
      </c>
      <c r="K72" s="18"/>
      <c r="L72" s="60">
        <f t="shared" si="15"/>
        <v>50</v>
      </c>
    </row>
    <row r="73">
      <c r="A73" s="49" t="s">
        <v>358</v>
      </c>
      <c r="B73" s="49" t="s">
        <v>359</v>
      </c>
      <c r="C73" s="51" t="str">
        <f t="shared" si="14"/>
        <v>Allan Puente</v>
      </c>
      <c r="D73" s="49" t="s">
        <v>41</v>
      </c>
      <c r="E73" s="53" t="str">
        <f>vlookup(D73,'Invoice ClientIds'!$B$2:$D$100,3,0)</f>
        <v>4</v>
      </c>
      <c r="F73" s="18">
        <v>15.0</v>
      </c>
      <c r="G73" s="70" t="s">
        <v>506</v>
      </c>
      <c r="H73" s="72" t="s">
        <v>458</v>
      </c>
      <c r="I73" s="27">
        <v>1.0</v>
      </c>
      <c r="J73" s="27">
        <v>25.0</v>
      </c>
      <c r="K73" s="18"/>
      <c r="L73" s="60">
        <f t="shared" si="15"/>
        <v>25</v>
      </c>
    </row>
    <row r="74">
      <c r="A74" s="49" t="s">
        <v>135</v>
      </c>
      <c r="B74" s="49" t="s">
        <v>99</v>
      </c>
      <c r="C74" s="51" t="str">
        <f t="shared" si="14"/>
        <v>Ruth Almazan</v>
      </c>
      <c r="D74" s="49" t="s">
        <v>104</v>
      </c>
      <c r="E74" s="53" t="str">
        <f>vlookup(D74,'Invoice ClientIds'!$B$2:$D$100,3,0)</f>
        <v>33</v>
      </c>
      <c r="F74" s="18">
        <v>15.0</v>
      </c>
      <c r="G74" s="70" t="s">
        <v>507</v>
      </c>
      <c r="H74" s="72" t="s">
        <v>458</v>
      </c>
      <c r="I74" s="27">
        <v>1.0</v>
      </c>
      <c r="J74" s="27">
        <v>65.0</v>
      </c>
      <c r="K74" s="18"/>
      <c r="L74" s="60">
        <f t="shared" si="15"/>
        <v>65</v>
      </c>
    </row>
    <row r="75">
      <c r="A75" s="61" t="s">
        <v>298</v>
      </c>
      <c r="B75" s="61" t="s">
        <v>299</v>
      </c>
      <c r="C75" s="51" t="str">
        <f t="shared" si="14"/>
        <v>Josel Garcia</v>
      </c>
      <c r="D75" s="61" t="s">
        <v>273</v>
      </c>
      <c r="E75" s="53">
        <f>vlookup(D75,'Invoice ClientIds'!$B$2:$D$100,3,0)</f>
        <v>72</v>
      </c>
      <c r="F75" s="18">
        <v>15.0</v>
      </c>
      <c r="G75" s="70" t="s">
        <v>508</v>
      </c>
      <c r="H75" s="72" t="s">
        <v>458</v>
      </c>
      <c r="I75" s="27">
        <v>1.0</v>
      </c>
      <c r="J75" s="27">
        <v>75.0</v>
      </c>
      <c r="K75" s="18"/>
      <c r="L75" s="60">
        <f t="shared" si="15"/>
        <v>75</v>
      </c>
    </row>
    <row r="76">
      <c r="A76" s="73"/>
      <c r="B76" s="73"/>
      <c r="C76" s="74"/>
      <c r="D76" s="73"/>
      <c r="E76" s="59"/>
      <c r="F76" s="50"/>
      <c r="K76" s="55"/>
      <c r="L76" s="75"/>
    </row>
    <row r="77">
      <c r="A77" s="73"/>
      <c r="B77" s="73"/>
      <c r="C77" s="74"/>
      <c r="D77" s="73"/>
      <c r="E77" s="59"/>
      <c r="F77" s="50"/>
      <c r="H77" s="76"/>
      <c r="I77" s="76" t="s">
        <v>468</v>
      </c>
      <c r="J77">
        <f>sum(J75)</f>
        <v>75</v>
      </c>
      <c r="K77" s="55"/>
      <c r="L77" s="75"/>
    </row>
    <row r="78">
      <c r="A78" s="73"/>
      <c r="B78" s="73"/>
      <c r="C78" s="74"/>
      <c r="D78" s="73"/>
      <c r="E78" s="59"/>
      <c r="F78" s="50"/>
      <c r="K78" s="55"/>
      <c r="L78" s="75"/>
    </row>
    <row r="79">
      <c r="A79" s="73"/>
      <c r="B79" s="73"/>
      <c r="C79" s="74"/>
      <c r="D79" s="73"/>
      <c r="E79" s="59"/>
      <c r="F79" s="50"/>
      <c r="K79" s="55"/>
      <c r="L79" s="75">
        <f>Sum(L2:L78)</f>
        <v>1945</v>
      </c>
    </row>
    <row r="80">
      <c r="A80" s="73"/>
      <c r="B80" s="73"/>
      <c r="C80" s="74"/>
      <c r="D80" s="73"/>
      <c r="E80" s="59"/>
      <c r="F80" s="50"/>
      <c r="K80" s="55"/>
      <c r="L80" s="75"/>
    </row>
    <row r="81">
      <c r="A81" s="73"/>
      <c r="B81" s="73"/>
      <c r="C81" s="74"/>
      <c r="D81" s="73"/>
      <c r="E81" s="59"/>
      <c r="F81" s="50"/>
      <c r="K81" s="55"/>
      <c r="L81" s="7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29"/>
    <col customWidth="1" min="2" max="2" width="36.14"/>
    <col customWidth="1" min="3" max="3" width="30.71"/>
    <col customWidth="1" min="4" max="4" width="35.57"/>
    <col customWidth="1" min="5" max="5" width="33.29"/>
    <col customWidth="1" min="6" max="6" width="28.29"/>
    <col customWidth="1" min="7" max="7" width="33.29"/>
    <col customWidth="1" min="8" max="8" width="17.29"/>
    <col customWidth="1" min="9" max="9" width="35.0"/>
    <col customWidth="1" min="10" max="10" width="17.29"/>
    <col customWidth="1" min="11" max="11" width="26.14"/>
    <col customWidth="1" min="12" max="59" width="17.29"/>
  </cols>
  <sheetData>
    <row r="1">
      <c r="A1" s="45" t="s">
        <v>326</v>
      </c>
      <c r="B1" s="47" t="s">
        <v>327</v>
      </c>
      <c r="C1" s="47" t="s">
        <v>332</v>
      </c>
      <c r="D1" s="47" t="s">
        <v>334</v>
      </c>
      <c r="E1" s="47" t="s">
        <v>336</v>
      </c>
      <c r="F1" s="48" t="s">
        <v>337</v>
      </c>
      <c r="G1" s="50" t="s">
        <v>339</v>
      </c>
    </row>
    <row r="2">
      <c r="A2" s="52">
        <f>sum(B2:F2)/(COUNTIF(B2:F2,"&gt;0"))</f>
        <v>39.75</v>
      </c>
      <c r="B2" s="54">
        <f t="shared" ref="B2:F2" si="1">IFERROR(__xludf.DUMMYFUNCTION("COUNTUNIQUE(B3:B69)"),"49")</f>
        <v>49</v>
      </c>
      <c r="C2" s="54">
        <f t="shared" si="1"/>
        <v>37</v>
      </c>
      <c r="D2" s="54">
        <f t="shared" si="1"/>
        <v>40</v>
      </c>
      <c r="E2" s="54">
        <f t="shared" si="1"/>
        <v>33</v>
      </c>
      <c r="F2" s="54">
        <f t="shared" si="1"/>
        <v>0</v>
      </c>
      <c r="G2" s="55"/>
      <c r="I2" s="57"/>
      <c r="J2" s="57">
        <v>0.0</v>
      </c>
      <c r="K2" s="58"/>
      <c r="L2" s="55"/>
      <c r="M2" s="55"/>
    </row>
    <row r="3">
      <c r="G3" s="59" t="str">
        <f>IFERROR(__xludf.DUMMYFUNCTION("transpose(split(join("";"",B3:B90)&amp;join("";"",C3:C90)&amp;join("";"",D3:D90)&amp;join("";"",E3:E90)&amp;join("";"",F3:F90),"";""))"),"Chez Adriano")</f>
        <v>Chez Adriano</v>
      </c>
      <c r="I3" s="57" t="s">
        <v>302</v>
      </c>
      <c r="J3" s="57">
        <v>3.0</v>
      </c>
      <c r="K3" s="58"/>
    </row>
    <row r="4">
      <c r="B4" s="62" t="str">
        <f>IFERROR(__xludf.DUMMYFUNCTION("Transpose(SPLIT(Transpose(Attendance!$B$12),"", "",False))"),"Chez Adriano")</f>
        <v>Chez Adriano</v>
      </c>
      <c r="C4" s="62" t="str">
        <f>IFERROR(__xludf.DUMMYFUNCTION("Transpose(SPLIT(Transpose(Attendance!$B$14),"", "",False))"),"Chez Adriano")</f>
        <v>Chez Adriano</v>
      </c>
      <c r="D4" s="62" t="str">
        <f>IFERROR(__xludf.DUMMYFUNCTION("Transpose(SPLIT(Transpose(Attendance!$B$15),"", "",False))"),"Majan Almazan")</f>
        <v>Majan Almazan</v>
      </c>
      <c r="E4" s="62" t="str">
        <f>IFERROR(__xludf.DUMMYFUNCTION("Transpose(SPLIT(Transpose(Attendance!$B$16),"", "",False))"),"Dar Adriano")</f>
        <v>Dar Adriano</v>
      </c>
      <c r="F4" s="62"/>
      <c r="G4" s="59" t="s">
        <v>53</v>
      </c>
      <c r="I4" s="57" t="s">
        <v>360</v>
      </c>
      <c r="J4" s="57">
        <v>2.0</v>
      </c>
      <c r="K4" s="58"/>
    </row>
    <row r="5">
      <c r="B5" s="59" t="s">
        <v>53</v>
      </c>
      <c r="C5" s="59" t="s">
        <v>53</v>
      </c>
      <c r="D5" s="59" t="s">
        <v>134</v>
      </c>
      <c r="E5" s="59" t="s">
        <v>368</v>
      </c>
      <c r="F5" s="59"/>
      <c r="G5" s="59" t="s">
        <v>365</v>
      </c>
      <c r="I5" s="57" t="s">
        <v>34</v>
      </c>
      <c r="J5" s="57">
        <v>4.0</v>
      </c>
      <c r="K5" s="58"/>
    </row>
    <row r="6">
      <c r="B6" s="59" t="s">
        <v>365</v>
      </c>
      <c r="C6" s="59" t="s">
        <v>368</v>
      </c>
      <c r="D6" s="59" t="s">
        <v>68</v>
      </c>
      <c r="E6" s="59" t="s">
        <v>134</v>
      </c>
      <c r="F6" s="59"/>
      <c r="G6" s="59" t="s">
        <v>368</v>
      </c>
      <c r="I6" s="57" t="s">
        <v>418</v>
      </c>
      <c r="J6" s="57">
        <v>1.0</v>
      </c>
      <c r="K6" s="58"/>
    </row>
    <row r="7">
      <c r="B7" s="59" t="s">
        <v>368</v>
      </c>
      <c r="C7" s="59" t="s">
        <v>363</v>
      </c>
      <c r="D7" s="59" t="s">
        <v>147</v>
      </c>
      <c r="E7" s="59" t="s">
        <v>68</v>
      </c>
      <c r="F7" s="59"/>
      <c r="G7" s="59" t="s">
        <v>134</v>
      </c>
      <c r="I7" s="57" t="s">
        <v>473</v>
      </c>
      <c r="J7" s="57">
        <v>1.0</v>
      </c>
      <c r="K7" s="58"/>
    </row>
    <row r="8">
      <c r="B8" s="59" t="s">
        <v>134</v>
      </c>
      <c r="C8" s="59" t="s">
        <v>134</v>
      </c>
      <c r="D8" s="59" t="s">
        <v>376</v>
      </c>
      <c r="E8" s="59" t="s">
        <v>373</v>
      </c>
      <c r="F8" s="59"/>
      <c r="G8" s="59" t="s">
        <v>68</v>
      </c>
      <c r="I8" s="57" t="s">
        <v>366</v>
      </c>
      <c r="J8" s="57">
        <v>1.0</v>
      </c>
      <c r="K8" s="58"/>
      <c r="M8" s="58"/>
    </row>
    <row r="9">
      <c r="B9" s="59" t="s">
        <v>68</v>
      </c>
      <c r="C9" s="59" t="s">
        <v>68</v>
      </c>
      <c r="D9" s="59" t="s">
        <v>78</v>
      </c>
      <c r="E9" s="59" t="s">
        <v>376</v>
      </c>
      <c r="F9" s="59"/>
      <c r="G9" s="59" t="s">
        <v>147</v>
      </c>
      <c r="I9" s="57" t="s">
        <v>256</v>
      </c>
      <c r="J9" s="57">
        <v>2.0</v>
      </c>
      <c r="K9" s="58"/>
      <c r="M9" s="58"/>
    </row>
    <row r="10">
      <c r="B10" s="59" t="s">
        <v>147</v>
      </c>
      <c r="C10" s="59" t="s">
        <v>373</v>
      </c>
      <c r="D10" s="59" t="s">
        <v>424</v>
      </c>
      <c r="E10" s="59" t="s">
        <v>100</v>
      </c>
      <c r="F10" s="59"/>
      <c r="G10" s="59" t="s">
        <v>100</v>
      </c>
      <c r="I10" s="57" t="s">
        <v>42</v>
      </c>
      <c r="J10" s="57">
        <v>2.0</v>
      </c>
      <c r="K10" s="58"/>
    </row>
    <row r="11">
      <c r="B11" s="59" t="s">
        <v>100</v>
      </c>
      <c r="C11" s="59" t="s">
        <v>376</v>
      </c>
      <c r="D11" s="59" t="s">
        <v>294</v>
      </c>
      <c r="E11" s="59" t="s">
        <v>78</v>
      </c>
      <c r="F11" s="59"/>
      <c r="G11" s="59" t="s">
        <v>78</v>
      </c>
      <c r="I11" s="57" t="s">
        <v>374</v>
      </c>
      <c r="J11" s="57">
        <v>2.0</v>
      </c>
      <c r="K11" s="58"/>
    </row>
    <row r="12">
      <c r="B12" s="59" t="s">
        <v>78</v>
      </c>
      <c r="C12" s="59" t="s">
        <v>100</v>
      </c>
      <c r="D12" s="59" t="s">
        <v>360</v>
      </c>
      <c r="E12" s="59" t="s">
        <v>424</v>
      </c>
      <c r="F12" s="59"/>
      <c r="G12" s="59" t="s">
        <v>424</v>
      </c>
      <c r="I12" s="57" t="s">
        <v>377</v>
      </c>
      <c r="J12" s="57">
        <v>2.0</v>
      </c>
      <c r="K12" s="58"/>
    </row>
    <row r="13">
      <c r="B13" s="59" t="s">
        <v>424</v>
      </c>
      <c r="C13" s="59" t="s">
        <v>78</v>
      </c>
      <c r="D13" s="59" t="s">
        <v>386</v>
      </c>
      <c r="E13" s="59" t="s">
        <v>294</v>
      </c>
      <c r="F13" s="59"/>
      <c r="G13" s="59" t="s">
        <v>294</v>
      </c>
      <c r="I13" s="57" t="s">
        <v>381</v>
      </c>
      <c r="J13" s="57">
        <v>2.0</v>
      </c>
      <c r="K13" s="58"/>
    </row>
    <row r="14">
      <c r="B14" s="59" t="s">
        <v>294</v>
      </c>
      <c r="C14" s="59" t="s">
        <v>424</v>
      </c>
      <c r="D14" s="59" t="s">
        <v>274</v>
      </c>
      <c r="E14" s="59" t="s">
        <v>386</v>
      </c>
      <c r="F14" s="59"/>
      <c r="G14" s="59" t="s">
        <v>360</v>
      </c>
      <c r="I14" s="57" t="s">
        <v>383</v>
      </c>
      <c r="J14" s="57">
        <v>2.0</v>
      </c>
      <c r="K14" s="58"/>
    </row>
    <row r="15">
      <c r="B15" s="59" t="s">
        <v>360</v>
      </c>
      <c r="C15" s="59" t="s">
        <v>386</v>
      </c>
      <c r="D15" s="59" t="s">
        <v>305</v>
      </c>
      <c r="E15" s="59" t="s">
        <v>274</v>
      </c>
      <c r="F15" s="59"/>
      <c r="G15" s="59" t="s">
        <v>386</v>
      </c>
      <c r="I15" s="57" t="s">
        <v>385</v>
      </c>
      <c r="J15" s="57">
        <v>1.0</v>
      </c>
      <c r="K15" s="58"/>
    </row>
    <row r="16">
      <c r="B16" s="59" t="s">
        <v>386</v>
      </c>
      <c r="C16" s="59" t="s">
        <v>274</v>
      </c>
      <c r="D16" s="59" t="s">
        <v>302</v>
      </c>
      <c r="E16" s="59" t="s">
        <v>374</v>
      </c>
      <c r="F16" s="59"/>
      <c r="G16" s="59" t="s">
        <v>274</v>
      </c>
      <c r="I16" s="57" t="s">
        <v>53</v>
      </c>
      <c r="J16" s="57">
        <v>3.0</v>
      </c>
      <c r="K16" s="58"/>
    </row>
    <row r="17">
      <c r="B17" s="59" t="s">
        <v>274</v>
      </c>
      <c r="C17" s="59" t="s">
        <v>302</v>
      </c>
      <c r="D17" s="59" t="s">
        <v>375</v>
      </c>
      <c r="E17" s="59" t="s">
        <v>185</v>
      </c>
      <c r="F17" s="59"/>
      <c r="G17" s="59" t="s">
        <v>302</v>
      </c>
      <c r="I17" s="57" t="s">
        <v>56</v>
      </c>
      <c r="J17" s="57">
        <v>3.0</v>
      </c>
      <c r="K17" s="58"/>
    </row>
    <row r="18">
      <c r="B18" s="59" t="s">
        <v>302</v>
      </c>
      <c r="C18" s="59" t="s">
        <v>256</v>
      </c>
      <c r="D18" s="59" t="s">
        <v>144</v>
      </c>
      <c r="E18" s="59" t="s">
        <v>312</v>
      </c>
      <c r="F18" s="59"/>
      <c r="G18" s="59" t="s">
        <v>256</v>
      </c>
      <c r="I18" s="57" t="s">
        <v>426</v>
      </c>
      <c r="J18" s="57">
        <v>1.0</v>
      </c>
      <c r="K18" s="58"/>
    </row>
    <row r="19">
      <c r="B19" s="59" t="s">
        <v>256</v>
      </c>
      <c r="C19" s="59" t="s">
        <v>312</v>
      </c>
      <c r="D19" s="59" t="s">
        <v>312</v>
      </c>
      <c r="E19" s="59" t="s">
        <v>388</v>
      </c>
      <c r="F19" s="59"/>
      <c r="G19" s="59" t="s">
        <v>375</v>
      </c>
      <c r="I19" s="57" t="s">
        <v>474</v>
      </c>
      <c r="J19" s="57">
        <v>1.0</v>
      </c>
      <c r="K19" s="58"/>
    </row>
    <row r="20">
      <c r="B20" s="59" t="s">
        <v>375</v>
      </c>
      <c r="C20" s="59" t="s">
        <v>388</v>
      </c>
      <c r="D20" s="59" t="s">
        <v>388</v>
      </c>
      <c r="E20" s="59" t="s">
        <v>89</v>
      </c>
      <c r="F20" s="59"/>
      <c r="G20" s="59" t="s">
        <v>144</v>
      </c>
      <c r="I20" s="57" t="s">
        <v>92</v>
      </c>
      <c r="J20" s="57">
        <v>4.0</v>
      </c>
      <c r="K20" s="58"/>
    </row>
    <row r="21">
      <c r="B21" s="59" t="s">
        <v>144</v>
      </c>
      <c r="C21" s="59" t="s">
        <v>391</v>
      </c>
      <c r="D21" s="59" t="s">
        <v>391</v>
      </c>
      <c r="E21" s="63" t="s">
        <v>129</v>
      </c>
      <c r="F21" s="59"/>
      <c r="G21" s="59" t="s">
        <v>374</v>
      </c>
      <c r="I21" s="57" t="s">
        <v>375</v>
      </c>
      <c r="J21" s="57">
        <v>2.0</v>
      </c>
      <c r="K21" s="58"/>
    </row>
    <row r="22">
      <c r="B22" s="59" t="s">
        <v>374</v>
      </c>
      <c r="C22" s="59" t="s">
        <v>89</v>
      </c>
      <c r="D22" s="59" t="s">
        <v>89</v>
      </c>
      <c r="E22" s="63" t="s">
        <v>297</v>
      </c>
      <c r="F22" s="59"/>
      <c r="G22" s="59" t="s">
        <v>185</v>
      </c>
      <c r="I22" s="57" t="s">
        <v>68</v>
      </c>
      <c r="J22" s="57">
        <v>4.0</v>
      </c>
      <c r="K22" s="58"/>
    </row>
    <row r="23">
      <c r="B23" s="59" t="s">
        <v>185</v>
      </c>
      <c r="C23" s="59" t="s">
        <v>129</v>
      </c>
      <c r="D23" s="59" t="s">
        <v>129</v>
      </c>
      <c r="E23" s="63" t="s">
        <v>95</v>
      </c>
      <c r="F23" s="59"/>
      <c r="G23" s="59" t="s">
        <v>312</v>
      </c>
      <c r="I23" s="57" t="s">
        <v>427</v>
      </c>
      <c r="J23" s="57">
        <v>1.0</v>
      </c>
      <c r="K23" s="58"/>
    </row>
    <row r="24">
      <c r="B24" s="59" t="s">
        <v>312</v>
      </c>
      <c r="C24" s="59" t="s">
        <v>297</v>
      </c>
      <c r="D24" s="59" t="s">
        <v>377</v>
      </c>
      <c r="E24" s="63" t="s">
        <v>400</v>
      </c>
      <c r="F24" s="59"/>
      <c r="G24" s="59" t="s">
        <v>391</v>
      </c>
      <c r="I24" s="57" t="s">
        <v>428</v>
      </c>
      <c r="J24" s="57">
        <v>1.0</v>
      </c>
      <c r="K24" s="58"/>
    </row>
    <row r="25">
      <c r="B25" s="59" t="s">
        <v>391</v>
      </c>
      <c r="C25" s="59" t="s">
        <v>42</v>
      </c>
      <c r="D25" s="59" t="s">
        <v>382</v>
      </c>
      <c r="E25" s="59" t="s">
        <v>92</v>
      </c>
      <c r="F25" s="59"/>
      <c r="G25" s="59" t="s">
        <v>89</v>
      </c>
      <c r="I25" s="57" t="s">
        <v>424</v>
      </c>
      <c r="J25" s="57">
        <v>4.0</v>
      </c>
      <c r="K25" s="58"/>
    </row>
    <row r="26">
      <c r="B26" s="63" t="s">
        <v>89</v>
      </c>
      <c r="C26" s="59" t="s">
        <v>95</v>
      </c>
      <c r="D26" s="59" t="s">
        <v>384</v>
      </c>
      <c r="E26" s="59" t="s">
        <v>389</v>
      </c>
      <c r="F26" s="59"/>
      <c r="G26" s="59" t="s">
        <v>297</v>
      </c>
      <c r="I26" s="57" t="s">
        <v>475</v>
      </c>
      <c r="J26" s="57">
        <v>2.0</v>
      </c>
      <c r="K26" s="58"/>
    </row>
    <row r="27">
      <c r="B27" t="s">
        <v>297</v>
      </c>
      <c r="C27" s="63" t="s">
        <v>400</v>
      </c>
      <c r="D27" s="63" t="s">
        <v>141</v>
      </c>
      <c r="E27" t="s">
        <v>34</v>
      </c>
      <c r="G27" s="59" t="s">
        <v>377</v>
      </c>
      <c r="I27" s="57" t="s">
        <v>476</v>
      </c>
      <c r="J27" s="57">
        <v>2.0</v>
      </c>
      <c r="K27" s="58"/>
    </row>
    <row r="28">
      <c r="B28" s="63" t="s">
        <v>377</v>
      </c>
      <c r="C28" s="63" t="s">
        <v>308</v>
      </c>
      <c r="D28" s="63" t="s">
        <v>95</v>
      </c>
      <c r="E28" s="5" t="s">
        <v>288</v>
      </c>
      <c r="F28" s="5"/>
      <c r="G28" s="59" t="s">
        <v>382</v>
      </c>
      <c r="I28" s="57" t="s">
        <v>477</v>
      </c>
      <c r="J28" s="57">
        <v>2.0</v>
      </c>
      <c r="K28" s="58"/>
    </row>
    <row r="29">
      <c r="B29" s="5" t="s">
        <v>382</v>
      </c>
      <c r="C29" s="5" t="s">
        <v>92</v>
      </c>
      <c r="D29" s="63" t="s">
        <v>308</v>
      </c>
      <c r="E29" s="5"/>
      <c r="F29" s="5"/>
      <c r="G29" s="59" t="s">
        <v>141</v>
      </c>
      <c r="I29" s="57" t="s">
        <v>478</v>
      </c>
      <c r="J29" s="57">
        <v>1.0</v>
      </c>
      <c r="K29" s="58"/>
    </row>
    <row r="30">
      <c r="B30" s="63" t="s">
        <v>141</v>
      </c>
      <c r="C30" s="5" t="s">
        <v>389</v>
      </c>
      <c r="D30" s="63" t="s">
        <v>92</v>
      </c>
      <c r="E30" s="5"/>
      <c r="F30" s="5"/>
      <c r="G30" s="59" t="s">
        <v>42</v>
      </c>
      <c r="I30" s="57" t="s">
        <v>388</v>
      </c>
      <c r="J30" s="57">
        <v>3.0</v>
      </c>
      <c r="K30" s="58"/>
    </row>
    <row r="31">
      <c r="B31" s="63" t="s">
        <v>42</v>
      </c>
      <c r="C31" s="63" t="s">
        <v>34</v>
      </c>
      <c r="D31" s="63" t="s">
        <v>389</v>
      </c>
      <c r="E31" s="5"/>
      <c r="F31" s="5"/>
      <c r="G31" s="59" t="s">
        <v>95</v>
      </c>
      <c r="I31" s="57" t="s">
        <v>386</v>
      </c>
      <c r="J31" s="57">
        <v>4.0</v>
      </c>
      <c r="K31" s="58"/>
    </row>
    <row r="32">
      <c r="B32" s="63" t="s">
        <v>95</v>
      </c>
      <c r="C32" s="63" t="s">
        <v>56</v>
      </c>
      <c r="D32" s="63" t="s">
        <v>34</v>
      </c>
      <c r="E32" s="5"/>
      <c r="F32" s="5"/>
      <c r="G32" s="59" t="s">
        <v>400</v>
      </c>
      <c r="I32" s="57" t="s">
        <v>382</v>
      </c>
      <c r="J32" s="57">
        <v>2.0</v>
      </c>
      <c r="K32" s="58"/>
    </row>
    <row r="33">
      <c r="B33" s="5" t="s">
        <v>400</v>
      </c>
      <c r="C33" s="5" t="s">
        <v>432</v>
      </c>
      <c r="D33" s="5" t="s">
        <v>381</v>
      </c>
      <c r="E33" s="64"/>
      <c r="F33" s="5"/>
      <c r="G33" s="59" t="s">
        <v>308</v>
      </c>
      <c r="I33" s="57" t="s">
        <v>432</v>
      </c>
      <c r="J33" s="57">
        <v>3.0</v>
      </c>
      <c r="K33" s="58"/>
    </row>
    <row r="34">
      <c r="B34" s="5" t="s">
        <v>308</v>
      </c>
      <c r="C34" s="5" t="s">
        <v>288</v>
      </c>
      <c r="D34" s="63" t="s">
        <v>56</v>
      </c>
      <c r="E34" s="5"/>
      <c r="G34" s="59" t="s">
        <v>92</v>
      </c>
      <c r="I34" s="57" t="s">
        <v>78</v>
      </c>
      <c r="J34" s="57">
        <v>4.0</v>
      </c>
      <c r="K34" s="58"/>
    </row>
    <row r="35">
      <c r="B35" s="5" t="s">
        <v>92</v>
      </c>
      <c r="C35" s="5" t="s">
        <v>392</v>
      </c>
      <c r="D35" s="5" t="s">
        <v>432</v>
      </c>
      <c r="E35" s="5"/>
      <c r="F35" s="58"/>
      <c r="G35" s="59" t="s">
        <v>389</v>
      </c>
      <c r="I35" s="57" t="s">
        <v>274</v>
      </c>
      <c r="J35" s="57">
        <v>4.0</v>
      </c>
      <c r="K35" s="58"/>
    </row>
    <row r="36">
      <c r="B36" t="s">
        <v>389</v>
      </c>
      <c r="C36" s="5"/>
      <c r="D36" s="5" t="s">
        <v>288</v>
      </c>
      <c r="E36" s="5"/>
      <c r="F36" s="58"/>
      <c r="G36" s="59" t="s">
        <v>34</v>
      </c>
      <c r="I36" s="57" t="s">
        <v>479</v>
      </c>
      <c r="J36" s="57">
        <v>1.0</v>
      </c>
      <c r="K36" s="58"/>
    </row>
    <row r="37">
      <c r="B37" s="5" t="s">
        <v>34</v>
      </c>
      <c r="C37" s="5"/>
      <c r="D37" s="5" t="s">
        <v>392</v>
      </c>
      <c r="E37" s="5"/>
      <c r="F37" s="58"/>
      <c r="G37" s="59" t="s">
        <v>381</v>
      </c>
      <c r="I37" s="57" t="s">
        <v>480</v>
      </c>
      <c r="J37" s="57">
        <v>1.0</v>
      </c>
      <c r="K37" s="58"/>
    </row>
    <row r="38">
      <c r="B38" s="5" t="s">
        <v>381</v>
      </c>
      <c r="C38" s="64"/>
      <c r="D38" s="5"/>
      <c r="E38" s="5"/>
      <c r="G38" s="59" t="s">
        <v>56</v>
      </c>
      <c r="I38" s="57" t="s">
        <v>481</v>
      </c>
      <c r="J38" s="57">
        <v>1.0</v>
      </c>
      <c r="K38" s="58"/>
    </row>
    <row r="39">
      <c r="B39" s="5" t="s">
        <v>56</v>
      </c>
      <c r="C39" s="5"/>
      <c r="D39" s="5"/>
      <c r="G39" s="59" t="s">
        <v>432</v>
      </c>
      <c r="I39" s="57" t="s">
        <v>365</v>
      </c>
      <c r="J39" s="57">
        <v>1.0</v>
      </c>
      <c r="K39" s="58"/>
    </row>
    <row r="40">
      <c r="B40" s="5" t="s">
        <v>432</v>
      </c>
      <c r="C40" s="5"/>
      <c r="D40" s="5"/>
      <c r="G40" s="59" t="s">
        <v>288</v>
      </c>
      <c r="I40" s="57" t="s">
        <v>392</v>
      </c>
      <c r="J40" s="57">
        <v>3.0</v>
      </c>
      <c r="K40" s="58"/>
    </row>
    <row r="41">
      <c r="B41" s="5" t="s">
        <v>288</v>
      </c>
      <c r="C41" s="5"/>
      <c r="D41" s="5"/>
      <c r="G41" s="59" t="s">
        <v>392</v>
      </c>
      <c r="I41" s="57" t="s">
        <v>288</v>
      </c>
      <c r="J41" s="57">
        <v>4.0</v>
      </c>
      <c r="K41" s="58"/>
    </row>
    <row r="42">
      <c r="B42" s="5" t="s">
        <v>392</v>
      </c>
      <c r="C42" s="5"/>
      <c r="D42" s="5"/>
      <c r="E42" s="5"/>
      <c r="G42" s="59" t="s">
        <v>475</v>
      </c>
      <c r="I42" s="57" t="s">
        <v>89</v>
      </c>
      <c r="J42" s="57">
        <v>4.0</v>
      </c>
      <c r="K42" s="58"/>
    </row>
    <row r="43">
      <c r="C43" s="5"/>
      <c r="E43" s="5"/>
      <c r="G43" s="59" t="s">
        <v>476</v>
      </c>
      <c r="I43" s="57" t="s">
        <v>363</v>
      </c>
      <c r="J43" s="57">
        <v>2.0</v>
      </c>
    </row>
    <row r="44">
      <c r="B44" s="5"/>
      <c r="C44" s="5"/>
      <c r="E44" s="5"/>
      <c r="G44" s="59" t="s">
        <v>477</v>
      </c>
      <c r="I44" s="57" t="s">
        <v>389</v>
      </c>
      <c r="J44" s="57">
        <v>4.0</v>
      </c>
      <c r="K44" s="58"/>
    </row>
    <row r="45">
      <c r="B45" s="5"/>
      <c r="C45" s="5"/>
      <c r="D45" s="5"/>
      <c r="E45" s="5"/>
      <c r="G45" s="59" t="s">
        <v>427</v>
      </c>
      <c r="I45" s="57" t="s">
        <v>95</v>
      </c>
      <c r="J45" s="57">
        <v>4.0</v>
      </c>
      <c r="K45" s="58"/>
    </row>
    <row r="46">
      <c r="D46" s="5"/>
      <c r="E46" s="5"/>
      <c r="G46" s="59" t="s">
        <v>428</v>
      </c>
      <c r="I46" s="57" t="s">
        <v>185</v>
      </c>
      <c r="J46" s="57">
        <v>2.0</v>
      </c>
      <c r="K46" s="58"/>
    </row>
    <row r="47">
      <c r="D47" s="5"/>
      <c r="G47" s="59" t="s">
        <v>426</v>
      </c>
      <c r="I47" s="57" t="s">
        <v>100</v>
      </c>
      <c r="J47" s="57">
        <v>3.0</v>
      </c>
      <c r="K47" s="58"/>
    </row>
    <row r="48">
      <c r="G48" s="59" t="s">
        <v>482</v>
      </c>
      <c r="I48" s="57" t="s">
        <v>391</v>
      </c>
      <c r="J48" s="57">
        <v>3.0</v>
      </c>
      <c r="K48" s="58"/>
    </row>
    <row r="49">
      <c r="G49" s="59" t="s">
        <v>480</v>
      </c>
      <c r="I49" s="57" t="s">
        <v>483</v>
      </c>
      <c r="J49" s="57">
        <v>1.0</v>
      </c>
      <c r="K49" s="58"/>
    </row>
    <row r="50">
      <c r="G50" s="59" t="s">
        <v>473</v>
      </c>
      <c r="I50" s="57" t="s">
        <v>484</v>
      </c>
      <c r="J50" s="57">
        <v>1.0</v>
      </c>
      <c r="K50" s="58"/>
    </row>
    <row r="51">
      <c r="G51" s="59" t="s">
        <v>484</v>
      </c>
      <c r="I51" s="57" t="s">
        <v>384</v>
      </c>
      <c r="J51" s="57">
        <v>1.0</v>
      </c>
      <c r="K51" s="58"/>
    </row>
    <row r="52">
      <c r="G52" s="59" t="s">
        <v>383</v>
      </c>
      <c r="I52" s="57" t="s">
        <v>368</v>
      </c>
      <c r="J52" s="57">
        <v>3.0</v>
      </c>
      <c r="K52" s="58"/>
    </row>
    <row r="53">
      <c r="B53" s="67" t="str">
        <f>IFERROR(__xludf.DUMMYFUNCTION("if(IsBlank(Attendance!E12),"""",transpose(split(Attendance!E12,CHAR(10),FALSE)))"),"Indie 1")</f>
        <v>Indie 1</v>
      </c>
      <c r="C53" s="67" t="str">
        <f>IFERROR(__xludf.DUMMYFUNCTION("if(IsBlank(Attendance!E14),"""",transpose(split(Attendance!E14,CHAR(10),FALSE)))"),"Indie 1")</f>
        <v>Indie 1</v>
      </c>
      <c r="D53" t="str">
        <f>IFERROR(__xludf.DUMMYFUNCTION("if(IsBlank(Attendance!E15),"""",transpose(split(Attendance!E15,CHAR(10),FALSE)))"),"Pinoy 1")</f>
        <v>Pinoy 1</v>
      </c>
      <c r="E53" s="67" t="str">
        <f>IFERROR(__xludf.DUMMYFUNCTION("if(IsBlank(Attendance!E16),"""",transpose(split(Attendance!E16,CHAR(10),FALSE)))"),"Joseph")</f>
        <v>Joseph</v>
      </c>
      <c r="F53" s="67" t="str">
        <f>IFERROR(__xludf.DUMMYFUNCTION("if(IsBlank(Attendance!E26),"""",transpose(split(Attendance!E26,CHAR(10),FALSE)))"),"")</f>
        <v/>
      </c>
      <c r="G53" s="59" t="s">
        <v>53</v>
      </c>
      <c r="I53" s="57" t="s">
        <v>485</v>
      </c>
      <c r="J53" s="57">
        <v>2.0</v>
      </c>
      <c r="K53" s="58"/>
    </row>
    <row r="54">
      <c r="B54" t="s">
        <v>476</v>
      </c>
      <c r="C54" t="s">
        <v>476</v>
      </c>
      <c r="D54" t="s">
        <v>486</v>
      </c>
      <c r="E54" t="s">
        <v>487</v>
      </c>
      <c r="G54" s="59" t="s">
        <v>368</v>
      </c>
      <c r="I54" s="57" t="s">
        <v>482</v>
      </c>
      <c r="J54" s="57">
        <v>1.0</v>
      </c>
      <c r="K54" s="58"/>
    </row>
    <row r="55">
      <c r="B55" t="s">
        <v>477</v>
      </c>
      <c r="C55" t="s">
        <v>366</v>
      </c>
      <c r="D55" t="s">
        <v>488</v>
      </c>
      <c r="E55" t="s">
        <v>474</v>
      </c>
      <c r="G55" s="59" t="s">
        <v>363</v>
      </c>
      <c r="I55" s="57" t="s">
        <v>486</v>
      </c>
      <c r="J55" s="57">
        <v>2.0</v>
      </c>
      <c r="K55" s="58"/>
    </row>
    <row r="56">
      <c r="B56" t="s">
        <v>427</v>
      </c>
      <c r="C56" t="s">
        <v>489</v>
      </c>
      <c r="D56" t="s">
        <v>490</v>
      </c>
      <c r="E56" t="s">
        <v>385</v>
      </c>
      <c r="G56" s="59" t="s">
        <v>134</v>
      </c>
      <c r="I56" s="57" t="s">
        <v>488</v>
      </c>
      <c r="J56" s="57">
        <v>1.0</v>
      </c>
      <c r="K56" s="58"/>
    </row>
    <row r="57">
      <c r="B57" t="s">
        <v>428</v>
      </c>
      <c r="C57" t="s">
        <v>477</v>
      </c>
      <c r="D57" t="s">
        <v>481</v>
      </c>
      <c r="E57" t="s">
        <v>478</v>
      </c>
      <c r="G57" s="59" t="s">
        <v>68</v>
      </c>
      <c r="I57" s="57" t="s">
        <v>490</v>
      </c>
      <c r="J57" s="58">
        <v>1.0</v>
      </c>
      <c r="K57" s="58"/>
    </row>
    <row r="58">
      <c r="B58" t="s">
        <v>426</v>
      </c>
      <c r="D58" s="5" t="s">
        <v>418</v>
      </c>
      <c r="E58" t="s">
        <v>485</v>
      </c>
      <c r="G58" s="59" t="s">
        <v>373</v>
      </c>
      <c r="I58" s="57" t="s">
        <v>373</v>
      </c>
      <c r="J58" s="58">
        <v>2.0</v>
      </c>
      <c r="K58" s="58"/>
    </row>
    <row r="59">
      <c r="B59" t="s">
        <v>482</v>
      </c>
      <c r="E59" t="s">
        <v>486</v>
      </c>
      <c r="G59" s="59" t="s">
        <v>376</v>
      </c>
      <c r="I59" s="57" t="s">
        <v>129</v>
      </c>
      <c r="J59" s="58">
        <v>3.0</v>
      </c>
      <c r="K59" s="58"/>
    </row>
    <row r="60">
      <c r="B60" t="s">
        <v>480</v>
      </c>
      <c r="E60" t="s">
        <v>483</v>
      </c>
      <c r="G60" s="59" t="s">
        <v>100</v>
      </c>
      <c r="I60" s="57" t="s">
        <v>297</v>
      </c>
      <c r="J60" s="58">
        <v>3.0</v>
      </c>
      <c r="K60" s="58"/>
    </row>
    <row r="61">
      <c r="B61" t="s">
        <v>473</v>
      </c>
      <c r="G61" s="59" t="s">
        <v>78</v>
      </c>
      <c r="I61" s="57" t="s">
        <v>308</v>
      </c>
      <c r="J61" s="58">
        <v>3.0</v>
      </c>
      <c r="K61" s="58"/>
    </row>
    <row r="62">
      <c r="B62" t="s">
        <v>484</v>
      </c>
      <c r="G62" s="59" t="s">
        <v>424</v>
      </c>
      <c r="I62" s="57" t="s">
        <v>400</v>
      </c>
      <c r="J62" s="58">
        <v>3.0</v>
      </c>
      <c r="K62" s="58"/>
    </row>
    <row r="63">
      <c r="G63" s="59" t="s">
        <v>386</v>
      </c>
      <c r="I63" s="57" t="s">
        <v>305</v>
      </c>
      <c r="J63" s="58">
        <v>1.0</v>
      </c>
      <c r="K63" s="58"/>
    </row>
    <row r="64">
      <c r="G64" s="59" t="s">
        <v>274</v>
      </c>
      <c r="I64" s="57" t="s">
        <v>294</v>
      </c>
      <c r="J64" s="58">
        <v>3.0</v>
      </c>
      <c r="K64" s="58"/>
    </row>
    <row r="65">
      <c r="G65" s="59" t="s">
        <v>302</v>
      </c>
      <c r="I65" s="57" t="s">
        <v>134</v>
      </c>
      <c r="J65" s="58">
        <v>4.0</v>
      </c>
      <c r="K65" s="58"/>
    </row>
    <row r="66">
      <c r="G66" s="59" t="s">
        <v>256</v>
      </c>
      <c r="I66" s="57" t="s">
        <v>141</v>
      </c>
      <c r="J66" s="58">
        <v>2.0</v>
      </c>
      <c r="K66" s="58"/>
    </row>
    <row r="67">
      <c r="G67" s="59" t="s">
        <v>312</v>
      </c>
      <c r="I67" s="57" t="s">
        <v>144</v>
      </c>
      <c r="J67" s="58">
        <v>2.0</v>
      </c>
      <c r="K67" s="58"/>
    </row>
    <row r="68">
      <c r="G68" s="59" t="s">
        <v>388</v>
      </c>
      <c r="I68" s="57" t="s">
        <v>147</v>
      </c>
      <c r="J68" s="58">
        <v>2.0</v>
      </c>
      <c r="K68" s="58"/>
    </row>
    <row r="69">
      <c r="G69" s="59" t="s">
        <v>391</v>
      </c>
      <c r="I69" s="57" t="s">
        <v>312</v>
      </c>
      <c r="J69" s="58">
        <v>4.0</v>
      </c>
      <c r="K69" s="58"/>
    </row>
    <row r="70">
      <c r="G70" s="59" t="s">
        <v>89</v>
      </c>
      <c r="I70" s="58" t="s">
        <v>487</v>
      </c>
      <c r="J70" s="58">
        <v>1.0</v>
      </c>
      <c r="K70" s="58"/>
    </row>
    <row r="71">
      <c r="G71" s="59" t="s">
        <v>129</v>
      </c>
      <c r="I71" s="57" t="s">
        <v>489</v>
      </c>
      <c r="J71" s="58">
        <v>1.0</v>
      </c>
      <c r="K71" s="58"/>
    </row>
    <row r="72">
      <c r="G72" s="59" t="s">
        <v>297</v>
      </c>
      <c r="I72" s="59" t="s">
        <v>376</v>
      </c>
      <c r="J72">
        <v>3.0</v>
      </c>
    </row>
    <row r="73">
      <c r="G73" s="59" t="s">
        <v>42</v>
      </c>
    </row>
    <row r="74">
      <c r="G74" s="59" t="s">
        <v>95</v>
      </c>
    </row>
    <row r="75">
      <c r="G75" s="59" t="s">
        <v>400</v>
      </c>
    </row>
    <row r="76">
      <c r="G76" s="59" t="s">
        <v>308</v>
      </c>
    </row>
    <row r="77">
      <c r="G77" s="59" t="s">
        <v>92</v>
      </c>
    </row>
    <row r="78">
      <c r="G78" s="59" t="s">
        <v>389</v>
      </c>
    </row>
    <row r="79">
      <c r="G79" s="59" t="s">
        <v>34</v>
      </c>
    </row>
    <row r="80">
      <c r="G80" s="59" t="s">
        <v>56</v>
      </c>
    </row>
    <row r="81">
      <c r="G81" s="59" t="s">
        <v>432</v>
      </c>
    </row>
    <row r="82">
      <c r="G82" s="59" t="s">
        <v>288</v>
      </c>
    </row>
    <row r="83">
      <c r="G83" s="59" t="s">
        <v>392</v>
      </c>
    </row>
    <row r="84">
      <c r="G84" s="59" t="s">
        <v>475</v>
      </c>
    </row>
    <row r="85">
      <c r="G85" s="59" t="s">
        <v>476</v>
      </c>
    </row>
    <row r="86">
      <c r="G86" s="59" t="s">
        <v>366</v>
      </c>
    </row>
    <row r="87">
      <c r="G87" s="59" t="s">
        <v>489</v>
      </c>
    </row>
    <row r="88">
      <c r="G88" s="59" t="s">
        <v>477</v>
      </c>
    </row>
    <row r="89">
      <c r="G89" s="59" t="s">
        <v>363</v>
      </c>
    </row>
    <row r="90">
      <c r="G90" s="59" t="s">
        <v>134</v>
      </c>
    </row>
    <row r="91">
      <c r="G91" s="59" t="s">
        <v>68</v>
      </c>
    </row>
    <row r="92">
      <c r="G92" s="59" t="s">
        <v>147</v>
      </c>
    </row>
    <row r="93">
      <c r="G93" s="59" t="s">
        <v>376</v>
      </c>
    </row>
    <row r="94">
      <c r="G94" s="59" t="s">
        <v>78</v>
      </c>
    </row>
    <row r="95">
      <c r="G95" s="59" t="s">
        <v>424</v>
      </c>
    </row>
    <row r="96">
      <c r="G96" s="59" t="s">
        <v>294</v>
      </c>
    </row>
    <row r="97">
      <c r="G97" s="59" t="s">
        <v>360</v>
      </c>
    </row>
    <row r="98">
      <c r="G98" s="59" t="s">
        <v>386</v>
      </c>
    </row>
    <row r="99">
      <c r="G99" s="59" t="s">
        <v>274</v>
      </c>
    </row>
    <row r="100">
      <c r="G100" s="59" t="s">
        <v>305</v>
      </c>
    </row>
    <row r="101">
      <c r="G101" s="59" t="s">
        <v>302</v>
      </c>
    </row>
    <row r="102">
      <c r="G102" s="59" t="s">
        <v>375</v>
      </c>
    </row>
    <row r="103">
      <c r="G103" s="59" t="s">
        <v>144</v>
      </c>
    </row>
    <row r="104">
      <c r="G104" s="59" t="s">
        <v>312</v>
      </c>
    </row>
    <row r="105">
      <c r="G105" s="59" t="s">
        <v>388</v>
      </c>
    </row>
    <row r="106">
      <c r="G106" s="59" t="s">
        <v>391</v>
      </c>
    </row>
    <row r="107">
      <c r="G107" s="59" t="s">
        <v>89</v>
      </c>
    </row>
    <row r="108">
      <c r="G108" s="59" t="s">
        <v>129</v>
      </c>
    </row>
    <row r="109">
      <c r="G109" s="59" t="s">
        <v>377</v>
      </c>
    </row>
    <row r="110">
      <c r="G110" s="59" t="s">
        <v>382</v>
      </c>
    </row>
    <row r="111">
      <c r="G111" s="59" t="s">
        <v>384</v>
      </c>
    </row>
    <row r="112">
      <c r="G112" s="59" t="s">
        <v>141</v>
      </c>
    </row>
    <row r="113">
      <c r="G113" s="59" t="s">
        <v>95</v>
      </c>
    </row>
    <row r="114">
      <c r="G114" s="59" t="s">
        <v>308</v>
      </c>
    </row>
    <row r="115">
      <c r="G115" s="59" t="s">
        <v>92</v>
      </c>
    </row>
    <row r="116">
      <c r="G116" s="59" t="s">
        <v>389</v>
      </c>
    </row>
    <row r="117">
      <c r="G117" s="59" t="s">
        <v>34</v>
      </c>
    </row>
    <row r="118">
      <c r="G118" s="59" t="s">
        <v>381</v>
      </c>
    </row>
    <row r="119">
      <c r="G119" s="59" t="s">
        <v>56</v>
      </c>
    </row>
    <row r="120">
      <c r="G120" s="59" t="s">
        <v>432</v>
      </c>
    </row>
    <row r="121">
      <c r="G121" s="59" t="s">
        <v>288</v>
      </c>
    </row>
    <row r="122">
      <c r="G122" s="59" t="s">
        <v>392</v>
      </c>
    </row>
    <row r="123">
      <c r="G123" s="59" t="s">
        <v>485</v>
      </c>
    </row>
    <row r="124">
      <c r="G124" s="59" t="s">
        <v>486</v>
      </c>
    </row>
    <row r="125">
      <c r="G125" s="59" t="s">
        <v>488</v>
      </c>
    </row>
    <row r="126">
      <c r="G126" s="59" t="s">
        <v>490</v>
      </c>
    </row>
    <row r="127">
      <c r="G127" s="59" t="s">
        <v>481</v>
      </c>
    </row>
    <row r="128">
      <c r="G128" s="59" t="s">
        <v>418</v>
      </c>
    </row>
    <row r="129">
      <c r="G129" s="59" t="s">
        <v>53</v>
      </c>
    </row>
    <row r="130">
      <c r="G130" s="59" t="s">
        <v>368</v>
      </c>
    </row>
    <row r="131">
      <c r="G131" s="59" t="s">
        <v>134</v>
      </c>
    </row>
    <row r="132">
      <c r="G132" s="59" t="s">
        <v>68</v>
      </c>
    </row>
    <row r="133">
      <c r="G133" s="59" t="s">
        <v>373</v>
      </c>
    </row>
    <row r="134">
      <c r="G134" s="59" t="s">
        <v>376</v>
      </c>
    </row>
    <row r="135">
      <c r="G135" s="59" t="s">
        <v>100</v>
      </c>
    </row>
    <row r="136">
      <c r="G136" t="s">
        <v>78</v>
      </c>
    </row>
    <row r="137">
      <c r="G137" t="s">
        <v>424</v>
      </c>
    </row>
    <row r="138">
      <c r="G138" t="s">
        <v>294</v>
      </c>
    </row>
    <row r="139">
      <c r="G139" t="s">
        <v>386</v>
      </c>
    </row>
    <row r="140">
      <c r="G140" t="s">
        <v>274</v>
      </c>
    </row>
    <row r="141">
      <c r="G141" t="s">
        <v>374</v>
      </c>
    </row>
    <row r="142">
      <c r="G142" t="s">
        <v>185</v>
      </c>
    </row>
    <row r="143">
      <c r="G143" t="s">
        <v>312</v>
      </c>
    </row>
    <row r="144">
      <c r="G144" t="s">
        <v>388</v>
      </c>
    </row>
    <row r="145">
      <c r="G145" t="s">
        <v>89</v>
      </c>
    </row>
    <row r="146">
      <c r="G146" t="s">
        <v>129</v>
      </c>
    </row>
    <row r="147">
      <c r="G147" t="s">
        <v>297</v>
      </c>
    </row>
    <row r="148">
      <c r="G148" t="s">
        <v>95</v>
      </c>
    </row>
    <row r="149">
      <c r="G149" t="s">
        <v>400</v>
      </c>
    </row>
    <row r="150">
      <c r="G150" t="s">
        <v>92</v>
      </c>
    </row>
    <row r="151">
      <c r="G151" t="s">
        <v>389</v>
      </c>
    </row>
    <row r="152">
      <c r="G152" t="s">
        <v>34</v>
      </c>
    </row>
    <row r="153">
      <c r="G153" t="s">
        <v>288</v>
      </c>
    </row>
    <row r="154">
      <c r="G154" t="s">
        <v>479</v>
      </c>
    </row>
    <row r="155">
      <c r="G155" t="s">
        <v>487</v>
      </c>
    </row>
    <row r="156">
      <c r="G156" t="s">
        <v>474</v>
      </c>
    </row>
    <row r="157">
      <c r="G157" t="s">
        <v>385</v>
      </c>
    </row>
    <row r="158">
      <c r="G158" t="s">
        <v>478</v>
      </c>
    </row>
    <row r="159">
      <c r="G159" t="s">
        <v>485</v>
      </c>
    </row>
    <row r="160">
      <c r="G160" t="s">
        <v>486</v>
      </c>
    </row>
    <row r="161">
      <c r="G161" t="s">
        <v>483</v>
      </c>
    </row>
  </sheetData>
  <drawing r:id="rId1"/>
</worksheet>
</file>