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0" windowWidth="20490" windowHeight="811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G12" i="1" s="1"/>
  <c r="I3" i="1"/>
  <c r="I2" i="1"/>
  <c r="I13" i="1" s="1"/>
  <c r="I14" i="1" s="1"/>
  <c r="I5" i="1"/>
  <c r="H5" i="1"/>
  <c r="H13" i="1" s="1"/>
  <c r="H14" i="1" s="1"/>
  <c r="H3" i="1"/>
  <c r="H2" i="1"/>
  <c r="G3" i="1"/>
  <c r="G2" i="1"/>
  <c r="G5" i="1"/>
  <c r="G13" i="1" s="1"/>
  <c r="G14" i="1" s="1"/>
  <c r="F15" i="1"/>
  <c r="F16" i="1" s="1"/>
  <c r="F17" i="1" s="1"/>
  <c r="F14" i="1"/>
  <c r="F13" i="1"/>
  <c r="F12" i="1"/>
  <c r="B14" i="1"/>
  <c r="B12" i="1"/>
  <c r="B5" i="1"/>
  <c r="B3" i="1"/>
  <c r="B2" i="1"/>
  <c r="F3" i="1"/>
  <c r="F2" i="1"/>
  <c r="F5" i="1"/>
  <c r="B13" i="1"/>
  <c r="H12" i="1" l="1"/>
  <c r="H15" i="1" s="1"/>
  <c r="H16" i="1" s="1"/>
  <c r="H17" i="1" s="1"/>
  <c r="I12" i="1"/>
  <c r="I15" i="1" s="1"/>
  <c r="I16" i="1" s="1"/>
  <c r="I17" i="1" s="1"/>
  <c r="G15" i="1"/>
  <c r="G16" i="1" s="1"/>
  <c r="G17" i="1" s="1"/>
  <c r="B15" i="1"/>
  <c r="B16" i="1" s="1"/>
  <c r="B17" i="1" s="1"/>
</calcChain>
</file>

<file path=xl/sharedStrings.xml><?xml version="1.0" encoding="utf-8"?>
<sst xmlns="http://schemas.openxmlformats.org/spreadsheetml/2006/main" count="59" uniqueCount="44">
  <si>
    <t>C_L</t>
  </si>
  <si>
    <t>pF</t>
  </si>
  <si>
    <t>cyrstal datasheet</t>
  </si>
  <si>
    <t>Parameter</t>
  </si>
  <si>
    <t>Value</t>
  </si>
  <si>
    <t>Units</t>
  </si>
  <si>
    <t>Description</t>
  </si>
  <si>
    <t>Found in:</t>
  </si>
  <si>
    <t>C_s</t>
  </si>
  <si>
    <t>Stray Capacitance</t>
  </si>
  <si>
    <t>Estimate</t>
  </si>
  <si>
    <t>C_L1, C_L2</t>
  </si>
  <si>
    <t>External Capacitors</t>
  </si>
  <si>
    <t>Caluclated (Section 3.3)</t>
  </si>
  <si>
    <t>g_m</t>
  </si>
  <si>
    <t>mA/V</t>
  </si>
  <si>
    <t>Oscillator Transconductance</t>
  </si>
  <si>
    <t>mcu datasheet</t>
  </si>
  <si>
    <t>g_mcritmax</t>
  </si>
  <si>
    <t>Maximum critical crystal g_m</t>
  </si>
  <si>
    <t>g_mcrit</t>
  </si>
  <si>
    <t>Caluclated (Section 3.4)</t>
  </si>
  <si>
    <t>minimun crystal transconductance required to make a stable oscillation</t>
  </si>
  <si>
    <t>ESR</t>
  </si>
  <si>
    <t>Ohms</t>
  </si>
  <si>
    <t>Crystal Equivalent Series Resistance</t>
  </si>
  <si>
    <t>f</t>
  </si>
  <si>
    <t>Crystal oscillation frequency</t>
  </si>
  <si>
    <t>C_0</t>
  </si>
  <si>
    <t>Cyrstal shunt capacitance</t>
  </si>
  <si>
    <t>Cyrstal load capacitance</t>
  </si>
  <si>
    <t>Hz</t>
  </si>
  <si>
    <t>F</t>
  </si>
  <si>
    <t>A/V</t>
  </si>
  <si>
    <t>gain_margin</t>
  </si>
  <si>
    <t>gain margin (Needs to be &gt; 5)</t>
  </si>
  <si>
    <t>R_EXT</t>
  </si>
  <si>
    <t>External Resistance</t>
  </si>
  <si>
    <t>Caluclated (Section 3.5.3)</t>
  </si>
  <si>
    <t>Recalculated after adding in R_EXT</t>
  </si>
  <si>
    <t>F90800018Q</t>
  </si>
  <si>
    <t>ABM3-8.000MHZ-D2Y-T</t>
  </si>
  <si>
    <t>CX532Z-A2B3C5-70-8.0D18</t>
  </si>
  <si>
    <t>FQ7050B-8.000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</si>
</sst>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ardinal-components-inc/CX532Z-A2B3C5-70-8.0D18/370-1169-1-ND/3749186" TargetMode="External"/><Relationship Id="rId2" Type="http://schemas.openxmlformats.org/officeDocument/2006/relationships/hyperlink" Target="https://www.digikey.com/product-detail/en/abracon-llc/ABM3-8.000MHZ-D2Y-T/535-10630-1-ND/2344632" TargetMode="External"/><Relationship Id="rId1" Type="http://schemas.openxmlformats.org/officeDocument/2006/relationships/hyperlink" Target="https://www.digikey.com/products/en/crystals-oscillators-resonators/crystals/171?k=crystal+oscillator&amp;k=&amp;pkeyword=crystal+oscillator&amp;pv724=657&amp;FV=1c00c5%2C1c0002%2C1c0003%2C1c0008%2C1140003%2C22c0236%2C2dc1829%2C1f140000%2Cffe000ab%2C8c000e&amp;mnonly=0&amp;newp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fox-electronics/FQ7050B-8.000/631-1029-1-ND/1024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E12" sqref="E12"/>
    </sheetView>
  </sheetViews>
  <sheetFormatPr defaultRowHeight="15" x14ac:dyDescent="0.25"/>
  <cols>
    <col min="1" max="1" width="11.85546875" bestFit="1" customWidth="1"/>
    <col min="2" max="2" width="13.42578125" bestFit="1" customWidth="1"/>
    <col min="3" max="3" width="6.28515625" bestFit="1" customWidth="1"/>
    <col min="4" max="4" width="23.7109375" bestFit="1" customWidth="1"/>
    <col min="5" max="5" width="65.5703125" bestFit="1" customWidth="1"/>
    <col min="6" max="6" width="9" customWidth="1"/>
    <col min="7" max="7" width="11.7109375" customWidth="1"/>
    <col min="8" max="8" width="12.5703125" customWidth="1"/>
  </cols>
  <sheetData>
    <row r="1" spans="1:9" ht="45" x14ac:dyDescent="0.25">
      <c r="A1" t="s">
        <v>3</v>
      </c>
      <c r="B1" t="s">
        <v>4</v>
      </c>
      <c r="C1" t="s">
        <v>5</v>
      </c>
      <c r="D1" t="s">
        <v>7</v>
      </c>
      <c r="E1" t="s">
        <v>6</v>
      </c>
      <c r="F1" s="1" t="s">
        <v>40</v>
      </c>
      <c r="G1" s="2" t="s">
        <v>41</v>
      </c>
      <c r="H1" s="2" t="s">
        <v>42</v>
      </c>
      <c r="I1" s="2" t="s">
        <v>43</v>
      </c>
    </row>
    <row r="2" spans="1:9" x14ac:dyDescent="0.25">
      <c r="A2" t="s">
        <v>0</v>
      </c>
      <c r="B2">
        <f>8*10^-12</f>
        <v>7.9999999999999998E-12</v>
      </c>
      <c r="C2" t="s">
        <v>32</v>
      </c>
      <c r="D2" t="s">
        <v>2</v>
      </c>
      <c r="E2" t="s">
        <v>30</v>
      </c>
      <c r="F2">
        <f>8*10^-12</f>
        <v>7.9999999999999998E-12</v>
      </c>
      <c r="G2">
        <f>18*10^-12</f>
        <v>1.7999999999999999E-11</v>
      </c>
      <c r="H2">
        <f>18*10^-12</f>
        <v>1.7999999999999999E-11</v>
      </c>
      <c r="I2">
        <f>20*10^-12</f>
        <v>1.9999999999999999E-11</v>
      </c>
    </row>
    <row r="3" spans="1:9" x14ac:dyDescent="0.25">
      <c r="A3" t="s">
        <v>28</v>
      </c>
      <c r="B3">
        <f>5*10^-12</f>
        <v>4.9999999999999997E-12</v>
      </c>
      <c r="C3" t="s">
        <v>32</v>
      </c>
      <c r="D3" t="s">
        <v>2</v>
      </c>
      <c r="E3" t="s">
        <v>29</v>
      </c>
      <c r="F3">
        <f>5*10^-12</f>
        <v>4.9999999999999997E-12</v>
      </c>
      <c r="G3">
        <f>7*10^-12</f>
        <v>7.0000000000000001E-12</v>
      </c>
      <c r="H3">
        <f>7*10^-12</f>
        <v>7.0000000000000001E-12</v>
      </c>
      <c r="I3">
        <f>5*10^-12</f>
        <v>4.9999999999999997E-12</v>
      </c>
    </row>
    <row r="4" spans="1:9" x14ac:dyDescent="0.25">
      <c r="A4" t="s">
        <v>23</v>
      </c>
      <c r="B4">
        <v>120</v>
      </c>
      <c r="C4" t="s">
        <v>24</v>
      </c>
      <c r="D4" t="s">
        <v>2</v>
      </c>
      <c r="E4" t="s">
        <v>25</v>
      </c>
      <c r="F4">
        <v>120</v>
      </c>
      <c r="G4">
        <v>140</v>
      </c>
      <c r="H4">
        <v>70</v>
      </c>
      <c r="I4">
        <v>80</v>
      </c>
    </row>
    <row r="5" spans="1:9" x14ac:dyDescent="0.25">
      <c r="A5" t="s">
        <v>26</v>
      </c>
      <c r="B5">
        <f>8*10^6</f>
        <v>8000000</v>
      </c>
      <c r="C5" t="s">
        <v>31</v>
      </c>
      <c r="D5" t="s">
        <v>2</v>
      </c>
      <c r="E5" t="s">
        <v>27</v>
      </c>
      <c r="F5">
        <f>8*10^6</f>
        <v>8000000</v>
      </c>
      <c r="G5">
        <f>8*10^6</f>
        <v>8000000</v>
      </c>
      <c r="H5">
        <f>8*10^6</f>
        <v>8000000</v>
      </c>
      <c r="I5">
        <f>8*10^6</f>
        <v>8000000</v>
      </c>
    </row>
    <row r="6" spans="1:9" x14ac:dyDescent="0.25">
      <c r="A6" t="s">
        <v>8</v>
      </c>
      <c r="B6">
        <f>5*10^-12</f>
        <v>4.9999999999999997E-12</v>
      </c>
      <c r="C6" t="s">
        <v>1</v>
      </c>
      <c r="D6" t="s">
        <v>10</v>
      </c>
      <c r="E6" t="s">
        <v>9</v>
      </c>
    </row>
    <row r="7" spans="1:9" x14ac:dyDescent="0.25">
      <c r="A7" t="s">
        <v>14</v>
      </c>
      <c r="B7">
        <v>5.0000000000000001E-3</v>
      </c>
      <c r="C7" t="s">
        <v>33</v>
      </c>
      <c r="D7" t="s">
        <v>17</v>
      </c>
      <c r="E7" t="s">
        <v>16</v>
      </c>
    </row>
    <row r="8" spans="1:9" x14ac:dyDescent="0.25">
      <c r="A8" t="s">
        <v>18</v>
      </c>
      <c r="B8">
        <v>1E-3</v>
      </c>
      <c r="C8" t="s">
        <v>33</v>
      </c>
      <c r="D8" t="s">
        <v>17</v>
      </c>
      <c r="E8" t="s">
        <v>19</v>
      </c>
    </row>
    <row r="12" spans="1:9" x14ac:dyDescent="0.25">
      <c r="A12" t="s">
        <v>11</v>
      </c>
      <c r="B12">
        <f>2*(B$2-$B$6)</f>
        <v>6.0000000000000003E-12</v>
      </c>
      <c r="C12" t="s">
        <v>1</v>
      </c>
      <c r="D12" t="s">
        <v>13</v>
      </c>
      <c r="E12" t="s">
        <v>12</v>
      </c>
      <c r="F12">
        <f>2*(F$2-$B$6)</f>
        <v>6.0000000000000003E-12</v>
      </c>
      <c r="G12">
        <f>2*(G$2-$B$6)</f>
        <v>2.6000000000000001E-11</v>
      </c>
      <c r="H12">
        <f>2*(H$2-$B$6)</f>
        <v>2.6000000000000001E-11</v>
      </c>
      <c r="I12">
        <f>2*(I$2-$B$6)</f>
        <v>3E-11</v>
      </c>
    </row>
    <row r="13" spans="1:9" x14ac:dyDescent="0.25">
      <c r="A13" t="s">
        <v>20</v>
      </c>
      <c r="B13">
        <f>4*B4*(2*PI()*B5)^2*(B3+B2)^2</f>
        <v>2.049593111081904E-4</v>
      </c>
      <c r="C13" t="s">
        <v>15</v>
      </c>
      <c r="D13" t="s">
        <v>21</v>
      </c>
      <c r="E13" t="s">
        <v>22</v>
      </c>
      <c r="F13" s="3">
        <f>4*F4*(2*PI()*F5)^2*(F3+F2)^2</f>
        <v>2.049593111081904E-4</v>
      </c>
      <c r="G13" s="3">
        <f>4*G4*(2*PI()*G5)^2*(G3+G2)^2</f>
        <v>8.8431655433760621E-4</v>
      </c>
      <c r="H13" s="3">
        <f>4*H4*(2*PI()*H5)^2*(H3+H2)^2</f>
        <v>4.421582771688031E-4</v>
      </c>
      <c r="I13" s="3">
        <f>4*I4*(2*PI()*I5)^2*(I3+I2)^2</f>
        <v>5.0532374533577499E-4</v>
      </c>
    </row>
    <row r="14" spans="1:9" x14ac:dyDescent="0.25">
      <c r="A14" t="s">
        <v>34</v>
      </c>
      <c r="B14">
        <f>$B$7/B13</f>
        <v>24.395085897613534</v>
      </c>
      <c r="D14" t="s">
        <v>21</v>
      </c>
      <c r="E14" t="s">
        <v>35</v>
      </c>
      <c r="F14" s="4">
        <f>$B$7/F13</f>
        <v>24.395085897613534</v>
      </c>
      <c r="G14" s="4">
        <f>$B$7/G13</f>
        <v>5.6540839086126011</v>
      </c>
      <c r="H14" s="4">
        <f>$B$7/H13</f>
        <v>11.308167817225202</v>
      </c>
      <c r="I14" s="4">
        <f>$B$7/I13</f>
        <v>9.8946468400720509</v>
      </c>
    </row>
    <row r="15" spans="1:9" x14ac:dyDescent="0.25">
      <c r="A15" t="s">
        <v>36</v>
      </c>
      <c r="B15">
        <f>1/(2*PI()*B5*B12)</f>
        <v>3315.7279810811528</v>
      </c>
      <c r="C15" t="s">
        <v>24</v>
      </c>
      <c r="D15" t="s">
        <v>38</v>
      </c>
      <c r="E15" t="s">
        <v>37</v>
      </c>
      <c r="F15">
        <f>1/(2*PI()*F5*F12)</f>
        <v>3315.7279810811528</v>
      </c>
      <c r="G15">
        <f>1/(2*PI()*G5*G12)</f>
        <v>765.16799563411223</v>
      </c>
      <c r="H15">
        <f>1/(2*PI()*H5*H12)</f>
        <v>765.16799563411223</v>
      </c>
      <c r="I15">
        <f>1/(2*PI()*I5*I12)</f>
        <v>663.14559621623062</v>
      </c>
    </row>
    <row r="16" spans="1:9" x14ac:dyDescent="0.25">
      <c r="A16" t="s">
        <v>20</v>
      </c>
      <c r="B16">
        <f>4*(B4+B15)*(2*PI()*B5)^2*(B3+B2)^2</f>
        <v>5.8682036679793903E-3</v>
      </c>
      <c r="C16" t="s">
        <v>15</v>
      </c>
      <c r="D16" t="s">
        <v>38</v>
      </c>
      <c r="E16" t="s">
        <v>39</v>
      </c>
      <c r="F16" s="3">
        <f>4*(F4+F15)*(2*PI()*F5)^2*(F3+F2)^2</f>
        <v>5.8682036679793903E-3</v>
      </c>
      <c r="G16" s="3">
        <f>4*(G4+G15)*(2*PI()*G5)^2*(G3+G2)^2</f>
        <v>5.717536021398825E-3</v>
      </c>
      <c r="H16" s="3">
        <f>4*(H4+H15)*(2*PI()*H5)^2*(H3+H2)^2</f>
        <v>5.2753777442300217E-3</v>
      </c>
      <c r="I16" s="3">
        <f>4*(I4+I15)*(2*PI()*I5)^2*(I3+I2)^2</f>
        <v>4.6941139501221647E-3</v>
      </c>
    </row>
    <row r="17" spans="1:9" x14ac:dyDescent="0.25">
      <c r="A17" t="s">
        <v>34</v>
      </c>
      <c r="B17">
        <f>$B$7/B16</f>
        <v>0.85204949979550715</v>
      </c>
      <c r="D17" t="s">
        <v>38</v>
      </c>
      <c r="E17" t="s">
        <v>35</v>
      </c>
      <c r="F17" s="4">
        <f>$B$7/F16</f>
        <v>0.85204949979550715</v>
      </c>
      <c r="G17" s="4">
        <f>$B$7/G16</f>
        <v>0.87450257965785827</v>
      </c>
      <c r="H17" s="4">
        <f>$B$7/H16</f>
        <v>0.94779942639534809</v>
      </c>
      <c r="I17" s="4">
        <f>$B$7/I16</f>
        <v>1.0651637461570089</v>
      </c>
    </row>
  </sheetData>
  <conditionalFormatting sqref="B17 B14">
    <cfRule type="cellIs" dxfId="5" priority="6" operator="lessThan">
      <formula>5</formula>
    </cfRule>
  </conditionalFormatting>
  <conditionalFormatting sqref="F17 F14">
    <cfRule type="cellIs" dxfId="3" priority="4" operator="lessThan">
      <formula>5</formula>
    </cfRule>
  </conditionalFormatting>
  <conditionalFormatting sqref="G17 G14">
    <cfRule type="cellIs" dxfId="2" priority="3" operator="lessThan">
      <formula>5</formula>
    </cfRule>
  </conditionalFormatting>
  <conditionalFormatting sqref="H17 H14">
    <cfRule type="cellIs" dxfId="1" priority="2" operator="lessThan">
      <formula>5</formula>
    </cfRule>
  </conditionalFormatting>
  <conditionalFormatting sqref="I17 I14">
    <cfRule type="cellIs" dxfId="0" priority="1" operator="lessThan">
      <formula>5</formula>
    </cfRule>
  </conditionalFormatting>
  <hyperlinks>
    <hyperlink ref="F1" r:id="rId1"/>
    <hyperlink ref="G1" r:id="rId2"/>
    <hyperlink ref="H1" r:id="rId3"/>
    <hyperlink ref="I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2017-05-20T15:47:01Z</dcterms:created>
  <dcterms:modified xsi:type="dcterms:W3CDTF">2017-05-20T16:35:18Z</dcterms:modified>
</cp:coreProperties>
</file>