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<sst xmlns="http://schemas.openxmlformats.org/spreadsheetml/2006/main" count="314" uniqueCount="212">
  <si>
    <t>Power
PS(kW)</t>
  </si>
  <si>
    <t>Notes</t>
  </si>
  <si>
    <t>65 PS (48 kW; 64 bhp)</t>
  </si>
  <si>
    <t>1 or 3 Carburettors</t>
  </si>
  <si>
    <t>100 PS (74 kW; 99 bhp)</t>
  </si>
  <si>
    <t>150 PS (110 kW; 148 bhp)</t>
  </si>
  <si>
    <t>3 Carburettors</t>
  </si>
  <si>
    <t>160 PS (118 kW; 158 bhp)</t>
  </si>
  <si>
    <t>3 Carburettors, Twin Ignition</t>
  </si>
  <si>
    <t>130 PS (96 kW; 128 bhp)</t>
  </si>
  <si>
    <t>2 Carburettors, Twin Ignition</t>
  </si>
  <si>
    <t>220–230 PS (162–169 kW; 217–227 bhp)</t>
  </si>
  <si>
    <t>340 PS (250 kW; 335 bhp)</t>
  </si>
  <si>
    <t>4 Carburettors, dry sump</t>
  </si>
  <si>
    <t>330 PS (243 kW; 325 bhp)</t>
  </si>
  <si>
    <t>Fuel Injection, wet sump</t>
  </si>
  <si>
    <t>235 PS (173 kW; 232 bhp)</t>
  </si>
  <si>
    <t>Fuel Injection</t>
  </si>
  <si>
    <t>260 PS (191 kW; 256 bhp)</t>
  </si>
  <si>
    <t>4 Carburettors</t>
  </si>
  <si>
    <t>245 PS (180 kW; 242 bhp)</t>
  </si>
  <si>
    <t>255 PS (188 kW; 252 bhp)</t>
  </si>
  <si>
    <t>Carburettor</t>
  </si>
  <si>
    <t>290 PS (213 kW; 286 bhp)</t>
  </si>
  <si>
    <t>310 PS (228 kW; 306 bhp)</t>
  </si>
  <si>
    <t>335 PS (246 kW; 330 bhp)</t>
  </si>
  <si>
    <t>320 PS (235 kW; 316 bhp)</t>
  </si>
  <si>
    <t>190 PS (140 kW; 187 bhp)</t>
  </si>
  <si>
    <t>300 PS (221 kW; 296 bhp)</t>
  </si>
  <si>
    <t>220 PS (162 kW; 217 bhp)</t>
  </si>
  <si>
    <t>200 PS (147 kW; 197 bhp)</t>
  </si>
  <si>
    <t>253–265 PS (186–195 kW; 250–261 bhp)</t>
  </si>
  <si>
    <t>159–170 PS (117–125 kW; 157–168 bhp)</t>
  </si>
  <si>
    <t>280 PS (206 kW; 276 bhp)</t>
  </si>
  <si>
    <t>208 PS (153 kW; 205 bhp)</t>
  </si>
  <si>
    <t>282 PS (207 kW; 278 bhp)</t>
  </si>
  <si>
    <t>180 PS (132 kW; 178 bhp)</t>
  </si>
  <si>
    <t>185 PS (136 kW; 182 bhp)</t>
  </si>
  <si>
    <t>205 PS (151 kW; 202 bhp)</t>
  </si>
  <si>
    <t>196 PS (144 kW; 193 bhp)</t>
  </si>
  <si>
    <t>Carburettor, Catalyst</t>
  </si>
  <si>
    <t>192 PS (141 kW; 189 bhp)</t>
  </si>
  <si>
    <t>210 PS (154 kW; 207 bhp)</t>
  </si>
  <si>
    <t>250 PS (184 kW; 247 bhp)</t>
  </si>
  <si>
    <t>Fuel Injection, no Cat.</t>
  </si>
  <si>
    <t>225 PS (165 kW; 222 bhp)</t>
  </si>
  <si>
    <t>Fuel Injection, Catalyst</t>
  </si>
  <si>
    <t>Fuel Injection (Cat?)</t>
  </si>
  <si>
    <t>Carburettor, no Cat</t>
  </si>
  <si>
    <t>Fuel Injection, not Cat</t>
  </si>
  <si>
    <t>Fuel Injection, (Cat?)</t>
  </si>
  <si>
    <t>188 PS (138 kW; 185 bhp)</t>
  </si>
  <si>
    <t>Fuel Injection, no Cat</t>
  </si>
  <si>
    <t>195 PS (143 kW; 192 bhp)</t>
  </si>
  <si>
    <t>279 PS (205 kW; 275 bhp)</t>
  </si>
  <si>
    <t>285 PS (210 kW; 281 bhp)</t>
  </si>
  <si>
    <t>248 PS (182 kW; 245 bhp)</t>
  </si>
  <si>
    <t>326 PS (240 kW; 322 bhp)</t>
  </si>
  <si>
    <t>240 PS (177 kW; 237 bhp)</t>
  </si>
  <si>
    <t>283 PS (208 kW; 279 bhp)</t>
  </si>
  <si>
    <t>Fuel Injection, no Cat, no oxygen sensor</t>
  </si>
  <si>
    <t>306 PS (225 kW; 302 bhp)</t>
  </si>
  <si>
    <t>284 PS (209 kW; 280 bhp)</t>
  </si>
  <si>
    <t>287 PS (211 kW; 283 bhp)</t>
  </si>
  <si>
    <t>370 PS (272 kW; 365 bhp)</t>
  </si>
  <si>
    <t>Automatic transmission</t>
  </si>
  <si>
    <t>390 PS (287 kW; 385 bhp)</t>
  </si>
  <si>
    <t>Cambiocorsa available</t>
  </si>
  <si>
    <t>400 PS (294 kW; 395 bhp)</t>
  </si>
  <si>
    <t>with Cambiocorsa only</t>
  </si>
  <si>
    <t>DuoSelect or Automatica</t>
  </si>
  <si>
    <t>430 PS (316 kW; 424 bhp)</t>
  </si>
  <si>
    <t>Automatica only</t>
  </si>
  <si>
    <t>630 PS (463 kW; 621 bhp)</t>
  </si>
  <si>
    <t>Developed from Enzo Ferrari</t>
  </si>
  <si>
    <t>405 PS (298 kW; 399 bhp)</t>
  </si>
  <si>
    <t>440 PS (324 kW; 434 bhp)</t>
  </si>
  <si>
    <t>410 PS (302 kW; 404 bhp)</t>
  </si>
  <si>
    <t>Q4 (AWD) available</t>
  </si>
  <si>
    <t>275 PS (202 kW; 271 bhp)</t>
  </si>
  <si>
    <t>530 PS (390 kW; 523 bhp)</t>
  </si>
  <si>
    <t>350 to 580 PS (257 to 427 kW; 345 to 572 bhp)</t>
  </si>
  <si>
    <t>First Levante with MHEV</t>
  </si>
  <si>
    <t>300 or 330 PS (221 or 243 kW; 296 or 325 bhp)</t>
  </si>
  <si>
    <t>First Year</t>
  </si>
  <si>
    <t>Displacement (cc)</t>
  </si>
  <si>
    <t>Power (bhp)</t>
  </si>
  <si>
    <t>Model</t>
  </si>
  <si>
    <t>A6 1500</t>
  </si>
  <si>
    <t>A6G 2000</t>
  </si>
  <si>
    <t>A6G54</t>
  </si>
  <si>
    <t>A6G54 ('56)</t>
  </si>
  <si>
    <t>150 GT</t>
  </si>
  <si>
    <t>3500 GT Touring</t>
  </si>
  <si>
    <t>3500 GT Spyder Vignale</t>
  </si>
  <si>
    <t>5000 GT</t>
  </si>
  <si>
    <t>5000 GT ('61)</t>
  </si>
  <si>
    <t>3500 GTI</t>
  </si>
  <si>
    <t>3500 GTI Spyder</t>
  </si>
  <si>
    <t>Mistral 3500</t>
  </si>
  <si>
    <t>Quattroporte</t>
  </si>
  <si>
    <t>3500 GTI Spyder Frua</t>
  </si>
  <si>
    <t>Mistral 3700</t>
  </si>
  <si>
    <t>Mistral 3700 Spyder</t>
  </si>
  <si>
    <t>Mistral 4000</t>
  </si>
  <si>
    <t>Mistral 4000 Spyder</t>
  </si>
  <si>
    <t>Sebring 3700</t>
  </si>
  <si>
    <t>Sebring 4000</t>
  </si>
  <si>
    <t>Mexico 4200</t>
  </si>
  <si>
    <t>Quattroporte ('66)</t>
  </si>
  <si>
    <t>Ghibli</t>
  </si>
  <si>
    <t>Ghibli Spyder</t>
  </si>
  <si>
    <t>Mexico 4700</t>
  </si>
  <si>
    <t>Ghibli SS</t>
  </si>
  <si>
    <t>Ghibli SS Spyder</t>
  </si>
  <si>
    <t>Indy Europa 4200</t>
  </si>
  <si>
    <t>Indy Europa 4700</t>
  </si>
  <si>
    <t>Khamsin 4700</t>
  </si>
  <si>
    <t>Khamsin 4900</t>
  </si>
  <si>
    <t>Bora 4.7</t>
  </si>
  <si>
    <t>Indy 4900</t>
  </si>
  <si>
    <t>Merak</t>
  </si>
  <si>
    <t>Bora 4.9 (US)</t>
  </si>
  <si>
    <t>Quattroporte II</t>
  </si>
  <si>
    <t>Bora 4.9</t>
  </si>
  <si>
    <t>Merak SS</t>
  </si>
  <si>
    <t>Quattroporte II ('75)</t>
  </si>
  <si>
    <t>4porte (Quattroporte III)</t>
  </si>
  <si>
    <t>Kyalami 4200</t>
  </si>
  <si>
    <t>Merak 2000 GT</t>
  </si>
  <si>
    <t>Kyalami 4900</t>
  </si>
  <si>
    <t>Khamsin ('79)</t>
  </si>
  <si>
    <t>Merak SS ('79)</t>
  </si>
  <si>
    <t>Quattroporte III ('81)</t>
  </si>
  <si>
    <t>Biturbo</t>
  </si>
  <si>
    <t>Biturbo E</t>
  </si>
  <si>
    <t>Biturbo S</t>
  </si>
  <si>
    <t>Biturbo S (2.5)</t>
  </si>
  <si>
    <t>Spyder (Zagato)</t>
  </si>
  <si>
    <t>Spyder (2.5)</t>
  </si>
  <si>
    <t>Biturbo (II)</t>
  </si>
  <si>
    <t>Biturbo E (II 2.5)</t>
  </si>
  <si>
    <t>Biturbo S (II)</t>
  </si>
  <si>
    <t>228 (228i)</t>
  </si>
  <si>
    <t>228 (228i) Kat</t>
  </si>
  <si>
    <t>420i</t>
  </si>
  <si>
    <t>420 S</t>
  </si>
  <si>
    <t>Biturbo i</t>
  </si>
  <si>
    <t>Quattroporte Royale (III)</t>
  </si>
  <si>
    <t>Spyder i</t>
  </si>
  <si>
    <t>425i</t>
  </si>
  <si>
    <t>Biturbo Si</t>
  </si>
  <si>
    <t>Biturbo Si (2.5)</t>
  </si>
  <si>
    <t>Spyder i ('87)</t>
  </si>
  <si>
    <t>2.24V</t>
  </si>
  <si>
    <t>222 4v</t>
  </si>
  <si>
    <t>222 E</t>
  </si>
  <si>
    <t>Karif</t>
  </si>
  <si>
    <t>Karif (kat)</t>
  </si>
  <si>
    <t>Karif (kat II)</t>
  </si>
  <si>
    <t>Spyder i (2.5)</t>
  </si>
  <si>
    <t>Spyder i (2.8)</t>
  </si>
  <si>
    <t>Spyder i (2.8, kat)</t>
  </si>
  <si>
    <t>Spyder i ('90)</t>
  </si>
  <si>
    <t>222 SE</t>
  </si>
  <si>
    <t>222 SE (kat)</t>
  </si>
  <si>
    <t>4.18v</t>
  </si>
  <si>
    <t>4.24v</t>
  </si>
  <si>
    <t>Shamal</t>
  </si>
  <si>
    <t>2.24v II</t>
  </si>
  <si>
    <t>2.24v II (kat)</t>
  </si>
  <si>
    <t>222 SR</t>
  </si>
  <si>
    <t>4.24v II (kat)</t>
  </si>
  <si>
    <t>430 4v</t>
  </si>
  <si>
    <t>Racing</t>
  </si>
  <si>
    <t>Spyder III</t>
  </si>
  <si>
    <t>Spyder III (2.8, kat)</t>
  </si>
  <si>
    <t>Spyder III (kat)</t>
  </si>
  <si>
    <t>Barchetta Stradale</t>
  </si>
  <si>
    <t>Ghibli II (2.0)</t>
  </si>
  <si>
    <t>Ghibli II (2.8)</t>
  </si>
  <si>
    <t>Quattroporte (2.0)</t>
  </si>
  <si>
    <t>Quattroporte (2.8)</t>
  </si>
  <si>
    <t>Ghibli Cup</t>
  </si>
  <si>
    <t>Quattroporte Ottocilindri</t>
  </si>
  <si>
    <t>Ghibli Primatist</t>
  </si>
  <si>
    <t>3200 GT</t>
  </si>
  <si>
    <t>Quattroporte V6 Evoluzione</t>
  </si>
  <si>
    <t>Quattroporte V8 Evoluzione</t>
  </si>
  <si>
    <t>3200 GTA</t>
  </si>
  <si>
    <t>Coupé</t>
  </si>
  <si>
    <t>Spyder</t>
  </si>
  <si>
    <t>GranSport</t>
  </si>
  <si>
    <t>GranSport Spyder</t>
  </si>
  <si>
    <t>Quattroporte V</t>
  </si>
  <si>
    <t>Quattroporte V S</t>
  </si>
  <si>
    <t>MC12</t>
  </si>
  <si>
    <t>GranTurismo</t>
  </si>
  <si>
    <t>GranTurismo S</t>
  </si>
  <si>
    <t>GranCabrio</t>
  </si>
  <si>
    <t>Ghibli III</t>
  </si>
  <si>
    <t>Ghibli III S</t>
  </si>
  <si>
    <t>Ghibli III Diesel</t>
  </si>
  <si>
    <t>Quattroporte VI S</t>
  </si>
  <si>
    <t>Quattroporte VI GTS</t>
  </si>
  <si>
    <t>Quattroporte VI Diesel</t>
  </si>
  <si>
    <t>Levante</t>
  </si>
  <si>
    <t>MC20</t>
  </si>
  <si>
    <t>Levante Hybrid</t>
  </si>
  <si>
    <t>Grecale</t>
  </si>
  <si>
    <t>Grecale Trofeo</t>
  </si>
  <si>
    <t>MC20 Cielo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</si>
</sst>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2" fontId="2" numFmtId="4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3.5"/>
    <col customWidth="1" min="12" max="12" width="30.63"/>
  </cols>
  <sheetData>
    <row r="1">
      <c r="A1" s="1" t="str">
        <f>IFERROR(__xludf.DUMMYFUNCTION("IMPORTHTML(""https://en.wikipedia.org/wiki/List_of_Maserati_vehicles"",""table"")"),"Model")</f>
        <v>Model</v>
      </c>
      <c r="B1" s="1" t="str">
        <f>IFERROR(__xludf.DUMMYFUNCTION("""COMPUTED_VALUE"""),"First Year")</f>
        <v>First Year</v>
      </c>
      <c r="C1" s="1" t="str">
        <f>IFERROR(__xludf.DUMMYFUNCTION("""COMPUTED_VALUE"""),"Last Year")</f>
        <v>Last Year</v>
      </c>
      <c r="D1" s="1" t="str">
        <f>IFERROR(__xludf.DUMMYFUNCTION("""COMPUTED_VALUE"""),"Distribution")</f>
        <v>Distribution</v>
      </c>
      <c r="E1" s="1" t="str">
        <f>IFERROR(__xludf.DUMMYFUNCTION("""COMPUTED_VALUE"""),"Engine")</f>
        <v>Engine</v>
      </c>
      <c r="F1" s="1" t="str">
        <f>IFERROR(__xludf.DUMMYFUNCTION("""COMPUTED_VALUE"""),"Displacement
cc")</f>
        <v>Displacement
cc</v>
      </c>
      <c r="G1" s="1" t="str">
        <f>IFERROR(__xludf.DUMMYFUNCTION("""COMPUTED_VALUE"""),"Power
PS(kW)")</f>
        <v>Power
PS(kW)</v>
      </c>
      <c r="H1" s="1" t="str">
        <f>IFERROR(__xludf.DUMMYFUNCTION("""COMPUTED_VALUE"""),"Notes")</f>
        <v>Notes</v>
      </c>
      <c r="L1" s="1" t="s">
        <v>0</v>
      </c>
      <c r="M1" s="1" t="s">
        <v>1</v>
      </c>
    </row>
    <row r="2">
      <c r="A2" s="1" t="str">
        <f>IFERROR(__xludf.DUMMYFUNCTION("""COMPUTED_VALUE"""),"A6 1500")</f>
        <v>A6 1500</v>
      </c>
      <c r="B2" s="1">
        <f>IFERROR(__xludf.DUMMYFUNCTION("""COMPUTED_VALUE"""),1946.0)</f>
        <v>1946</v>
      </c>
      <c r="C2" s="1">
        <f>IFERROR(__xludf.DUMMYFUNCTION("""COMPUTED_VALUE"""),1950.0)</f>
        <v>1950</v>
      </c>
      <c r="D2" s="1" t="str">
        <f>IFERROR(__xludf.DUMMYFUNCTION("""COMPUTED_VALUE"""),"international")</f>
        <v>international</v>
      </c>
      <c r="E2" s="1" t="str">
        <f>IFERROR(__xludf.DUMMYFUNCTION("""COMPUTED_VALUE"""),"I6")</f>
        <v>I6</v>
      </c>
      <c r="F2" s="1" t="str">
        <f>IFERROR(__xludf.DUMMYFUNCTION("""COMPUTED_VALUE"""),"1,489 cc (91 cu in)")</f>
        <v>1,489 cc (91 cu in)</v>
      </c>
      <c r="G2" s="1" t="str">
        <f>IFERROR(__xludf.DUMMYFUNCTION("""COMPUTED_VALUE"""),"65 PS (48 kW; 64 bhp)")</f>
        <v>65 PS (48 kW; 64 bhp)</v>
      </c>
      <c r="H2" s="1" t="str">
        <f>IFERROR(__xludf.DUMMYFUNCTION("""COMPUTED_VALUE"""),"1 or 3 Carburettors")</f>
        <v>1 or 3 Carburettors</v>
      </c>
      <c r="L2" s="1" t="s">
        <v>2</v>
      </c>
      <c r="M2" s="1" t="s">
        <v>3</v>
      </c>
    </row>
    <row r="3">
      <c r="A3" s="1" t="str">
        <f>IFERROR(__xludf.DUMMYFUNCTION("""COMPUTED_VALUE"""),"A6G 2000")</f>
        <v>A6G 2000</v>
      </c>
      <c r="B3" s="1">
        <f>IFERROR(__xludf.DUMMYFUNCTION("""COMPUTED_VALUE"""),1950.0)</f>
        <v>1950</v>
      </c>
      <c r="C3" s="1">
        <f>IFERROR(__xludf.DUMMYFUNCTION("""COMPUTED_VALUE"""),1951.0)</f>
        <v>1951</v>
      </c>
      <c r="D3" s="1" t="str">
        <f>IFERROR(__xludf.DUMMYFUNCTION("""COMPUTED_VALUE"""),"international")</f>
        <v>international</v>
      </c>
      <c r="E3" s="1"/>
      <c r="F3" s="1" t="str">
        <f>IFERROR(__xludf.DUMMYFUNCTION("""COMPUTED_VALUE"""),"1,954 cc (119 cu in)")</f>
        <v>1,954 cc (119 cu in)</v>
      </c>
      <c r="G3" s="1" t="str">
        <f>IFERROR(__xludf.DUMMYFUNCTION("""COMPUTED_VALUE"""),"100 PS (74 kW; 99 bhp)")</f>
        <v>100 PS (74 kW; 99 bhp)</v>
      </c>
      <c r="H3" s="1"/>
      <c r="L3" s="1" t="s">
        <v>4</v>
      </c>
    </row>
    <row r="4">
      <c r="A4" s="1" t="str">
        <f>IFERROR(__xludf.DUMMYFUNCTION("""COMPUTED_VALUE"""),"A6G54")</f>
        <v>A6G54</v>
      </c>
      <c r="B4" s="1">
        <f>IFERROR(__xludf.DUMMYFUNCTION("""COMPUTED_VALUE"""),1954.0)</f>
        <v>1954</v>
      </c>
      <c r="C4" s="1">
        <f>IFERROR(__xludf.DUMMYFUNCTION("""COMPUTED_VALUE"""),1956.0)</f>
        <v>1956</v>
      </c>
      <c r="D4" s="1" t="str">
        <f>IFERROR(__xludf.DUMMYFUNCTION("""COMPUTED_VALUE"""),"international")</f>
        <v>international</v>
      </c>
      <c r="E4" s="1"/>
      <c r="F4" s="1" t="str">
        <f>IFERROR(__xludf.DUMMYFUNCTION("""COMPUTED_VALUE"""),"1,986 cc (121 cu in)")</f>
        <v>1,986 cc (121 cu in)</v>
      </c>
      <c r="G4" s="1" t="str">
        <f>IFERROR(__xludf.DUMMYFUNCTION("""COMPUTED_VALUE"""),"150 PS (110 kW; 148 bhp)")</f>
        <v>150 PS (110 kW; 148 bhp)</v>
      </c>
      <c r="H4" s="1" t="str">
        <f>IFERROR(__xludf.DUMMYFUNCTION("""COMPUTED_VALUE"""),"3 Carburettors")</f>
        <v>3 Carburettors</v>
      </c>
      <c r="L4" s="1" t="s">
        <v>5</v>
      </c>
      <c r="M4" s="1" t="s">
        <v>6</v>
      </c>
    </row>
    <row r="5">
      <c r="A5" s="1" t="str">
        <f>IFERROR(__xludf.DUMMYFUNCTION("""COMPUTED_VALUE"""),"A6G54 ('56)")</f>
        <v>A6G54 ('56)</v>
      </c>
      <c r="B5" s="1">
        <f>IFERROR(__xludf.DUMMYFUNCTION("""COMPUTED_VALUE"""),1956.0)</f>
        <v>1956</v>
      </c>
      <c r="C5" s="1">
        <f>IFERROR(__xludf.DUMMYFUNCTION("""COMPUTED_VALUE"""),1957.0)</f>
        <v>1957</v>
      </c>
      <c r="D5" s="1" t="str">
        <f>IFERROR(__xludf.DUMMYFUNCTION("""COMPUTED_VALUE"""),"international")</f>
        <v>international</v>
      </c>
      <c r="E5" s="1"/>
      <c r="F5" s="1" t="str">
        <f>IFERROR(__xludf.DUMMYFUNCTION("""COMPUTED_VALUE"""),"1,986 cc (121 cu in)")</f>
        <v>1,986 cc (121 cu in)</v>
      </c>
      <c r="G5" s="1" t="str">
        <f>IFERROR(__xludf.DUMMYFUNCTION("""COMPUTED_VALUE"""),"160 PS (118 kW; 158 bhp)")</f>
        <v>160 PS (118 kW; 158 bhp)</v>
      </c>
      <c r="H5" s="1" t="str">
        <f>IFERROR(__xludf.DUMMYFUNCTION("""COMPUTED_VALUE"""),"3 Carburettors, Twin Ignition")</f>
        <v>3 Carburettors, Twin Ignition</v>
      </c>
      <c r="L5" s="1" t="s">
        <v>7</v>
      </c>
      <c r="M5" s="1" t="s">
        <v>8</v>
      </c>
    </row>
    <row r="6">
      <c r="A6" s="1" t="str">
        <f>IFERROR(__xludf.DUMMYFUNCTION("""COMPUTED_VALUE"""),"150 GT")</f>
        <v>150 GT</v>
      </c>
      <c r="B6" s="1">
        <f>IFERROR(__xludf.DUMMYFUNCTION("""COMPUTED_VALUE"""),1957.0)</f>
        <v>1957</v>
      </c>
      <c r="C6" s="1">
        <f>IFERROR(__xludf.DUMMYFUNCTION("""COMPUTED_VALUE"""),1957.0)</f>
        <v>1957</v>
      </c>
      <c r="D6" s="1" t="str">
        <f>IFERROR(__xludf.DUMMYFUNCTION("""COMPUTED_VALUE"""),"Prototype")</f>
        <v>Prototype</v>
      </c>
      <c r="E6" s="1" t="str">
        <f>IFERROR(__xludf.DUMMYFUNCTION("""COMPUTED_VALUE"""),"I4")</f>
        <v>I4</v>
      </c>
      <c r="F6" s="1" t="str">
        <f>IFERROR(__xludf.DUMMYFUNCTION("""COMPUTED_VALUE"""),"1,484.1 cc (91 cu in)")</f>
        <v>1,484.1 cc (91 cu in)</v>
      </c>
      <c r="G6" s="1" t="str">
        <f>IFERROR(__xludf.DUMMYFUNCTION("""COMPUTED_VALUE"""),"130 PS (96 kW; 128 bhp)")</f>
        <v>130 PS (96 kW; 128 bhp)</v>
      </c>
      <c r="H6" s="1" t="str">
        <f>IFERROR(__xludf.DUMMYFUNCTION("""COMPUTED_VALUE"""),"2 Carburettors, Twin Ignition")</f>
        <v>2 Carburettors, Twin Ignition</v>
      </c>
      <c r="L6" s="1" t="s">
        <v>9</v>
      </c>
      <c r="M6" s="1" t="s">
        <v>10</v>
      </c>
    </row>
    <row r="7">
      <c r="A7" s="1" t="str">
        <f>IFERROR(__xludf.DUMMYFUNCTION("""COMPUTED_VALUE"""),"3500 GT Touring")</f>
        <v>3500 GT Touring</v>
      </c>
      <c r="B7" s="1">
        <f>IFERROR(__xludf.DUMMYFUNCTION("""COMPUTED_VALUE"""),1957.0)</f>
        <v>1957</v>
      </c>
      <c r="C7" s="1">
        <f>IFERROR(__xludf.DUMMYFUNCTION("""COMPUTED_VALUE"""),1962.0)</f>
        <v>1962</v>
      </c>
      <c r="D7" s="1" t="str">
        <f>IFERROR(__xludf.DUMMYFUNCTION("""COMPUTED_VALUE"""),"international")</f>
        <v>international</v>
      </c>
      <c r="E7" s="1" t="str">
        <f>IFERROR(__xludf.DUMMYFUNCTION("""COMPUTED_VALUE"""),"I6")</f>
        <v>I6</v>
      </c>
      <c r="F7" s="1" t="str">
        <f>IFERROR(__xludf.DUMMYFUNCTION("""COMPUTED_VALUE"""),"3,485 cc (213 cu in)")</f>
        <v>3,485 cc (213 cu in)</v>
      </c>
      <c r="G7" s="1" t="str">
        <f>IFERROR(__xludf.DUMMYFUNCTION("""COMPUTED_VALUE"""),"220–230 PS (162–169 kW; 217–227 bhp)")</f>
        <v>220–230 PS (162–169 kW; 217–227 bhp)</v>
      </c>
      <c r="H7" s="1" t="str">
        <f>IFERROR(__xludf.DUMMYFUNCTION("""COMPUTED_VALUE"""),"3 Carburettors")</f>
        <v>3 Carburettors</v>
      </c>
      <c r="L7" s="1" t="s">
        <v>11</v>
      </c>
      <c r="M7" s="1" t="s">
        <v>6</v>
      </c>
    </row>
    <row r="8">
      <c r="A8" s="1" t="str">
        <f>IFERROR(__xludf.DUMMYFUNCTION("""COMPUTED_VALUE"""),"3500 GT Spyder Vignale")</f>
        <v>3500 GT Spyder Vignale</v>
      </c>
      <c r="B8" s="1">
        <f>IFERROR(__xludf.DUMMYFUNCTION("""COMPUTED_VALUE"""),1959.0)</f>
        <v>1959</v>
      </c>
      <c r="C8" s="1">
        <f>IFERROR(__xludf.DUMMYFUNCTION("""COMPUTED_VALUE"""),1962.0)</f>
        <v>1962</v>
      </c>
      <c r="D8" s="1" t="str">
        <f>IFERROR(__xludf.DUMMYFUNCTION("""COMPUTED_VALUE"""),"international")</f>
        <v>international</v>
      </c>
      <c r="E8" s="1"/>
      <c r="F8" s="1" t="str">
        <f>IFERROR(__xludf.DUMMYFUNCTION("""COMPUTED_VALUE"""),"3,485 cc (213 cu in)")</f>
        <v>3,485 cc (213 cu in)</v>
      </c>
      <c r="G8" s="1" t="str">
        <f>IFERROR(__xludf.DUMMYFUNCTION("""COMPUTED_VALUE"""),"220–230 PS (162–169 kW; 217–227 bhp)")</f>
        <v>220–230 PS (162–169 kW; 217–227 bhp)</v>
      </c>
      <c r="H8" s="1"/>
      <c r="L8" s="1" t="s">
        <v>11</v>
      </c>
    </row>
    <row r="9">
      <c r="A9" s="1" t="str">
        <f>IFERROR(__xludf.DUMMYFUNCTION("""COMPUTED_VALUE"""),"5000 GT")</f>
        <v>5000 GT</v>
      </c>
      <c r="B9" s="1">
        <f>IFERROR(__xludf.DUMMYFUNCTION("""COMPUTED_VALUE"""),1959.0)</f>
        <v>1959</v>
      </c>
      <c r="C9" s="1">
        <f>IFERROR(__xludf.DUMMYFUNCTION("""COMPUTED_VALUE"""),1961.0)</f>
        <v>1961</v>
      </c>
      <c r="D9" s="1" t="str">
        <f>IFERROR(__xludf.DUMMYFUNCTION("""COMPUTED_VALUE"""),"international")</f>
        <v>international</v>
      </c>
      <c r="E9" s="1" t="str">
        <f>IFERROR(__xludf.DUMMYFUNCTION("""COMPUTED_VALUE"""),"V8")</f>
        <v>V8</v>
      </c>
      <c r="F9" s="1" t="str">
        <f>IFERROR(__xludf.DUMMYFUNCTION("""COMPUTED_VALUE"""),"4,938 cc (301 cu in) AM 103")</f>
        <v>4,938 cc (301 cu in) AM 103</v>
      </c>
      <c r="G9" s="1" t="str">
        <f>IFERROR(__xludf.DUMMYFUNCTION("""COMPUTED_VALUE"""),"340 PS (250 kW; 335 bhp)")</f>
        <v>340 PS (250 kW; 335 bhp)</v>
      </c>
      <c r="H9" s="1" t="str">
        <f>IFERROR(__xludf.DUMMYFUNCTION("""COMPUTED_VALUE"""),"4 Carburettors, dry sump")</f>
        <v>4 Carburettors, dry sump</v>
      </c>
      <c r="L9" s="1" t="s">
        <v>12</v>
      </c>
      <c r="M9" s="1" t="s">
        <v>13</v>
      </c>
    </row>
    <row r="10">
      <c r="A10" s="1" t="str">
        <f>IFERROR(__xludf.DUMMYFUNCTION("""COMPUTED_VALUE"""),"5000 GT ('61)")</f>
        <v>5000 GT ('61)</v>
      </c>
      <c r="B10" s="1">
        <f>IFERROR(__xludf.DUMMYFUNCTION("""COMPUTED_VALUE"""),1961.0)</f>
        <v>1961</v>
      </c>
      <c r="C10" s="1">
        <f>IFERROR(__xludf.DUMMYFUNCTION("""COMPUTED_VALUE"""),1964.0)</f>
        <v>1964</v>
      </c>
      <c r="D10" s="1" t="str">
        <f>IFERROR(__xludf.DUMMYFUNCTION("""COMPUTED_VALUE"""),"international")</f>
        <v>international</v>
      </c>
      <c r="E10" s="1"/>
      <c r="F10" s="1" t="str">
        <f>IFERROR(__xludf.DUMMYFUNCTION("""COMPUTED_VALUE"""),"4,941 cc (302 cu in) AM 103")</f>
        <v>4,941 cc (302 cu in) AM 103</v>
      </c>
      <c r="G10" s="1" t="str">
        <f>IFERROR(__xludf.DUMMYFUNCTION("""COMPUTED_VALUE"""),"330 PS (243 kW; 325 bhp)")</f>
        <v>330 PS (243 kW; 325 bhp)</v>
      </c>
      <c r="H10" s="1" t="str">
        <f>IFERROR(__xludf.DUMMYFUNCTION("""COMPUTED_VALUE"""),"Fuel Injection, wet sump")</f>
        <v>Fuel Injection, wet sump</v>
      </c>
      <c r="L10" s="1" t="s">
        <v>14</v>
      </c>
      <c r="M10" s="1" t="s">
        <v>15</v>
      </c>
    </row>
    <row r="11">
      <c r="A11" s="1" t="str">
        <f>IFERROR(__xludf.DUMMYFUNCTION("""COMPUTED_VALUE"""),"3500 GTI")</f>
        <v>3500 GTI</v>
      </c>
      <c r="B11" s="1">
        <f>IFERROR(__xludf.DUMMYFUNCTION("""COMPUTED_VALUE"""),1962.0)</f>
        <v>1962</v>
      </c>
      <c r="C11" s="1">
        <f>IFERROR(__xludf.DUMMYFUNCTION("""COMPUTED_VALUE"""),1964.0)</f>
        <v>1964</v>
      </c>
      <c r="D11" s="1" t="str">
        <f>IFERROR(__xludf.DUMMYFUNCTION("""COMPUTED_VALUE"""),"international")</f>
        <v>international</v>
      </c>
      <c r="E11" s="1" t="str">
        <f>IFERROR(__xludf.DUMMYFUNCTION("""COMPUTED_VALUE"""),"I6")</f>
        <v>I6</v>
      </c>
      <c r="F11" s="1" t="str">
        <f>IFERROR(__xludf.DUMMYFUNCTION("""COMPUTED_VALUE"""),"3,485 cc (213 cu in)")</f>
        <v>3,485 cc (213 cu in)</v>
      </c>
      <c r="G11" s="1" t="str">
        <f>IFERROR(__xludf.DUMMYFUNCTION("""COMPUTED_VALUE"""),"235 PS (173 kW; 232 bhp)")</f>
        <v>235 PS (173 kW; 232 bhp)</v>
      </c>
      <c r="H11" s="1" t="str">
        <f>IFERROR(__xludf.DUMMYFUNCTION("""COMPUTED_VALUE"""),"Fuel Injection")</f>
        <v>Fuel Injection</v>
      </c>
      <c r="L11" s="1" t="s">
        <v>16</v>
      </c>
      <c r="M11" s="1" t="s">
        <v>17</v>
      </c>
    </row>
    <row r="12">
      <c r="A12" s="1" t="str">
        <f>IFERROR(__xludf.DUMMYFUNCTION("""COMPUTED_VALUE"""),"3500 GTI Spyder")</f>
        <v>3500 GTI Spyder</v>
      </c>
      <c r="B12" s="1">
        <f>IFERROR(__xludf.DUMMYFUNCTION("""COMPUTED_VALUE"""),1962.0)</f>
        <v>1962</v>
      </c>
      <c r="C12" s="1">
        <f>IFERROR(__xludf.DUMMYFUNCTION("""COMPUTED_VALUE"""),1964.0)</f>
        <v>1964</v>
      </c>
      <c r="D12" s="1" t="str">
        <f>IFERROR(__xludf.DUMMYFUNCTION("""COMPUTED_VALUE"""),"international")</f>
        <v>international</v>
      </c>
      <c r="E12" s="1"/>
      <c r="F12" s="1" t="str">
        <f>IFERROR(__xludf.DUMMYFUNCTION("""COMPUTED_VALUE"""),"3,485 cc (213 cu in)")</f>
        <v>3,485 cc (213 cu in)</v>
      </c>
      <c r="G12" s="1" t="str">
        <f>IFERROR(__xludf.DUMMYFUNCTION("""COMPUTED_VALUE"""),"235 PS (173 kW; 232 bhp)")</f>
        <v>235 PS (173 kW; 232 bhp)</v>
      </c>
      <c r="H12" s="1"/>
      <c r="L12" s="1" t="s">
        <v>16</v>
      </c>
    </row>
    <row r="13">
      <c r="A13" s="1" t="str">
        <f>IFERROR(__xludf.DUMMYFUNCTION("""COMPUTED_VALUE"""),"Mistral 3500")</f>
        <v>Mistral 3500</v>
      </c>
      <c r="B13" s="1">
        <f>IFERROR(__xludf.DUMMYFUNCTION("""COMPUTED_VALUE"""),1963.0)</f>
        <v>1963</v>
      </c>
      <c r="C13" s="1">
        <f>IFERROR(__xludf.DUMMYFUNCTION("""COMPUTED_VALUE"""),1965.0)</f>
        <v>1965</v>
      </c>
      <c r="D13" s="1" t="str">
        <f>IFERROR(__xludf.DUMMYFUNCTION("""COMPUTED_VALUE"""),"international")</f>
        <v>international</v>
      </c>
      <c r="E13" s="1"/>
      <c r="F13" s="1" t="str">
        <f>IFERROR(__xludf.DUMMYFUNCTION("""COMPUTED_VALUE"""),"3,485 cc (213 cu in)")</f>
        <v>3,485 cc (213 cu in)</v>
      </c>
      <c r="G13" s="1" t="str">
        <f>IFERROR(__xludf.DUMMYFUNCTION("""COMPUTED_VALUE"""),"235 PS (173 kW; 232 bhp)")</f>
        <v>235 PS (173 kW; 232 bhp)</v>
      </c>
      <c r="H13" s="1"/>
      <c r="L13" s="1" t="s">
        <v>16</v>
      </c>
    </row>
    <row r="14">
      <c r="A14" s="1" t="str">
        <f>IFERROR(__xludf.DUMMYFUNCTION("""COMPUTED_VALUE"""),"Quattroporte")</f>
        <v>Quattroporte</v>
      </c>
      <c r="B14" s="1">
        <f>IFERROR(__xludf.DUMMYFUNCTION("""COMPUTED_VALUE"""),1963.0)</f>
        <v>1963</v>
      </c>
      <c r="C14" s="1">
        <f>IFERROR(__xludf.DUMMYFUNCTION("""COMPUTED_VALUE"""),1966.0)</f>
        <v>1966</v>
      </c>
      <c r="D14" s="1" t="str">
        <f>IFERROR(__xludf.DUMMYFUNCTION("""COMPUTED_VALUE"""),"international")</f>
        <v>international</v>
      </c>
      <c r="E14" s="1" t="str">
        <f>IFERROR(__xludf.DUMMYFUNCTION("""COMPUTED_VALUE"""),"V8")</f>
        <v>V8</v>
      </c>
      <c r="F14" s="1" t="str">
        <f>IFERROR(__xludf.DUMMYFUNCTION("""COMPUTED_VALUE"""),"4,136 cc (252 cu in) AM 107")</f>
        <v>4,136 cc (252 cu in) AM 107</v>
      </c>
      <c r="G14" s="1" t="str">
        <f>IFERROR(__xludf.DUMMYFUNCTION("""COMPUTED_VALUE"""),"260 PS (191 kW; 256 bhp)")</f>
        <v>260 PS (191 kW; 256 bhp)</v>
      </c>
      <c r="H14" s="1" t="str">
        <f>IFERROR(__xludf.DUMMYFUNCTION("""COMPUTED_VALUE"""),"4 Carburettors")</f>
        <v>4 Carburettors</v>
      </c>
      <c r="L14" s="1" t="s">
        <v>18</v>
      </c>
      <c r="M14" s="1" t="s">
        <v>19</v>
      </c>
    </row>
    <row r="15">
      <c r="A15" s="1" t="str">
        <f>IFERROR(__xludf.DUMMYFUNCTION("""COMPUTED_VALUE"""),"3500 GTI Spyder Frua")</f>
        <v>3500 GTI Spyder Frua</v>
      </c>
      <c r="B15" s="1">
        <f>IFERROR(__xludf.DUMMYFUNCTION("""COMPUTED_VALUE"""),1964.0)</f>
        <v>1964</v>
      </c>
      <c r="C15" s="1">
        <f>IFERROR(__xludf.DUMMYFUNCTION("""COMPUTED_VALUE"""),1965.0)</f>
        <v>1965</v>
      </c>
      <c r="D15" s="1" t="str">
        <f>IFERROR(__xludf.DUMMYFUNCTION("""COMPUTED_VALUE"""),"international")</f>
        <v>international</v>
      </c>
      <c r="E15" s="1" t="str">
        <f>IFERROR(__xludf.DUMMYFUNCTION("""COMPUTED_VALUE"""),"I6")</f>
        <v>I6</v>
      </c>
      <c r="F15" s="1" t="str">
        <f>IFERROR(__xludf.DUMMYFUNCTION("""COMPUTED_VALUE"""),"3,485 cc (213 cu in)")</f>
        <v>3,485 cc (213 cu in)</v>
      </c>
      <c r="G15" s="1" t="str">
        <f>IFERROR(__xludf.DUMMYFUNCTION("""COMPUTED_VALUE"""),"235 PS (173 kW; 232 bhp)")</f>
        <v>235 PS (173 kW; 232 bhp)</v>
      </c>
      <c r="H15" s="1" t="str">
        <f>IFERROR(__xludf.DUMMYFUNCTION("""COMPUTED_VALUE"""),"Fuel Injection")</f>
        <v>Fuel Injection</v>
      </c>
      <c r="L15" s="1" t="s">
        <v>16</v>
      </c>
      <c r="M15" s="1" t="s">
        <v>17</v>
      </c>
    </row>
    <row r="16">
      <c r="A16" s="1" t="str">
        <f>IFERROR(__xludf.DUMMYFUNCTION("""COMPUTED_VALUE"""),"Mistral 3700")</f>
        <v>Mistral 3700</v>
      </c>
      <c r="B16" s="1">
        <f>IFERROR(__xludf.DUMMYFUNCTION("""COMPUTED_VALUE"""),1965.0)</f>
        <v>1965</v>
      </c>
      <c r="C16" s="1">
        <f>IFERROR(__xludf.DUMMYFUNCTION("""COMPUTED_VALUE"""),1970.0)</f>
        <v>1970</v>
      </c>
      <c r="D16" s="1" t="str">
        <f>IFERROR(__xludf.DUMMYFUNCTION("""COMPUTED_VALUE"""),"international")</f>
        <v>international</v>
      </c>
      <c r="E16" s="1"/>
      <c r="F16" s="1" t="str">
        <f>IFERROR(__xludf.DUMMYFUNCTION("""COMPUTED_VALUE"""),"3,692 cc (225 cu in)")</f>
        <v>3,692 cc (225 cu in)</v>
      </c>
      <c r="G16" s="1" t="str">
        <f>IFERROR(__xludf.DUMMYFUNCTION("""COMPUTED_VALUE"""),"245 PS (180 kW; 242 bhp)")</f>
        <v>245 PS (180 kW; 242 bhp)</v>
      </c>
      <c r="H16" s="1"/>
      <c r="L16" s="1" t="s">
        <v>20</v>
      </c>
    </row>
    <row r="17">
      <c r="A17" s="1" t="str">
        <f>IFERROR(__xludf.DUMMYFUNCTION("""COMPUTED_VALUE"""),"Mistral 3700 Spyder")</f>
        <v>Mistral 3700 Spyder</v>
      </c>
      <c r="B17" s="1">
        <f>IFERROR(__xludf.DUMMYFUNCTION("""COMPUTED_VALUE"""),1965.0)</f>
        <v>1965</v>
      </c>
      <c r="C17" s="1">
        <f>IFERROR(__xludf.DUMMYFUNCTION("""COMPUTED_VALUE"""),1970.0)</f>
        <v>1970</v>
      </c>
      <c r="D17" s="1" t="str">
        <f>IFERROR(__xludf.DUMMYFUNCTION("""COMPUTED_VALUE"""),"international")</f>
        <v>international</v>
      </c>
      <c r="E17" s="1"/>
      <c r="F17" s="1" t="str">
        <f>IFERROR(__xludf.DUMMYFUNCTION("""COMPUTED_VALUE"""),"3,692 cc (225 cu in)")</f>
        <v>3,692 cc (225 cu in)</v>
      </c>
      <c r="G17" s="1" t="str">
        <f>IFERROR(__xludf.DUMMYFUNCTION("""COMPUTED_VALUE"""),"245 PS (180 kW; 242 bhp)")</f>
        <v>245 PS (180 kW; 242 bhp)</v>
      </c>
      <c r="H17" s="1"/>
      <c r="L17" s="1" t="s">
        <v>20</v>
      </c>
    </row>
    <row r="18">
      <c r="A18" s="1" t="str">
        <f>IFERROR(__xludf.DUMMYFUNCTION("""COMPUTED_VALUE"""),"Mistral 4000")</f>
        <v>Mistral 4000</v>
      </c>
      <c r="B18" s="1">
        <f>IFERROR(__xludf.DUMMYFUNCTION("""COMPUTED_VALUE"""),1965.0)</f>
        <v>1965</v>
      </c>
      <c r="C18" s="1">
        <f>IFERROR(__xludf.DUMMYFUNCTION("""COMPUTED_VALUE"""),1970.0)</f>
        <v>1970</v>
      </c>
      <c r="D18" s="1" t="str">
        <f>IFERROR(__xludf.DUMMYFUNCTION("""COMPUTED_VALUE"""),"international")</f>
        <v>international</v>
      </c>
      <c r="E18" s="1"/>
      <c r="F18" s="1" t="str">
        <f>IFERROR(__xludf.DUMMYFUNCTION("""COMPUTED_VALUE"""),"4,000 cc (244 cu in)")</f>
        <v>4,000 cc (244 cu in)</v>
      </c>
      <c r="G18" s="1" t="str">
        <f>IFERROR(__xludf.DUMMYFUNCTION("""COMPUTED_VALUE"""),"255 PS (188 kW; 252 bhp)")</f>
        <v>255 PS (188 kW; 252 bhp)</v>
      </c>
      <c r="H18" s="1"/>
      <c r="L18" s="1" t="s">
        <v>21</v>
      </c>
    </row>
    <row r="19">
      <c r="A19" s="1" t="str">
        <f>IFERROR(__xludf.DUMMYFUNCTION("""COMPUTED_VALUE"""),"Mistral 4000 Spyder")</f>
        <v>Mistral 4000 Spyder</v>
      </c>
      <c r="B19" s="1">
        <f>IFERROR(__xludf.DUMMYFUNCTION("""COMPUTED_VALUE"""),1965.0)</f>
        <v>1965</v>
      </c>
      <c r="C19" s="1">
        <f>IFERROR(__xludf.DUMMYFUNCTION("""COMPUTED_VALUE"""),1970.0)</f>
        <v>1970</v>
      </c>
      <c r="D19" s="1" t="str">
        <f>IFERROR(__xludf.DUMMYFUNCTION("""COMPUTED_VALUE"""),"international")</f>
        <v>international</v>
      </c>
      <c r="E19" s="1"/>
      <c r="F19" s="1" t="str">
        <f>IFERROR(__xludf.DUMMYFUNCTION("""COMPUTED_VALUE"""),"4,000 cc (244 cu in)")</f>
        <v>4,000 cc (244 cu in)</v>
      </c>
      <c r="G19" s="1" t="str">
        <f>IFERROR(__xludf.DUMMYFUNCTION("""COMPUTED_VALUE"""),"255 PS (188 kW; 252 bhp)")</f>
        <v>255 PS (188 kW; 252 bhp)</v>
      </c>
      <c r="H19" s="1"/>
      <c r="L19" s="1" t="s">
        <v>21</v>
      </c>
    </row>
    <row r="20">
      <c r="A20" s="1" t="str">
        <f>IFERROR(__xludf.DUMMYFUNCTION("""COMPUTED_VALUE"""),"Sebring 3700")</f>
        <v>Sebring 3700</v>
      </c>
      <c r="B20" s="1">
        <f>IFERROR(__xludf.DUMMYFUNCTION("""COMPUTED_VALUE"""),1965.0)</f>
        <v>1965</v>
      </c>
      <c r="C20" s="1">
        <f>IFERROR(__xludf.DUMMYFUNCTION("""COMPUTED_VALUE"""),1969.0)</f>
        <v>1969</v>
      </c>
      <c r="D20" s="1" t="str">
        <f>IFERROR(__xludf.DUMMYFUNCTION("""COMPUTED_VALUE"""),"international")</f>
        <v>international</v>
      </c>
      <c r="E20" s="1"/>
      <c r="F20" s="1" t="str">
        <f>IFERROR(__xludf.DUMMYFUNCTION("""COMPUTED_VALUE"""),"3,692 cc (225 cu in)")</f>
        <v>3,692 cc (225 cu in)</v>
      </c>
      <c r="G20" s="1" t="str">
        <f>IFERROR(__xludf.DUMMYFUNCTION("""COMPUTED_VALUE"""),"245 PS (180 kW; 242 bhp)")</f>
        <v>245 PS (180 kW; 242 bhp)</v>
      </c>
      <c r="H20" s="1"/>
      <c r="L20" s="1" t="s">
        <v>20</v>
      </c>
    </row>
    <row r="21">
      <c r="A21" s="1" t="str">
        <f>IFERROR(__xludf.DUMMYFUNCTION("""COMPUTED_VALUE"""),"Sebring 4000")</f>
        <v>Sebring 4000</v>
      </c>
      <c r="B21" s="1">
        <f>IFERROR(__xludf.DUMMYFUNCTION("""COMPUTED_VALUE"""),1965.0)</f>
        <v>1965</v>
      </c>
      <c r="C21" s="1">
        <f>IFERROR(__xludf.DUMMYFUNCTION("""COMPUTED_VALUE"""),1969.0)</f>
        <v>1969</v>
      </c>
      <c r="D21" s="1" t="str">
        <f>IFERROR(__xludf.DUMMYFUNCTION("""COMPUTED_VALUE"""),"international")</f>
        <v>international</v>
      </c>
      <c r="E21" s="1"/>
      <c r="F21" s="1" t="str">
        <f>IFERROR(__xludf.DUMMYFUNCTION("""COMPUTED_VALUE"""),"4,000 cc (244 cu in)")</f>
        <v>4,000 cc (244 cu in)</v>
      </c>
      <c r="G21" s="1" t="str">
        <f>IFERROR(__xludf.DUMMYFUNCTION("""COMPUTED_VALUE"""),"255 PS (188 kW; 252 bhp)")</f>
        <v>255 PS (188 kW; 252 bhp)</v>
      </c>
      <c r="H21" s="1"/>
      <c r="L21" s="1" t="s">
        <v>21</v>
      </c>
    </row>
    <row r="22">
      <c r="A22" s="1" t="str">
        <f>IFERROR(__xludf.DUMMYFUNCTION("""COMPUTED_VALUE"""),"Mexico 4200")</f>
        <v>Mexico 4200</v>
      </c>
      <c r="B22" s="1">
        <f>IFERROR(__xludf.DUMMYFUNCTION("""COMPUTED_VALUE"""),1966.0)</f>
        <v>1966</v>
      </c>
      <c r="C22" s="1">
        <f>IFERROR(__xludf.DUMMYFUNCTION("""COMPUTED_VALUE"""),1969.0)</f>
        <v>1969</v>
      </c>
      <c r="D22" s="1" t="str">
        <f>IFERROR(__xludf.DUMMYFUNCTION("""COMPUTED_VALUE"""),"international")</f>
        <v>international</v>
      </c>
      <c r="E22" s="1" t="str">
        <f>IFERROR(__xludf.DUMMYFUNCTION("""COMPUTED_VALUE"""),"V8")</f>
        <v>V8</v>
      </c>
      <c r="F22" s="1" t="str">
        <f>IFERROR(__xludf.DUMMYFUNCTION("""COMPUTED_VALUE"""),"4,136 cc (252 cu in) AM 107")</f>
        <v>4,136 cc (252 cu in) AM 107</v>
      </c>
      <c r="G22" s="1" t="str">
        <f>IFERROR(__xludf.DUMMYFUNCTION("""COMPUTED_VALUE"""),"260 PS (191 kW; 256 bhp)")</f>
        <v>260 PS (191 kW; 256 bhp)</v>
      </c>
      <c r="H22" s="1" t="str">
        <f>IFERROR(__xludf.DUMMYFUNCTION("""COMPUTED_VALUE"""),"Carburettor")</f>
        <v>Carburettor</v>
      </c>
      <c r="L22" s="1" t="s">
        <v>18</v>
      </c>
      <c r="M22" s="1" t="s">
        <v>22</v>
      </c>
    </row>
    <row r="23">
      <c r="A23" s="1" t="str">
        <f>IFERROR(__xludf.DUMMYFUNCTION("""COMPUTED_VALUE"""),"Quattroporte ('66)")</f>
        <v>Quattroporte ('66)</v>
      </c>
      <c r="B23" s="1">
        <f>IFERROR(__xludf.DUMMYFUNCTION("""COMPUTED_VALUE"""),1966.0)</f>
        <v>1966</v>
      </c>
      <c r="C23" s="1">
        <f>IFERROR(__xludf.DUMMYFUNCTION("""COMPUTED_VALUE"""),1970.0)</f>
        <v>1970</v>
      </c>
      <c r="D23" s="1" t="str">
        <f>IFERROR(__xludf.DUMMYFUNCTION("""COMPUTED_VALUE"""),"international")</f>
        <v>international</v>
      </c>
      <c r="E23" s="1"/>
      <c r="F23" s="1" t="str">
        <f>IFERROR(__xludf.DUMMYFUNCTION("""COMPUTED_VALUE"""),"4,719 cc (288 cu in) AM 107/1")</f>
        <v>4,719 cc (288 cu in) AM 107/1</v>
      </c>
      <c r="G23" s="1" t="str">
        <f>IFERROR(__xludf.DUMMYFUNCTION("""COMPUTED_VALUE"""),"290 PS (213 kW; 286 bhp)")</f>
        <v>290 PS (213 kW; 286 bhp)</v>
      </c>
      <c r="H23" s="1"/>
      <c r="L23" s="1" t="s">
        <v>23</v>
      </c>
    </row>
    <row r="24">
      <c r="A24" s="1" t="str">
        <f>IFERROR(__xludf.DUMMYFUNCTION("""COMPUTED_VALUE"""),"Ghibli")</f>
        <v>Ghibli</v>
      </c>
      <c r="B24" s="1">
        <f>IFERROR(__xludf.DUMMYFUNCTION("""COMPUTED_VALUE"""),1967.0)</f>
        <v>1967</v>
      </c>
      <c r="C24" s="1">
        <f>IFERROR(__xludf.DUMMYFUNCTION("""COMPUTED_VALUE"""),1970.0)</f>
        <v>1970</v>
      </c>
      <c r="D24" s="1" t="str">
        <f>IFERROR(__xludf.DUMMYFUNCTION("""COMPUTED_VALUE"""),"international")</f>
        <v>international</v>
      </c>
      <c r="E24" s="1"/>
      <c r="F24" s="1" t="str">
        <f>IFERROR(__xludf.DUMMYFUNCTION("""COMPUTED_VALUE"""),"4,719 cc (288 cu in) AM 115")</f>
        <v>4,719 cc (288 cu in) AM 115</v>
      </c>
      <c r="G24" s="1" t="str">
        <f>IFERROR(__xludf.DUMMYFUNCTION("""COMPUTED_VALUE"""),"310 PS (228 kW; 306 bhp)")</f>
        <v>310 PS (228 kW; 306 bhp)</v>
      </c>
      <c r="H24" s="1"/>
      <c r="L24" s="1" t="s">
        <v>24</v>
      </c>
    </row>
    <row r="25">
      <c r="A25" s="1" t="str">
        <f>IFERROR(__xludf.DUMMYFUNCTION("""COMPUTED_VALUE"""),"Ghibli Spyder")</f>
        <v>Ghibli Spyder</v>
      </c>
      <c r="B25" s="1">
        <f>IFERROR(__xludf.DUMMYFUNCTION("""COMPUTED_VALUE"""),1969.0)</f>
        <v>1969</v>
      </c>
      <c r="C25" s="1">
        <f>IFERROR(__xludf.DUMMYFUNCTION("""COMPUTED_VALUE"""),1970.0)</f>
        <v>1970</v>
      </c>
      <c r="D25" s="1" t="str">
        <f>IFERROR(__xludf.DUMMYFUNCTION("""COMPUTED_VALUE"""),"international")</f>
        <v>international</v>
      </c>
      <c r="E25" s="1"/>
      <c r="F25" s="1" t="str">
        <f>IFERROR(__xludf.DUMMYFUNCTION("""COMPUTED_VALUE"""),"4,719 cc (288 cu in) AM 115")</f>
        <v>4,719 cc (288 cu in) AM 115</v>
      </c>
      <c r="G25" s="1" t="str">
        <f>IFERROR(__xludf.DUMMYFUNCTION("""COMPUTED_VALUE"""),"310 PS (228 kW; 306 bhp)")</f>
        <v>310 PS (228 kW; 306 bhp)</v>
      </c>
      <c r="H25" s="1"/>
      <c r="L25" s="1" t="s">
        <v>24</v>
      </c>
    </row>
    <row r="26">
      <c r="A26" s="1" t="str">
        <f>IFERROR(__xludf.DUMMYFUNCTION("""COMPUTED_VALUE"""),"Mexico 4700")</f>
        <v>Mexico 4700</v>
      </c>
      <c r="B26" s="1">
        <f>IFERROR(__xludf.DUMMYFUNCTION("""COMPUTED_VALUE"""),1969.0)</f>
        <v>1969</v>
      </c>
      <c r="C26" s="1">
        <f>IFERROR(__xludf.DUMMYFUNCTION("""COMPUTED_VALUE"""),1972.0)</f>
        <v>1972</v>
      </c>
      <c r="D26" s="1" t="str">
        <f>IFERROR(__xludf.DUMMYFUNCTION("""COMPUTED_VALUE"""),"international")</f>
        <v>international</v>
      </c>
      <c r="E26" s="1"/>
      <c r="F26" s="1" t="str">
        <f>IFERROR(__xludf.DUMMYFUNCTION("""COMPUTED_VALUE"""),"4,719 cc (288 cu in) AM 107/1")</f>
        <v>4,719 cc (288 cu in) AM 107/1</v>
      </c>
      <c r="G26" s="1" t="str">
        <f>IFERROR(__xludf.DUMMYFUNCTION("""COMPUTED_VALUE"""),"310 PS (228 kW; 306 bhp)")</f>
        <v>310 PS (228 kW; 306 bhp)</v>
      </c>
      <c r="H26" s="1"/>
      <c r="L26" s="1" t="s">
        <v>24</v>
      </c>
    </row>
    <row r="27">
      <c r="A27" s="1" t="str">
        <f>IFERROR(__xludf.DUMMYFUNCTION("""COMPUTED_VALUE"""),"Ghibli SS")</f>
        <v>Ghibli SS</v>
      </c>
      <c r="B27" s="1">
        <f>IFERROR(__xludf.DUMMYFUNCTION("""COMPUTED_VALUE"""),1970.0)</f>
        <v>1970</v>
      </c>
      <c r="C27" s="1">
        <f>IFERROR(__xludf.DUMMYFUNCTION("""COMPUTED_VALUE"""),1973.0)</f>
        <v>1973</v>
      </c>
      <c r="D27" s="1" t="str">
        <f>IFERROR(__xludf.DUMMYFUNCTION("""COMPUTED_VALUE"""),"international")</f>
        <v>international</v>
      </c>
      <c r="E27" s="1"/>
      <c r="F27" s="1" t="str">
        <f>IFERROR(__xludf.DUMMYFUNCTION("""COMPUTED_VALUE"""),"4,930 cc (301 cu in) AM 115")</f>
        <v>4,930 cc (301 cu in) AM 115</v>
      </c>
      <c r="G27" s="1" t="str">
        <f>IFERROR(__xludf.DUMMYFUNCTION("""COMPUTED_VALUE"""),"335 PS (246 kW; 330 bhp)")</f>
        <v>335 PS (246 kW; 330 bhp)</v>
      </c>
      <c r="H27" s="1"/>
      <c r="L27" s="1" t="s">
        <v>25</v>
      </c>
    </row>
    <row r="28">
      <c r="A28" s="1" t="str">
        <f>IFERROR(__xludf.DUMMYFUNCTION("""COMPUTED_VALUE"""),"Ghibli SS Spyder")</f>
        <v>Ghibli SS Spyder</v>
      </c>
      <c r="B28" s="1">
        <f>IFERROR(__xludf.DUMMYFUNCTION("""COMPUTED_VALUE"""),1970.0)</f>
        <v>1970</v>
      </c>
      <c r="C28" s="1">
        <f>IFERROR(__xludf.DUMMYFUNCTION("""COMPUTED_VALUE"""),1973.0)</f>
        <v>1973</v>
      </c>
      <c r="D28" s="1" t="str">
        <f>IFERROR(__xludf.DUMMYFUNCTION("""COMPUTED_VALUE"""),"international")</f>
        <v>international</v>
      </c>
      <c r="E28" s="1"/>
      <c r="F28" s="1" t="str">
        <f>IFERROR(__xludf.DUMMYFUNCTION("""COMPUTED_VALUE"""),"4,930 cc (301 cu in) AM 115")</f>
        <v>4,930 cc (301 cu in) AM 115</v>
      </c>
      <c r="G28" s="1" t="str">
        <f>IFERROR(__xludf.DUMMYFUNCTION("""COMPUTED_VALUE"""),"335 PS (246 kW; 330 bhp)")</f>
        <v>335 PS (246 kW; 330 bhp)</v>
      </c>
      <c r="H28" s="1"/>
      <c r="L28" s="1" t="s">
        <v>25</v>
      </c>
    </row>
    <row r="29">
      <c r="A29" s="1" t="str">
        <f>IFERROR(__xludf.DUMMYFUNCTION("""COMPUTED_VALUE"""),"Indy Europa 4200")</f>
        <v>Indy Europa 4200</v>
      </c>
      <c r="B29" s="1">
        <f>IFERROR(__xludf.DUMMYFUNCTION("""COMPUTED_VALUE"""),1970.0)</f>
        <v>1970</v>
      </c>
      <c r="C29" s="1">
        <f>IFERROR(__xludf.DUMMYFUNCTION("""COMPUTED_VALUE"""),1971.0)</f>
        <v>1971</v>
      </c>
      <c r="D29" s="1" t="str">
        <f>IFERROR(__xludf.DUMMYFUNCTION("""COMPUTED_VALUE"""),"international")</f>
        <v>international</v>
      </c>
      <c r="E29" s="1"/>
      <c r="F29" s="1" t="str">
        <f>IFERROR(__xludf.DUMMYFUNCTION("""COMPUTED_VALUE"""),"4,136 cc (252 cu in) AM 107")</f>
        <v>4,136 cc (252 cu in) AM 107</v>
      </c>
      <c r="G29" s="1" t="str">
        <f>IFERROR(__xludf.DUMMYFUNCTION("""COMPUTED_VALUE"""),"260 PS (191 kW; 256 bhp)")</f>
        <v>260 PS (191 kW; 256 bhp)</v>
      </c>
      <c r="H29" s="1"/>
      <c r="L29" s="1" t="s">
        <v>18</v>
      </c>
    </row>
    <row r="30">
      <c r="A30" s="1" t="str">
        <f>IFERROR(__xludf.DUMMYFUNCTION("""COMPUTED_VALUE"""),"Indy Europa 4700")</f>
        <v>Indy Europa 4700</v>
      </c>
      <c r="B30" s="1">
        <f>IFERROR(__xludf.DUMMYFUNCTION("""COMPUTED_VALUE"""),1971.0)</f>
        <v>1971</v>
      </c>
      <c r="C30" s="1">
        <f>IFERROR(__xludf.DUMMYFUNCTION("""COMPUTED_VALUE"""),1973.0)</f>
        <v>1973</v>
      </c>
      <c r="D30" s="1" t="str">
        <f>IFERROR(__xludf.DUMMYFUNCTION("""COMPUTED_VALUE"""),"international")</f>
        <v>international</v>
      </c>
      <c r="E30" s="1"/>
      <c r="F30" s="1" t="str">
        <f>IFERROR(__xludf.DUMMYFUNCTION("""COMPUTED_VALUE"""),"4,719 cc (288 cu in) AM 107")</f>
        <v>4,719 cc (288 cu in) AM 107</v>
      </c>
      <c r="G30" s="1" t="str">
        <f>IFERROR(__xludf.DUMMYFUNCTION("""COMPUTED_VALUE"""),"290 PS (213 kW; 286 bhp)")</f>
        <v>290 PS (213 kW; 286 bhp)</v>
      </c>
      <c r="H30" s="1"/>
      <c r="L30" s="1" t="s">
        <v>23</v>
      </c>
    </row>
    <row r="31">
      <c r="A31" s="1" t="str">
        <f>IFERROR(__xludf.DUMMYFUNCTION("""COMPUTED_VALUE"""),"Khamsin 4700")</f>
        <v>Khamsin 4700</v>
      </c>
      <c r="B31" s="1">
        <f>IFERROR(__xludf.DUMMYFUNCTION("""COMPUTED_VALUE"""),1972.0)</f>
        <v>1972</v>
      </c>
      <c r="C31" s="1" t="str">
        <f>IFERROR(__xludf.DUMMYFUNCTION("""COMPUTED_VALUE"""),"?")</f>
        <v>?</v>
      </c>
      <c r="D31" s="1" t="str">
        <f>IFERROR(__xludf.DUMMYFUNCTION("""COMPUTED_VALUE"""),"international")</f>
        <v>international</v>
      </c>
      <c r="E31" s="1"/>
      <c r="F31" s="1" t="str">
        <f>IFERROR(__xludf.DUMMYFUNCTION("""COMPUTED_VALUE"""),"4,719 cc (288 cu in) AM 107")</f>
        <v>4,719 cc (288 cu in) AM 107</v>
      </c>
      <c r="G31" s="1" t="str">
        <f>IFERROR(__xludf.DUMMYFUNCTION("""COMPUTED_VALUE"""),"290 PS (213 kW; 286 bhp)")</f>
        <v>290 PS (213 kW; 286 bhp)</v>
      </c>
      <c r="H31" s="1"/>
      <c r="L31" s="1" t="s">
        <v>23</v>
      </c>
    </row>
    <row r="32">
      <c r="A32" s="1" t="str">
        <f>IFERROR(__xludf.DUMMYFUNCTION("""COMPUTED_VALUE"""),"Khamsin 4900")</f>
        <v>Khamsin 4900</v>
      </c>
      <c r="B32" s="1">
        <f>IFERROR(__xludf.DUMMYFUNCTION("""COMPUTED_VALUE"""),1972.0)</f>
        <v>1972</v>
      </c>
      <c r="C32" s="1">
        <f>IFERROR(__xludf.DUMMYFUNCTION("""COMPUTED_VALUE"""),1979.0)</f>
        <v>1979</v>
      </c>
      <c r="D32" s="1" t="str">
        <f>IFERROR(__xludf.DUMMYFUNCTION("""COMPUTED_VALUE"""),"international")</f>
        <v>international</v>
      </c>
      <c r="E32" s="1"/>
      <c r="F32" s="1" t="str">
        <f>IFERROR(__xludf.DUMMYFUNCTION("""COMPUTED_VALUE"""),"4,930 cc (301 cu in) AM 115")</f>
        <v>4,930 cc (301 cu in) AM 115</v>
      </c>
      <c r="G32" s="1" t="str">
        <f>IFERROR(__xludf.DUMMYFUNCTION("""COMPUTED_VALUE"""),"320 PS (235 kW; 316 bhp)")</f>
        <v>320 PS (235 kW; 316 bhp)</v>
      </c>
      <c r="H32" s="1"/>
      <c r="L32" s="1" t="s">
        <v>26</v>
      </c>
    </row>
    <row r="33">
      <c r="A33" s="1" t="str">
        <f>IFERROR(__xludf.DUMMYFUNCTION("""COMPUTED_VALUE"""),"Bora 4.7")</f>
        <v>Bora 4.7</v>
      </c>
      <c r="B33" s="1">
        <f>IFERROR(__xludf.DUMMYFUNCTION("""COMPUTED_VALUE"""),1973.0)</f>
        <v>1973</v>
      </c>
      <c r="C33" s="1">
        <f>IFERROR(__xludf.DUMMYFUNCTION("""COMPUTED_VALUE"""),1974.0)</f>
        <v>1974</v>
      </c>
      <c r="D33" s="1" t="str">
        <f>IFERROR(__xludf.DUMMYFUNCTION("""COMPUTED_VALUE"""),"international")</f>
        <v>international</v>
      </c>
      <c r="E33" s="1"/>
      <c r="F33" s="1" t="str">
        <f>IFERROR(__xludf.DUMMYFUNCTION("""COMPUTED_VALUE"""),"4,719 cc (288 cu in) AM 107")</f>
        <v>4,719 cc (288 cu in) AM 107</v>
      </c>
      <c r="G33" s="1" t="str">
        <f>IFERROR(__xludf.DUMMYFUNCTION("""COMPUTED_VALUE"""),"310 PS (228 kW; 306 bhp)")</f>
        <v>310 PS (228 kW; 306 bhp)</v>
      </c>
      <c r="H33" s="1"/>
      <c r="L33" s="1" t="s">
        <v>24</v>
      </c>
    </row>
    <row r="34">
      <c r="A34" s="1" t="str">
        <f>IFERROR(__xludf.DUMMYFUNCTION("""COMPUTED_VALUE"""),"Indy 4900")</f>
        <v>Indy 4900</v>
      </c>
      <c r="B34" s="1">
        <f>IFERROR(__xludf.DUMMYFUNCTION("""COMPUTED_VALUE"""),1973.0)</f>
        <v>1973</v>
      </c>
      <c r="C34" s="1">
        <f>IFERROR(__xludf.DUMMYFUNCTION("""COMPUTED_VALUE"""),1975.0)</f>
        <v>1975</v>
      </c>
      <c r="D34" s="1" t="str">
        <f>IFERROR(__xludf.DUMMYFUNCTION("""COMPUTED_VALUE"""),"international")</f>
        <v>international</v>
      </c>
      <c r="E34" s="1"/>
      <c r="F34" s="1" t="str">
        <f>IFERROR(__xludf.DUMMYFUNCTION("""COMPUTED_VALUE"""),"4,930 cc (301 cu in) AM 107")</f>
        <v>4,930 cc (301 cu in) AM 107</v>
      </c>
      <c r="G34" s="1" t="str">
        <f>IFERROR(__xludf.DUMMYFUNCTION("""COMPUTED_VALUE"""),"320 PS (235 kW; 316 bhp)")</f>
        <v>320 PS (235 kW; 316 bhp)</v>
      </c>
      <c r="H34" s="1"/>
      <c r="L34" s="1" t="s">
        <v>26</v>
      </c>
    </row>
    <row r="35">
      <c r="A35" s="1" t="str">
        <f>IFERROR(__xludf.DUMMYFUNCTION("""COMPUTED_VALUE"""),"Merak")</f>
        <v>Merak</v>
      </c>
      <c r="B35" s="1">
        <f>IFERROR(__xludf.DUMMYFUNCTION("""COMPUTED_VALUE"""),1973.0)</f>
        <v>1973</v>
      </c>
      <c r="C35" s="1">
        <f>IFERROR(__xludf.DUMMYFUNCTION("""COMPUTED_VALUE"""),1975.0)</f>
        <v>1975</v>
      </c>
      <c r="D35" s="1" t="str">
        <f>IFERROR(__xludf.DUMMYFUNCTION("""COMPUTED_VALUE"""),"international")</f>
        <v>international</v>
      </c>
      <c r="E35" s="1" t="str">
        <f>IFERROR(__xludf.DUMMYFUNCTION("""COMPUTED_VALUE"""),"V6")</f>
        <v>V6</v>
      </c>
      <c r="F35" s="1" t="str">
        <f>IFERROR(__xludf.DUMMYFUNCTION("""COMPUTED_VALUE"""),"2,965 cc (181 cu in) AM 114")</f>
        <v>2,965 cc (181 cu in) AM 114</v>
      </c>
      <c r="G35" s="1" t="str">
        <f>IFERROR(__xludf.DUMMYFUNCTION("""COMPUTED_VALUE"""),"190 PS (140 kW; 187 bhp)")</f>
        <v>190 PS (140 kW; 187 bhp)</v>
      </c>
      <c r="H35" s="1"/>
      <c r="L35" s="1" t="s">
        <v>27</v>
      </c>
    </row>
    <row r="36">
      <c r="A36" s="1" t="str">
        <f>IFERROR(__xludf.DUMMYFUNCTION("""COMPUTED_VALUE"""),"Bora 4.9 (US)")</f>
        <v>Bora 4.9 (US)</v>
      </c>
      <c r="B36" s="1">
        <f>IFERROR(__xludf.DUMMYFUNCTION("""COMPUTED_VALUE"""),1974.0)</f>
        <v>1974</v>
      </c>
      <c r="C36" s="1">
        <f>IFERROR(__xludf.DUMMYFUNCTION("""COMPUTED_VALUE"""),1980.0)</f>
        <v>1980</v>
      </c>
      <c r="D36" s="1" t="str">
        <f>IFERROR(__xludf.DUMMYFUNCTION("""COMPUTED_VALUE"""),"USA only")</f>
        <v>USA only</v>
      </c>
      <c r="E36" s="1" t="str">
        <f>IFERROR(__xludf.DUMMYFUNCTION("""COMPUTED_VALUE"""),"V8")</f>
        <v>V8</v>
      </c>
      <c r="F36" s="1" t="str">
        <f>IFERROR(__xludf.DUMMYFUNCTION("""COMPUTED_VALUE"""),"4,930 cc (301 cu in) AM 107")</f>
        <v>4,930 cc (301 cu in) AM 107</v>
      </c>
      <c r="G36" s="1" t="str">
        <f>IFERROR(__xludf.DUMMYFUNCTION("""COMPUTED_VALUE"""),"300 PS (221 kW; 296 bhp)")</f>
        <v>300 PS (221 kW; 296 bhp)</v>
      </c>
      <c r="H36" s="1"/>
      <c r="L36" s="1" t="s">
        <v>28</v>
      </c>
    </row>
    <row r="37">
      <c r="A37" s="1" t="str">
        <f>IFERROR(__xludf.DUMMYFUNCTION("""COMPUTED_VALUE"""),"Quattroporte II")</f>
        <v>Quattroporte II</v>
      </c>
      <c r="B37" s="1">
        <f>IFERROR(__xludf.DUMMYFUNCTION("""COMPUTED_VALUE"""),1974.0)</f>
        <v>1974</v>
      </c>
      <c r="C37" s="1">
        <f>IFERROR(__xludf.DUMMYFUNCTION("""COMPUTED_VALUE"""),1974.0)</f>
        <v>1974</v>
      </c>
      <c r="D37" s="1" t="str">
        <f>IFERROR(__xludf.DUMMYFUNCTION("""COMPUTED_VALUE"""),"pre-production (6)")</f>
        <v>pre-production (6)</v>
      </c>
      <c r="E37" s="1" t="str">
        <f>IFERROR(__xludf.DUMMYFUNCTION("""COMPUTED_VALUE"""),"V6")</f>
        <v>V6</v>
      </c>
      <c r="F37" s="1" t="str">
        <f>IFERROR(__xludf.DUMMYFUNCTION("""COMPUTED_VALUE"""),"2,965 cc (181 cu in) AM 114.56.30")</f>
        <v>2,965 cc (181 cu in) AM 114.56.30</v>
      </c>
      <c r="G37" s="1" t="str">
        <f>IFERROR(__xludf.DUMMYFUNCTION("""COMPUTED_VALUE"""),"190 PS (140 kW; 187 bhp)")</f>
        <v>190 PS (140 kW; 187 bhp)</v>
      </c>
      <c r="H37" s="1"/>
      <c r="L37" s="1" t="s">
        <v>27</v>
      </c>
    </row>
    <row r="38">
      <c r="A38" s="1" t="str">
        <f>IFERROR(__xludf.DUMMYFUNCTION("""COMPUTED_VALUE"""),"Bora 4.9")</f>
        <v>Bora 4.9</v>
      </c>
      <c r="B38" s="1">
        <f>IFERROR(__xludf.DUMMYFUNCTION("""COMPUTED_VALUE"""),1975.0)</f>
        <v>1975</v>
      </c>
      <c r="C38" s="1">
        <f>IFERROR(__xludf.DUMMYFUNCTION("""COMPUTED_VALUE"""),1980.0)</f>
        <v>1980</v>
      </c>
      <c r="D38" s="1" t="str">
        <f>IFERROR(__xludf.DUMMYFUNCTION("""COMPUTED_VALUE"""),"international")</f>
        <v>international</v>
      </c>
      <c r="E38" s="1" t="str">
        <f>IFERROR(__xludf.DUMMYFUNCTION("""COMPUTED_VALUE"""),"V8")</f>
        <v>V8</v>
      </c>
      <c r="F38" s="1" t="str">
        <f>IFERROR(__xludf.DUMMYFUNCTION("""COMPUTED_VALUE"""),"4,930 cc (301 cu in) AM 107")</f>
        <v>4,930 cc (301 cu in) AM 107</v>
      </c>
      <c r="G38" s="1" t="str">
        <f>IFERROR(__xludf.DUMMYFUNCTION("""COMPUTED_VALUE"""),"330 PS (243 kW; 325 bhp)")</f>
        <v>330 PS (243 kW; 325 bhp)</v>
      </c>
      <c r="H38" s="1"/>
      <c r="L38" s="1" t="s">
        <v>14</v>
      </c>
    </row>
    <row r="39">
      <c r="A39" s="1" t="str">
        <f>IFERROR(__xludf.DUMMYFUNCTION("""COMPUTED_VALUE"""),"Merak SS")</f>
        <v>Merak SS</v>
      </c>
      <c r="B39" s="1">
        <f>IFERROR(__xludf.DUMMYFUNCTION("""COMPUTED_VALUE"""),1975.0)</f>
        <v>1975</v>
      </c>
      <c r="C39" s="1">
        <f>IFERROR(__xludf.DUMMYFUNCTION("""COMPUTED_VALUE"""),1978.0)</f>
        <v>1978</v>
      </c>
      <c r="D39" s="1" t="str">
        <f>IFERROR(__xludf.DUMMYFUNCTION("""COMPUTED_VALUE"""),"international")</f>
        <v>international</v>
      </c>
      <c r="E39" s="1" t="str">
        <f>IFERROR(__xludf.DUMMYFUNCTION("""COMPUTED_VALUE"""),"V6")</f>
        <v>V6</v>
      </c>
      <c r="F39" s="1" t="str">
        <f>IFERROR(__xludf.DUMMYFUNCTION("""COMPUTED_VALUE"""),"2,965 cc (181 cu in) AM 114")</f>
        <v>2,965 cc (181 cu in) AM 114</v>
      </c>
      <c r="G39" s="1" t="str">
        <f>IFERROR(__xludf.DUMMYFUNCTION("""COMPUTED_VALUE"""),"220 PS (162 kW; 217 bhp)")</f>
        <v>220 PS (162 kW; 217 bhp)</v>
      </c>
      <c r="H39" s="1"/>
      <c r="L39" s="1" t="s">
        <v>29</v>
      </c>
    </row>
    <row r="40">
      <c r="A40" s="1" t="str">
        <f>IFERROR(__xludf.DUMMYFUNCTION("""COMPUTED_VALUE"""),"Quattroporte II ('75)")</f>
        <v>Quattroporte II ('75)</v>
      </c>
      <c r="B40" s="1">
        <f>IFERROR(__xludf.DUMMYFUNCTION("""COMPUTED_VALUE"""),1975.0)</f>
        <v>1975</v>
      </c>
      <c r="C40" s="1">
        <f>IFERROR(__xludf.DUMMYFUNCTION("""COMPUTED_VALUE"""),1978.0)</f>
        <v>1978</v>
      </c>
      <c r="D40" s="1" t="str">
        <f>IFERROR(__xludf.DUMMYFUNCTION("""COMPUTED_VALUE"""),"Limited serie (7)")</f>
        <v>Limited serie (7)</v>
      </c>
      <c r="E40" s="1"/>
      <c r="F40" s="1" t="str">
        <f>IFERROR(__xludf.DUMMYFUNCTION("""COMPUTED_VALUE"""),"3,200 cc (195 cu in) AM 114")</f>
        <v>3,200 cc (195 cu in) AM 114</v>
      </c>
      <c r="G40" s="1" t="str">
        <f>IFERROR(__xludf.DUMMYFUNCTION("""COMPUTED_VALUE"""),"200 PS (147 kW; 197 bhp)")</f>
        <v>200 PS (147 kW; 197 bhp)</v>
      </c>
      <c r="H40" s="1"/>
      <c r="L40" s="1" t="s">
        <v>30</v>
      </c>
    </row>
    <row r="41">
      <c r="A41" s="1" t="str">
        <f>IFERROR(__xludf.DUMMYFUNCTION("""COMPUTED_VALUE"""),"4porte (Quattroporte III)")</f>
        <v>4porte (Quattroporte III)</v>
      </c>
      <c r="B41" s="1">
        <f>IFERROR(__xludf.DUMMYFUNCTION("""COMPUTED_VALUE"""),1976.0)</f>
        <v>1976</v>
      </c>
      <c r="C41" s="1">
        <f>IFERROR(__xludf.DUMMYFUNCTION("""COMPUTED_VALUE"""),1981.0)</f>
        <v>1981</v>
      </c>
      <c r="D41" s="1" t="str">
        <f>IFERROR(__xludf.DUMMYFUNCTION("""COMPUTED_VALUE"""),"international")</f>
        <v>international</v>
      </c>
      <c r="E41" s="1" t="str">
        <f>IFERROR(__xludf.DUMMYFUNCTION("""COMPUTED_VALUE"""),"V8")</f>
        <v>V8</v>
      </c>
      <c r="F41" s="1" t="str">
        <f>IFERROR(__xludf.DUMMYFUNCTION("""COMPUTED_VALUE"""),"4,136 cc (252 cu in) AM 107.23.49")</f>
        <v>4,136 cc (252 cu in) AM 107.23.49</v>
      </c>
      <c r="G41" s="1" t="str">
        <f>IFERROR(__xludf.DUMMYFUNCTION("""COMPUTED_VALUE"""),"255 PS (188 kW; 252 bhp)")</f>
        <v>255 PS (188 kW; 252 bhp)</v>
      </c>
      <c r="H41" s="1"/>
      <c r="L41" s="1" t="s">
        <v>21</v>
      </c>
    </row>
    <row r="42">
      <c r="A42" s="1" t="str">
        <f>IFERROR(__xludf.DUMMYFUNCTION("""COMPUTED_VALUE"""),"Kyalami 4200")</f>
        <v>Kyalami 4200</v>
      </c>
      <c r="B42" s="1">
        <f>IFERROR(__xludf.DUMMYFUNCTION("""COMPUTED_VALUE"""),1976.0)</f>
        <v>1976</v>
      </c>
      <c r="C42" s="1">
        <f>IFERROR(__xludf.DUMMYFUNCTION("""COMPUTED_VALUE"""),1978.0)</f>
        <v>1978</v>
      </c>
      <c r="D42" s="1" t="str">
        <f>IFERROR(__xludf.DUMMYFUNCTION("""COMPUTED_VALUE"""),"international")</f>
        <v>international</v>
      </c>
      <c r="E42" s="1"/>
      <c r="F42" s="1" t="str">
        <f>IFERROR(__xludf.DUMMYFUNCTION("""COMPUTED_VALUE"""),"4,136 cc (252 cu in) AM 107")</f>
        <v>4,136 cc (252 cu in) AM 107</v>
      </c>
      <c r="G42" s="1" t="str">
        <f>IFERROR(__xludf.DUMMYFUNCTION("""COMPUTED_VALUE"""),"253–265 PS (186–195 kW; 250–261 bhp)")</f>
        <v>253–265 PS (186–195 kW; 250–261 bhp)</v>
      </c>
      <c r="H42" s="1"/>
      <c r="L42" s="1" t="s">
        <v>31</v>
      </c>
    </row>
    <row r="43">
      <c r="A43" s="1" t="str">
        <f>IFERROR(__xludf.DUMMYFUNCTION("""COMPUTED_VALUE"""),"Merak 2000 GT")</f>
        <v>Merak 2000 GT</v>
      </c>
      <c r="B43" s="1">
        <f>IFERROR(__xludf.DUMMYFUNCTION("""COMPUTED_VALUE"""),1976.0)</f>
        <v>1976</v>
      </c>
      <c r="C43" s="1">
        <f>IFERROR(__xludf.DUMMYFUNCTION("""COMPUTED_VALUE"""),1983.0)</f>
        <v>1983</v>
      </c>
      <c r="D43" s="1" t="str">
        <f>IFERROR(__xludf.DUMMYFUNCTION("""COMPUTED_VALUE"""),"Italy")</f>
        <v>Italy</v>
      </c>
      <c r="E43" s="1" t="str">
        <f>IFERROR(__xludf.DUMMYFUNCTION("""COMPUTED_VALUE"""),"V6")</f>
        <v>V6</v>
      </c>
      <c r="F43" s="1" t="str">
        <f>IFERROR(__xludf.DUMMYFUNCTION("""COMPUTED_VALUE"""),"1,999 cc (122 cu in) AM 114")</f>
        <v>1,999 cc (122 cu in) AM 114</v>
      </c>
      <c r="G43" s="1" t="str">
        <f>IFERROR(__xludf.DUMMYFUNCTION("""COMPUTED_VALUE"""),"159–170 PS (117–125 kW; 157–168 bhp)")</f>
        <v>159–170 PS (117–125 kW; 157–168 bhp)</v>
      </c>
      <c r="H43" s="1"/>
      <c r="L43" s="1" t="s">
        <v>32</v>
      </c>
    </row>
    <row r="44">
      <c r="A44" s="1" t="str">
        <f>IFERROR(__xludf.DUMMYFUNCTION("""COMPUTED_VALUE"""),"Kyalami 4900")</f>
        <v>Kyalami 4900</v>
      </c>
      <c r="B44" s="1">
        <f>IFERROR(__xludf.DUMMYFUNCTION("""COMPUTED_VALUE"""),1978.0)</f>
        <v>1978</v>
      </c>
      <c r="C44" s="1">
        <f>IFERROR(__xludf.DUMMYFUNCTION("""COMPUTED_VALUE"""),1983.0)</f>
        <v>1983</v>
      </c>
      <c r="D44" s="1" t="str">
        <f>IFERROR(__xludf.DUMMYFUNCTION("""COMPUTED_VALUE"""),"international")</f>
        <v>international</v>
      </c>
      <c r="E44" s="1" t="str">
        <f>IFERROR(__xludf.DUMMYFUNCTION("""COMPUTED_VALUE"""),"V8")</f>
        <v>V8</v>
      </c>
      <c r="F44" s="1" t="str">
        <f>IFERROR(__xludf.DUMMYFUNCTION("""COMPUTED_VALUE"""),"4,930 cc (301 cu in) AM 107")</f>
        <v>4,930 cc (301 cu in) AM 107</v>
      </c>
      <c r="G44" s="1" t="str">
        <f>IFERROR(__xludf.DUMMYFUNCTION("""COMPUTED_VALUE"""),"280 PS (206 kW; 276 bhp)")</f>
        <v>280 PS (206 kW; 276 bhp)</v>
      </c>
      <c r="H44" s="1"/>
      <c r="L44" s="1" t="s">
        <v>33</v>
      </c>
    </row>
    <row r="45">
      <c r="A45" s="1" t="str">
        <f>IFERROR(__xludf.DUMMYFUNCTION("""COMPUTED_VALUE"""),"Khamsin ('79)")</f>
        <v>Khamsin ('79)</v>
      </c>
      <c r="B45" s="1">
        <f>IFERROR(__xludf.DUMMYFUNCTION("""COMPUTED_VALUE"""),1979.0)</f>
        <v>1979</v>
      </c>
      <c r="C45" s="1">
        <f>IFERROR(__xludf.DUMMYFUNCTION("""COMPUTED_VALUE"""),1982.0)</f>
        <v>1982</v>
      </c>
      <c r="D45" s="1" t="str">
        <f>IFERROR(__xludf.DUMMYFUNCTION("""COMPUTED_VALUE"""),"international")</f>
        <v>international</v>
      </c>
      <c r="E45" s="1"/>
      <c r="F45" s="1" t="str">
        <f>IFERROR(__xludf.DUMMYFUNCTION("""COMPUTED_VALUE"""),"4,930 cc (301 cu in) AM 115")</f>
        <v>4,930 cc (301 cu in) AM 115</v>
      </c>
      <c r="G45" s="1" t="str">
        <f>IFERROR(__xludf.DUMMYFUNCTION("""COMPUTED_VALUE"""),"280 PS (206 kW; 276 bhp)")</f>
        <v>280 PS (206 kW; 276 bhp)</v>
      </c>
      <c r="H45" s="1"/>
      <c r="L45" s="1" t="s">
        <v>33</v>
      </c>
    </row>
    <row r="46">
      <c r="A46" s="1" t="str">
        <f>IFERROR(__xludf.DUMMYFUNCTION("""COMPUTED_VALUE"""),"Merak SS ('79)")</f>
        <v>Merak SS ('79)</v>
      </c>
      <c r="B46" s="1">
        <f>IFERROR(__xludf.DUMMYFUNCTION("""COMPUTED_VALUE"""),1979.0)</f>
        <v>1979</v>
      </c>
      <c r="C46" s="1">
        <f>IFERROR(__xludf.DUMMYFUNCTION("""COMPUTED_VALUE"""),1983.0)</f>
        <v>1983</v>
      </c>
      <c r="D46" s="1" t="str">
        <f>IFERROR(__xludf.DUMMYFUNCTION("""COMPUTED_VALUE"""),"international")</f>
        <v>international</v>
      </c>
      <c r="E46" s="1" t="str">
        <f>IFERROR(__xludf.DUMMYFUNCTION("""COMPUTED_VALUE"""),"V6")</f>
        <v>V6</v>
      </c>
      <c r="F46" s="1" t="str">
        <f>IFERROR(__xludf.DUMMYFUNCTION("""COMPUTED_VALUE"""),"2,965 cc (181 cu in) AM 114")</f>
        <v>2,965 cc (181 cu in) AM 114</v>
      </c>
      <c r="G46" s="1" t="str">
        <f>IFERROR(__xludf.DUMMYFUNCTION("""COMPUTED_VALUE"""),"208 PS (153 kW; 205 bhp)")</f>
        <v>208 PS (153 kW; 205 bhp)</v>
      </c>
      <c r="H46" s="1"/>
      <c r="L46" s="1" t="s">
        <v>34</v>
      </c>
    </row>
    <row r="47">
      <c r="A47" s="1" t="str">
        <f>IFERROR(__xludf.DUMMYFUNCTION("""COMPUTED_VALUE"""),"Quattroporte III ('81)")</f>
        <v>Quattroporte III ('81)</v>
      </c>
      <c r="B47" s="1">
        <f>IFERROR(__xludf.DUMMYFUNCTION("""COMPUTED_VALUE"""),1981.0)</f>
        <v>1981</v>
      </c>
      <c r="C47" s="1">
        <f>IFERROR(__xludf.DUMMYFUNCTION("""COMPUTED_VALUE"""),1985.0)</f>
        <v>1985</v>
      </c>
      <c r="D47" s="1" t="str">
        <f>IFERROR(__xludf.DUMMYFUNCTION("""COMPUTED_VALUE"""),"international")</f>
        <v>international</v>
      </c>
      <c r="E47" s="1" t="str">
        <f>IFERROR(__xludf.DUMMYFUNCTION("""COMPUTED_VALUE"""),"V8")</f>
        <v>V8</v>
      </c>
      <c r="F47" s="1" t="str">
        <f>IFERROR(__xludf.DUMMYFUNCTION("""COMPUTED_VALUE"""),"4,930 cc (301 cu in) AM 107")</f>
        <v>4,930 cc (301 cu in) AM 107</v>
      </c>
      <c r="G47" s="1" t="str">
        <f>IFERROR(__xludf.DUMMYFUNCTION("""COMPUTED_VALUE"""),"282 PS (207 kW; 278 bhp)")</f>
        <v>282 PS (207 kW; 278 bhp)</v>
      </c>
      <c r="H47" s="1"/>
      <c r="L47" s="1" t="s">
        <v>35</v>
      </c>
    </row>
    <row r="48">
      <c r="A48" s="1" t="str">
        <f>IFERROR(__xludf.DUMMYFUNCTION("""COMPUTED_VALUE"""),"Biturbo")</f>
        <v>Biturbo</v>
      </c>
      <c r="B48" s="1">
        <f>IFERROR(__xludf.DUMMYFUNCTION("""COMPUTED_VALUE"""),1981.0)</f>
        <v>1981</v>
      </c>
      <c r="C48" s="1">
        <f>IFERROR(__xludf.DUMMYFUNCTION("""COMPUTED_VALUE"""),1985.0)</f>
        <v>1985</v>
      </c>
      <c r="D48" s="1" t="str">
        <f>IFERROR(__xludf.DUMMYFUNCTION("""COMPUTED_VALUE"""),"Italy")</f>
        <v>Italy</v>
      </c>
      <c r="E48" s="1" t="str">
        <f>IFERROR(__xludf.DUMMYFUNCTION("""COMPUTED_VALUE"""),"V6 Biturbo")</f>
        <v>V6 Biturbo</v>
      </c>
      <c r="F48" s="1" t="str">
        <f>IFERROR(__xludf.DUMMYFUNCTION("""COMPUTED_VALUE"""),"1,995 cc (122 cu in) AM 452")</f>
        <v>1,995 cc (122 cu in) AM 452</v>
      </c>
      <c r="G48" s="1" t="str">
        <f>IFERROR(__xludf.DUMMYFUNCTION("""COMPUTED_VALUE"""),"180 PS (132 kW; 178 bhp)")</f>
        <v>180 PS (132 kW; 178 bhp)</v>
      </c>
      <c r="H48" s="1"/>
      <c r="L48" s="1" t="s">
        <v>36</v>
      </c>
    </row>
    <row r="49">
      <c r="A49" s="1">
        <f>IFERROR(__xludf.DUMMYFUNCTION("""COMPUTED_VALUE"""),425.0)</f>
        <v>425</v>
      </c>
      <c r="B49" s="1">
        <f>IFERROR(__xludf.DUMMYFUNCTION("""COMPUTED_VALUE"""),1983.0)</f>
        <v>1983</v>
      </c>
      <c r="C49" s="1">
        <f>IFERROR(__xludf.DUMMYFUNCTION("""COMPUTED_VALUE"""),1989.0)</f>
        <v>1989</v>
      </c>
      <c r="D49" s="1" t="str">
        <f>IFERROR(__xludf.DUMMYFUNCTION("""COMPUTED_VALUE"""),"international")</f>
        <v>international</v>
      </c>
      <c r="E49" s="1"/>
      <c r="F49" s="1" t="str">
        <f>IFERROR(__xludf.DUMMYFUNCTION("""COMPUTED_VALUE"""),"2,491 cc (152 cu in) AM 453")</f>
        <v>2,491 cc (152 cu in) AM 453</v>
      </c>
      <c r="G49" s="1" t="str">
        <f>IFERROR(__xludf.DUMMYFUNCTION("""COMPUTED_VALUE"""),"200 PS (147 kW; 197 bhp)")</f>
        <v>200 PS (147 kW; 197 bhp)</v>
      </c>
      <c r="H49" s="1"/>
      <c r="L49" s="1" t="s">
        <v>30</v>
      </c>
    </row>
    <row r="50">
      <c r="A50" s="1" t="str">
        <f>IFERROR(__xludf.DUMMYFUNCTION("""COMPUTED_VALUE"""),"Biturbo E")</f>
        <v>Biturbo E</v>
      </c>
      <c r="B50" s="1">
        <f>IFERROR(__xludf.DUMMYFUNCTION("""COMPUTED_VALUE"""),1983.0)</f>
        <v>1983</v>
      </c>
      <c r="C50" s="1">
        <f>IFERROR(__xludf.DUMMYFUNCTION("""COMPUTED_VALUE"""),1985.0)</f>
        <v>1985</v>
      </c>
      <c r="D50" s="1" t="str">
        <f>IFERROR(__xludf.DUMMYFUNCTION("""COMPUTED_VALUE"""),"international")</f>
        <v>international</v>
      </c>
      <c r="E50" s="1"/>
      <c r="F50" s="1" t="str">
        <f>IFERROR(__xludf.DUMMYFUNCTION("""COMPUTED_VALUE"""),"2,491 cc (152 cu in) AM 453")</f>
        <v>2,491 cc (152 cu in) AM 453</v>
      </c>
      <c r="G50" s="1" t="str">
        <f>IFERROR(__xludf.DUMMYFUNCTION("""COMPUTED_VALUE"""),"185 PS (136 kW; 182 bhp)")</f>
        <v>185 PS (136 kW; 182 bhp)</v>
      </c>
      <c r="H50" s="1"/>
      <c r="L50" s="1" t="s">
        <v>37</v>
      </c>
    </row>
    <row r="51">
      <c r="A51" s="1" t="str">
        <f>IFERROR(__xludf.DUMMYFUNCTION("""COMPUTED_VALUE"""),"Biturbo S")</f>
        <v>Biturbo S</v>
      </c>
      <c r="B51" s="1">
        <f>IFERROR(__xludf.DUMMYFUNCTION("""COMPUTED_VALUE"""),1983.0)</f>
        <v>1983</v>
      </c>
      <c r="C51" s="1">
        <f>IFERROR(__xludf.DUMMYFUNCTION("""COMPUTED_VALUE"""),1985.0)</f>
        <v>1985</v>
      </c>
      <c r="D51" s="1" t="str">
        <f>IFERROR(__xludf.DUMMYFUNCTION("""COMPUTED_VALUE"""),"Italy")</f>
        <v>Italy</v>
      </c>
      <c r="E51" s="1"/>
      <c r="F51" s="1" t="str">
        <f>IFERROR(__xludf.DUMMYFUNCTION("""COMPUTED_VALUE"""),"1,995 cc (122 cu in) AM 452")</f>
        <v>1,995 cc (122 cu in) AM 452</v>
      </c>
      <c r="G51" s="1" t="str">
        <f>IFERROR(__xludf.DUMMYFUNCTION("""COMPUTED_VALUE"""),"205 PS (151 kW; 202 bhp)")</f>
        <v>205 PS (151 kW; 202 bhp)</v>
      </c>
      <c r="H51" s="1"/>
      <c r="L51" s="1" t="s">
        <v>38</v>
      </c>
    </row>
    <row r="52">
      <c r="A52" s="1" t="str">
        <f>IFERROR(__xludf.DUMMYFUNCTION("""COMPUTED_VALUE"""),"Biturbo S (2.5)")</f>
        <v>Biturbo S (2.5)</v>
      </c>
      <c r="B52" s="1">
        <f>IFERROR(__xludf.DUMMYFUNCTION("""COMPUTED_VALUE"""),1984.0)</f>
        <v>1984</v>
      </c>
      <c r="C52" s="1">
        <f>IFERROR(__xludf.DUMMYFUNCTION("""COMPUTED_VALUE"""),1987.0)</f>
        <v>1987</v>
      </c>
      <c r="D52" s="1" t="str">
        <f>IFERROR(__xludf.DUMMYFUNCTION("""COMPUTED_VALUE"""),"international")</f>
        <v>international</v>
      </c>
      <c r="E52" s="1"/>
      <c r="F52" s="1" t="str">
        <f>IFERROR(__xludf.DUMMYFUNCTION("""COMPUTED_VALUE"""),"2,491 cc (152 cu in) AM 453")</f>
        <v>2,491 cc (152 cu in) AM 453</v>
      </c>
      <c r="G52" s="1" t="str">
        <f>IFERROR(__xludf.DUMMYFUNCTION("""COMPUTED_VALUE"""),"196 PS (144 kW; 193 bhp)")</f>
        <v>196 PS (144 kW; 193 bhp)</v>
      </c>
      <c r="H52" s="1" t="str">
        <f>IFERROR(__xludf.DUMMYFUNCTION("""COMPUTED_VALUE"""),"Carburettor, Catalyst")</f>
        <v>Carburettor, Catalyst</v>
      </c>
      <c r="L52" s="1" t="s">
        <v>39</v>
      </c>
      <c r="M52" s="1" t="s">
        <v>40</v>
      </c>
    </row>
    <row r="53">
      <c r="A53" s="1" t="str">
        <f>IFERROR(__xludf.DUMMYFUNCTION("""COMPUTED_VALUE"""),"Spyder (Zagato)")</f>
        <v>Spyder (Zagato)</v>
      </c>
      <c r="B53" s="1">
        <f>IFERROR(__xludf.DUMMYFUNCTION("""COMPUTED_VALUE"""),1984.0)</f>
        <v>1984</v>
      </c>
      <c r="C53" s="1">
        <f>IFERROR(__xludf.DUMMYFUNCTION("""COMPUTED_VALUE"""),1988.0)</f>
        <v>1988</v>
      </c>
      <c r="D53" s="1" t="str">
        <f>IFERROR(__xludf.DUMMYFUNCTION("""COMPUTED_VALUE"""),"Italy")</f>
        <v>Italy</v>
      </c>
      <c r="E53" s="1"/>
      <c r="F53" s="1" t="str">
        <f>IFERROR(__xludf.DUMMYFUNCTION("""COMPUTED_VALUE"""),"1,995 cc (122 cu in) AM 452")</f>
        <v>1,995 cc (122 cu in) AM 452</v>
      </c>
      <c r="G53" s="1" t="str">
        <f>IFERROR(__xludf.DUMMYFUNCTION("""COMPUTED_VALUE"""),"180 PS (132 kW; 178 bhp)")</f>
        <v>180 PS (132 kW; 178 bhp)</v>
      </c>
      <c r="H53" s="1" t="str">
        <f>IFERROR(__xludf.DUMMYFUNCTION("""COMPUTED_VALUE"""),"Carburettor")</f>
        <v>Carburettor</v>
      </c>
      <c r="L53" s="1" t="s">
        <v>36</v>
      </c>
      <c r="M53" s="1" t="s">
        <v>22</v>
      </c>
    </row>
    <row r="54">
      <c r="A54" s="1" t="str">
        <f>IFERROR(__xludf.DUMMYFUNCTION("""COMPUTED_VALUE"""),"Spyder (2.5)")</f>
        <v>Spyder (2.5)</v>
      </c>
      <c r="B54" s="1">
        <f>IFERROR(__xludf.DUMMYFUNCTION("""COMPUTED_VALUE"""),1984.0)</f>
        <v>1984</v>
      </c>
      <c r="C54" s="1">
        <f>IFERROR(__xludf.DUMMYFUNCTION("""COMPUTED_VALUE"""),1988.0)</f>
        <v>1988</v>
      </c>
      <c r="D54" s="1" t="str">
        <f>IFERROR(__xludf.DUMMYFUNCTION("""COMPUTED_VALUE"""),"international")</f>
        <v>international</v>
      </c>
      <c r="E54" s="1"/>
      <c r="F54" s="1" t="str">
        <f>IFERROR(__xludf.DUMMYFUNCTION("""COMPUTED_VALUE"""),"2,491 cc (152 cu in) AM 453")</f>
        <v>2,491 cc (152 cu in) AM 453</v>
      </c>
      <c r="G54" s="1" t="str">
        <f>IFERROR(__xludf.DUMMYFUNCTION("""COMPUTED_VALUE"""),"192 PS (141 kW; 189 bhp)")</f>
        <v>192 PS (141 kW; 189 bhp)</v>
      </c>
      <c r="H54" s="1" t="str">
        <f>IFERROR(__xludf.DUMMYFUNCTION("""COMPUTED_VALUE"""),"Carburettor, Catalyst")</f>
        <v>Carburettor, Catalyst</v>
      </c>
      <c r="L54" s="1" t="s">
        <v>41</v>
      </c>
      <c r="M54" s="1" t="s">
        <v>40</v>
      </c>
    </row>
    <row r="55">
      <c r="A55" s="1">
        <f>IFERROR(__xludf.DUMMYFUNCTION("""COMPUTED_VALUE"""),420.0)</f>
        <v>420</v>
      </c>
      <c r="B55" s="1">
        <f>IFERROR(__xludf.DUMMYFUNCTION("""COMPUTED_VALUE"""),1985.0)</f>
        <v>1985</v>
      </c>
      <c r="C55" s="1" t="str">
        <f>IFERROR(__xludf.DUMMYFUNCTION("""COMPUTED_VALUE"""),"?")</f>
        <v>?</v>
      </c>
      <c r="D55" s="1" t="str">
        <f>IFERROR(__xludf.DUMMYFUNCTION("""COMPUTED_VALUE"""),"Italy")</f>
        <v>Italy</v>
      </c>
      <c r="E55" s="1"/>
      <c r="F55" s="1" t="str">
        <f>IFERROR(__xludf.DUMMYFUNCTION("""COMPUTED_VALUE"""),"1,995 cc (122 cu in) AM 452")</f>
        <v>1,995 cc (122 cu in) AM 452</v>
      </c>
      <c r="G55" s="1" t="str">
        <f>IFERROR(__xludf.DUMMYFUNCTION("""COMPUTED_VALUE"""),"180 PS (132 kW; 178 bhp)")</f>
        <v>180 PS (132 kW; 178 bhp)</v>
      </c>
      <c r="H55" s="1" t="str">
        <f>IFERROR(__xludf.DUMMYFUNCTION("""COMPUTED_VALUE"""),"Carburettor")</f>
        <v>Carburettor</v>
      </c>
      <c r="L55" s="1" t="s">
        <v>36</v>
      </c>
      <c r="M55" s="1" t="s">
        <v>22</v>
      </c>
    </row>
    <row r="56">
      <c r="A56" s="1" t="str">
        <f>IFERROR(__xludf.DUMMYFUNCTION("""COMPUTED_VALUE"""),"Biturbo (II)")</f>
        <v>Biturbo (II)</v>
      </c>
      <c r="B56" s="1">
        <f>IFERROR(__xludf.DUMMYFUNCTION("""COMPUTED_VALUE"""),1985.0)</f>
        <v>1985</v>
      </c>
      <c r="C56" s="1">
        <f>IFERROR(__xludf.DUMMYFUNCTION("""COMPUTED_VALUE"""),1987.0)</f>
        <v>1987</v>
      </c>
      <c r="D56" s="1" t="str">
        <f>IFERROR(__xludf.DUMMYFUNCTION("""COMPUTED_VALUE"""),"Italy")</f>
        <v>Italy</v>
      </c>
      <c r="E56" s="1"/>
      <c r="F56" s="1" t="str">
        <f>IFERROR(__xludf.DUMMYFUNCTION("""COMPUTED_VALUE"""),"1,995 cc (122 cu in) AM 452")</f>
        <v>1,995 cc (122 cu in) AM 452</v>
      </c>
      <c r="G56" s="1" t="str">
        <f>IFERROR(__xludf.DUMMYFUNCTION("""COMPUTED_VALUE"""),"180 PS (132 kW; 178 bhp)")</f>
        <v>180 PS (132 kW; 178 bhp)</v>
      </c>
      <c r="H56" s="1"/>
      <c r="L56" s="1" t="s">
        <v>36</v>
      </c>
    </row>
    <row r="57">
      <c r="A57" s="1" t="str">
        <f>IFERROR(__xludf.DUMMYFUNCTION("""COMPUTED_VALUE"""),"Biturbo E (II 2.5)")</f>
        <v>Biturbo E (II 2.5)</v>
      </c>
      <c r="B57" s="1">
        <f>IFERROR(__xludf.DUMMYFUNCTION("""COMPUTED_VALUE"""),1985.0)</f>
        <v>1985</v>
      </c>
      <c r="C57" s="1">
        <f>IFERROR(__xludf.DUMMYFUNCTION("""COMPUTED_VALUE"""),1988.0)</f>
        <v>1988</v>
      </c>
      <c r="D57" s="1" t="str">
        <f>IFERROR(__xludf.DUMMYFUNCTION("""COMPUTED_VALUE"""),"international")</f>
        <v>international</v>
      </c>
      <c r="E57" s="1"/>
      <c r="F57" s="1" t="str">
        <f>IFERROR(__xludf.DUMMYFUNCTION("""COMPUTED_VALUE"""),"2,491 cc (152 cu in) AM 453")</f>
        <v>2,491 cc (152 cu in) AM 453</v>
      </c>
      <c r="G57" s="1" t="str">
        <f>IFERROR(__xludf.DUMMYFUNCTION("""COMPUTED_VALUE"""),"185 PS (136 kW; 182 bhp)")</f>
        <v>185 PS (136 kW; 182 bhp)</v>
      </c>
      <c r="H57" s="1" t="str">
        <f>IFERROR(__xludf.DUMMYFUNCTION("""COMPUTED_VALUE"""),"Carburettor, Catalyst")</f>
        <v>Carburettor, Catalyst</v>
      </c>
      <c r="L57" s="1" t="s">
        <v>37</v>
      </c>
      <c r="M57" s="1" t="s">
        <v>40</v>
      </c>
    </row>
    <row r="58">
      <c r="A58" s="1" t="str">
        <f>IFERROR(__xludf.DUMMYFUNCTION("""COMPUTED_VALUE"""),"Biturbo S (II)")</f>
        <v>Biturbo S (II)</v>
      </c>
      <c r="B58" s="1">
        <f>IFERROR(__xludf.DUMMYFUNCTION("""COMPUTED_VALUE"""),1985.0)</f>
        <v>1985</v>
      </c>
      <c r="C58" s="1">
        <f>IFERROR(__xludf.DUMMYFUNCTION("""COMPUTED_VALUE"""),1986.0)</f>
        <v>1986</v>
      </c>
      <c r="D58" s="1" t="str">
        <f>IFERROR(__xludf.DUMMYFUNCTION("""COMPUTED_VALUE"""),"Italy")</f>
        <v>Italy</v>
      </c>
      <c r="E58" s="1"/>
      <c r="F58" s="1" t="str">
        <f>IFERROR(__xludf.DUMMYFUNCTION("""COMPUTED_VALUE"""),"1,995 cc (122 cu in) AM 452")</f>
        <v>1,995 cc (122 cu in) AM 452</v>
      </c>
      <c r="G58" s="1" t="str">
        <f>IFERROR(__xludf.DUMMYFUNCTION("""COMPUTED_VALUE"""),"210 PS (154 kW; 207 bhp)")</f>
        <v>210 PS (154 kW; 207 bhp)</v>
      </c>
      <c r="H58" s="1" t="str">
        <f>IFERROR(__xludf.DUMMYFUNCTION("""COMPUTED_VALUE"""),"Carburettor")</f>
        <v>Carburettor</v>
      </c>
      <c r="L58" s="1" t="s">
        <v>42</v>
      </c>
      <c r="M58" s="1" t="s">
        <v>22</v>
      </c>
    </row>
    <row r="59">
      <c r="A59" s="1" t="str">
        <f>IFERROR(__xludf.DUMMYFUNCTION("""COMPUTED_VALUE"""),"228 (228i)")</f>
        <v>228 (228i)</v>
      </c>
      <c r="B59" s="1">
        <f>IFERROR(__xludf.DUMMYFUNCTION("""COMPUTED_VALUE"""),1986.0)</f>
        <v>1986</v>
      </c>
      <c r="C59" s="1">
        <f>IFERROR(__xludf.DUMMYFUNCTION("""COMPUTED_VALUE"""),1992.0)</f>
        <v>1992</v>
      </c>
      <c r="D59" s="1" t="str">
        <f>IFERROR(__xludf.DUMMYFUNCTION("""COMPUTED_VALUE"""),"international")</f>
        <v>international</v>
      </c>
      <c r="E59" s="1"/>
      <c r="F59" s="1" t="str">
        <f>IFERROR(__xludf.DUMMYFUNCTION("""COMPUTED_VALUE"""),"2,790 cc (170 cu in) AM 473")</f>
        <v>2,790 cc (170 cu in) AM 473</v>
      </c>
      <c r="G59" s="1" t="str">
        <f>IFERROR(__xludf.DUMMYFUNCTION("""COMPUTED_VALUE"""),"250 PS (184 kW; 247 bhp)")</f>
        <v>250 PS (184 kW; 247 bhp)</v>
      </c>
      <c r="H59" s="1" t="str">
        <f>IFERROR(__xludf.DUMMYFUNCTION("""COMPUTED_VALUE"""),"Fuel Injection, no Cat.")</f>
        <v>Fuel Injection, no Cat.</v>
      </c>
      <c r="L59" s="1" t="s">
        <v>43</v>
      </c>
      <c r="M59" s="1" t="s">
        <v>44</v>
      </c>
    </row>
    <row r="60">
      <c r="A60" s="1" t="str">
        <f>IFERROR(__xludf.DUMMYFUNCTION("""COMPUTED_VALUE"""),"228 (228i) Kat")</f>
        <v>228 (228i) Kat</v>
      </c>
      <c r="B60" s="1">
        <f>IFERROR(__xludf.DUMMYFUNCTION("""COMPUTED_VALUE"""),1986.0)</f>
        <v>1986</v>
      </c>
      <c r="C60" s="1">
        <f>IFERROR(__xludf.DUMMYFUNCTION("""COMPUTED_VALUE"""),1992.0)</f>
        <v>1992</v>
      </c>
      <c r="D60" s="1" t="str">
        <f>IFERROR(__xludf.DUMMYFUNCTION("""COMPUTED_VALUE"""),"international")</f>
        <v>international</v>
      </c>
      <c r="E60" s="1"/>
      <c r="F60" s="1" t="str">
        <f>IFERROR(__xludf.DUMMYFUNCTION("""COMPUTED_VALUE"""),"2,790 cc (170 cu in) AM 473")</f>
        <v>2,790 cc (170 cu in) AM 473</v>
      </c>
      <c r="G60" s="1" t="str">
        <f>IFERROR(__xludf.DUMMYFUNCTION("""COMPUTED_VALUE"""),"225 PS (165 kW; 222 bhp)")</f>
        <v>225 PS (165 kW; 222 bhp)</v>
      </c>
      <c r="H60" s="1" t="str">
        <f>IFERROR(__xludf.DUMMYFUNCTION("""COMPUTED_VALUE"""),"Fuel Injection, Catalyst")</f>
        <v>Fuel Injection, Catalyst</v>
      </c>
      <c r="L60" s="1" t="s">
        <v>45</v>
      </c>
      <c r="M60" s="1" t="s">
        <v>46</v>
      </c>
    </row>
    <row r="61">
      <c r="A61" s="1" t="str">
        <f>IFERROR(__xludf.DUMMYFUNCTION("""COMPUTED_VALUE"""),"420i")</f>
        <v>420i</v>
      </c>
      <c r="B61" s="1">
        <f>IFERROR(__xludf.DUMMYFUNCTION("""COMPUTED_VALUE"""),1986.0)</f>
        <v>1986</v>
      </c>
      <c r="C61" s="1" t="str">
        <f>IFERROR(__xludf.DUMMYFUNCTION("""COMPUTED_VALUE"""),"?")</f>
        <v>?</v>
      </c>
      <c r="D61" s="1" t="str">
        <f>IFERROR(__xludf.DUMMYFUNCTION("""COMPUTED_VALUE"""),"Italy")</f>
        <v>Italy</v>
      </c>
      <c r="E61" s="1"/>
      <c r="F61" s="1" t="str">
        <f>IFERROR(__xludf.DUMMYFUNCTION("""COMPUTED_VALUE"""),"1,995 cc (122 cu in) AM 470")</f>
        <v>1,995 cc (122 cu in) AM 470</v>
      </c>
      <c r="G61" s="1" t="str">
        <f>IFERROR(__xludf.DUMMYFUNCTION("""COMPUTED_VALUE"""),"190 PS (140 kW; 187 bhp)")</f>
        <v>190 PS (140 kW; 187 bhp)</v>
      </c>
      <c r="H61" s="1" t="str">
        <f>IFERROR(__xludf.DUMMYFUNCTION("""COMPUTED_VALUE"""),"Fuel Injection (Cat?)")</f>
        <v>Fuel Injection (Cat?)</v>
      </c>
      <c r="L61" s="1" t="s">
        <v>27</v>
      </c>
      <c r="M61" s="1" t="s">
        <v>47</v>
      </c>
    </row>
    <row r="62">
      <c r="A62" s="1" t="str">
        <f>IFERROR(__xludf.DUMMYFUNCTION("""COMPUTED_VALUE"""),"420 S")</f>
        <v>420 S</v>
      </c>
      <c r="B62" s="1">
        <f>IFERROR(__xludf.DUMMYFUNCTION("""COMPUTED_VALUE"""),1986.0)</f>
        <v>1986</v>
      </c>
      <c r="C62" s="1" t="str">
        <f>IFERROR(__xludf.DUMMYFUNCTION("""COMPUTED_VALUE"""),"?")</f>
        <v>?</v>
      </c>
      <c r="D62" s="1" t="str">
        <f>IFERROR(__xludf.DUMMYFUNCTION("""COMPUTED_VALUE"""),"Italy")</f>
        <v>Italy</v>
      </c>
      <c r="E62" s="1"/>
      <c r="F62" s="1" t="str">
        <f>IFERROR(__xludf.DUMMYFUNCTION("""COMPUTED_VALUE"""),"1,995 cc (122 cu in) AM 452")</f>
        <v>1,995 cc (122 cu in) AM 452</v>
      </c>
      <c r="G62" s="1" t="str">
        <f>IFERROR(__xludf.DUMMYFUNCTION("""COMPUTED_VALUE"""),"210 PS (154 kW; 207 bhp)")</f>
        <v>210 PS (154 kW; 207 bhp)</v>
      </c>
      <c r="H62" s="1" t="str">
        <f>IFERROR(__xludf.DUMMYFUNCTION("""COMPUTED_VALUE"""),"Carburettor, no Cat")</f>
        <v>Carburettor, no Cat</v>
      </c>
      <c r="L62" s="1" t="s">
        <v>42</v>
      </c>
      <c r="M62" s="1" t="s">
        <v>48</v>
      </c>
    </row>
    <row r="63">
      <c r="A63" s="1" t="str">
        <f>IFERROR(__xludf.DUMMYFUNCTION("""COMPUTED_VALUE"""),"Biturbo i")</f>
        <v>Biturbo i</v>
      </c>
      <c r="B63" s="1">
        <f>IFERROR(__xludf.DUMMYFUNCTION("""COMPUTED_VALUE"""),1986.0)</f>
        <v>1986</v>
      </c>
      <c r="C63" s="1">
        <f>IFERROR(__xludf.DUMMYFUNCTION("""COMPUTED_VALUE"""),1990.0)</f>
        <v>1990</v>
      </c>
      <c r="D63" s="1" t="str">
        <f>IFERROR(__xludf.DUMMYFUNCTION("""COMPUTED_VALUE"""),"Italy")</f>
        <v>Italy</v>
      </c>
      <c r="E63" s="1"/>
      <c r="F63" s="1" t="str">
        <f>IFERROR(__xludf.DUMMYFUNCTION("""COMPUTED_VALUE"""),"1,995 cc (122 cu in) AM 470")</f>
        <v>1,995 cc (122 cu in) AM 470</v>
      </c>
      <c r="G63" s="1" t="str">
        <f>IFERROR(__xludf.DUMMYFUNCTION("""COMPUTED_VALUE"""),"185 PS (136 kW; 182 bhp)")</f>
        <v>185 PS (136 kW; 182 bhp)</v>
      </c>
      <c r="H63" s="1" t="str">
        <f>IFERROR(__xludf.DUMMYFUNCTION("""COMPUTED_VALUE"""),"Fuel Injection (Cat?)")</f>
        <v>Fuel Injection (Cat?)</v>
      </c>
      <c r="L63" s="1" t="s">
        <v>37</v>
      </c>
      <c r="M63" s="1" t="s">
        <v>47</v>
      </c>
    </row>
    <row r="64">
      <c r="A64" s="1" t="str">
        <f>IFERROR(__xludf.DUMMYFUNCTION("""COMPUTED_VALUE"""),"Quattroporte Royale (III)")</f>
        <v>Quattroporte Royale (III)</v>
      </c>
      <c r="B64" s="1">
        <f>IFERROR(__xludf.DUMMYFUNCTION("""COMPUTED_VALUE"""),1986.0)</f>
        <v>1986</v>
      </c>
      <c r="C64" s="1">
        <f>IFERROR(__xludf.DUMMYFUNCTION("""COMPUTED_VALUE"""),1990.0)</f>
        <v>1990</v>
      </c>
      <c r="D64" s="1" t="str">
        <f>IFERROR(__xludf.DUMMYFUNCTION("""COMPUTED_VALUE"""),"international")</f>
        <v>international</v>
      </c>
      <c r="E64" s="1" t="str">
        <f>IFERROR(__xludf.DUMMYFUNCTION("""COMPUTED_VALUE"""),"V8")</f>
        <v>V8</v>
      </c>
      <c r="F64" s="1" t="str">
        <f>IFERROR(__xludf.DUMMYFUNCTION("""COMPUTED_VALUE"""),"4,930 cc (301 cu in) AM 107.23.50")</f>
        <v>4,930 cc (301 cu in) AM 107.23.50</v>
      </c>
      <c r="G64" s="1" t="str">
        <f>IFERROR(__xludf.DUMMYFUNCTION("""COMPUTED_VALUE"""),"300 PS (221 kW; 296 bhp)")</f>
        <v>300 PS (221 kW; 296 bhp)</v>
      </c>
      <c r="H64" s="1" t="str">
        <f>IFERROR(__xludf.DUMMYFUNCTION("""COMPUTED_VALUE"""),"Fuel Injection, not Cat")</f>
        <v>Fuel Injection, not Cat</v>
      </c>
      <c r="L64" s="1" t="s">
        <v>28</v>
      </c>
      <c r="M64" s="1" t="s">
        <v>49</v>
      </c>
    </row>
    <row r="65">
      <c r="A65" s="1" t="str">
        <f>IFERROR(__xludf.DUMMYFUNCTION("""COMPUTED_VALUE"""),"Spyder i")</f>
        <v>Spyder i</v>
      </c>
      <c r="B65" s="1">
        <f>IFERROR(__xludf.DUMMYFUNCTION("""COMPUTED_VALUE"""),1986.0)</f>
        <v>1986</v>
      </c>
      <c r="C65" s="1">
        <f>IFERROR(__xludf.DUMMYFUNCTION("""COMPUTED_VALUE"""),1987.0)</f>
        <v>1987</v>
      </c>
      <c r="D65" s="1" t="str">
        <f>IFERROR(__xludf.DUMMYFUNCTION("""COMPUTED_VALUE"""),"international")</f>
        <v>international</v>
      </c>
      <c r="E65" s="1" t="str">
        <f>IFERROR(__xludf.DUMMYFUNCTION("""COMPUTED_VALUE"""),"V6 Biturbo")</f>
        <v>V6 Biturbo</v>
      </c>
      <c r="F65" s="1" t="str">
        <f>IFERROR(__xludf.DUMMYFUNCTION("""COMPUTED_VALUE"""),"1,996 cc (122 cu in) AM 470")</f>
        <v>1,996 cc (122 cu in) AM 470</v>
      </c>
      <c r="G65" s="1" t="str">
        <f>IFERROR(__xludf.DUMMYFUNCTION("""COMPUTED_VALUE"""),"185 PS (136 kW; 182 bhp)")</f>
        <v>185 PS (136 kW; 182 bhp)</v>
      </c>
      <c r="H65" s="1" t="str">
        <f>IFERROR(__xludf.DUMMYFUNCTION("""COMPUTED_VALUE"""),"Fuel Injection, (Cat?)")</f>
        <v>Fuel Injection, (Cat?)</v>
      </c>
      <c r="L65" s="1" t="s">
        <v>37</v>
      </c>
      <c r="M65" s="1" t="s">
        <v>50</v>
      </c>
    </row>
    <row r="66">
      <c r="A66" s="1">
        <f>IFERROR(__xludf.DUMMYFUNCTION("""COMPUTED_VALUE"""),430.0)</f>
        <v>430</v>
      </c>
      <c r="B66" s="1">
        <f>IFERROR(__xludf.DUMMYFUNCTION("""COMPUTED_VALUE"""),1987.0)</f>
        <v>1987</v>
      </c>
      <c r="C66" s="1">
        <f>IFERROR(__xludf.DUMMYFUNCTION("""COMPUTED_VALUE"""),1990.0)</f>
        <v>1990</v>
      </c>
      <c r="D66" s="1" t="str">
        <f>IFERROR(__xludf.DUMMYFUNCTION("""COMPUTED_VALUE"""),"international")</f>
        <v>international</v>
      </c>
      <c r="E66" s="1"/>
      <c r="F66" s="1" t="str">
        <f>IFERROR(__xludf.DUMMYFUNCTION("""COMPUTED_VALUE"""),"2,790 cc (170 cu in) AM 473")</f>
        <v>2,790 cc (170 cu in) AM 473</v>
      </c>
      <c r="G66" s="1" t="str">
        <f>IFERROR(__xludf.DUMMYFUNCTION("""COMPUTED_VALUE"""),"225 PS (165 kW; 222 bhp)")</f>
        <v>225 PS (165 kW; 222 bhp)</v>
      </c>
      <c r="H66" s="1" t="str">
        <f>IFERROR(__xludf.DUMMYFUNCTION("""COMPUTED_VALUE"""),"Fuel Injection, Catalyst")</f>
        <v>Fuel Injection, Catalyst</v>
      </c>
      <c r="L66" s="1" t="s">
        <v>45</v>
      </c>
      <c r="M66" s="1" t="s">
        <v>46</v>
      </c>
    </row>
    <row r="67">
      <c r="A67" s="1" t="str">
        <f>IFERROR(__xludf.DUMMYFUNCTION("""COMPUTED_VALUE"""),"425i")</f>
        <v>425i</v>
      </c>
      <c r="B67" s="1">
        <f>IFERROR(__xludf.DUMMYFUNCTION("""COMPUTED_VALUE"""),1987.0)</f>
        <v>1987</v>
      </c>
      <c r="C67" s="1">
        <f>IFERROR(__xludf.DUMMYFUNCTION("""COMPUTED_VALUE"""),1990.0)</f>
        <v>1990</v>
      </c>
      <c r="D67" s="1" t="str">
        <f>IFERROR(__xludf.DUMMYFUNCTION("""COMPUTED_VALUE"""),"international")</f>
        <v>international</v>
      </c>
      <c r="E67" s="1"/>
      <c r="F67" s="1" t="str">
        <f>IFERROR(__xludf.DUMMYFUNCTION("""COMPUTED_VALUE"""),"2,491 cc (152 cu in) AM 472")</f>
        <v>2,491 cc (152 cu in) AM 472</v>
      </c>
      <c r="G67" s="1" t="str">
        <f>IFERROR(__xludf.DUMMYFUNCTION("""COMPUTED_VALUE"""),"188 PS (138 kW; 185 bhp)")</f>
        <v>188 PS (138 kW; 185 bhp)</v>
      </c>
      <c r="H67" s="1"/>
      <c r="L67" s="1" t="s">
        <v>51</v>
      </c>
    </row>
    <row r="68">
      <c r="A68" s="1" t="str">
        <f>IFERROR(__xludf.DUMMYFUNCTION("""COMPUTED_VALUE"""),"Biturbo Si")</f>
        <v>Biturbo Si</v>
      </c>
      <c r="B68" s="1">
        <f>IFERROR(__xludf.DUMMYFUNCTION("""COMPUTED_VALUE"""),1987.0)</f>
        <v>1987</v>
      </c>
      <c r="C68" s="1">
        <f>IFERROR(__xludf.DUMMYFUNCTION("""COMPUTED_VALUE"""),1988.0)</f>
        <v>1988</v>
      </c>
      <c r="D68" s="1" t="str">
        <f>IFERROR(__xludf.DUMMYFUNCTION("""COMPUTED_VALUE"""),"Italy")</f>
        <v>Italy</v>
      </c>
      <c r="E68" s="1"/>
      <c r="F68" s="1" t="str">
        <f>IFERROR(__xludf.DUMMYFUNCTION("""COMPUTED_VALUE"""),"1,995 cc (122 cu in) AM 471")</f>
        <v>1,995 cc (122 cu in) AM 471</v>
      </c>
      <c r="G68" s="1" t="str">
        <f>IFERROR(__xludf.DUMMYFUNCTION("""COMPUTED_VALUE"""),"220 PS (162 kW; 217 bhp)")</f>
        <v>220 PS (162 kW; 217 bhp)</v>
      </c>
      <c r="H68" s="1" t="str">
        <f>IFERROR(__xludf.DUMMYFUNCTION("""COMPUTED_VALUE"""),"Fuel Injection, no Cat")</f>
        <v>Fuel Injection, no Cat</v>
      </c>
      <c r="L68" s="1" t="s">
        <v>29</v>
      </c>
      <c r="M68" s="1" t="s">
        <v>52</v>
      </c>
    </row>
    <row r="69">
      <c r="A69" s="1" t="str">
        <f>IFERROR(__xludf.DUMMYFUNCTION("""COMPUTED_VALUE"""),"Biturbo Si (2.5)")</f>
        <v>Biturbo Si (2.5)</v>
      </c>
      <c r="B69" s="1">
        <f>IFERROR(__xludf.DUMMYFUNCTION("""COMPUTED_VALUE"""),1987.0)</f>
        <v>1987</v>
      </c>
      <c r="C69" s="1">
        <f>IFERROR(__xludf.DUMMYFUNCTION("""COMPUTED_VALUE"""),1988.0)</f>
        <v>1988</v>
      </c>
      <c r="D69" s="1" t="str">
        <f>IFERROR(__xludf.DUMMYFUNCTION("""COMPUTED_VALUE"""),"international")</f>
        <v>international</v>
      </c>
      <c r="E69" s="1"/>
      <c r="F69" s="1" t="str">
        <f>IFERROR(__xludf.DUMMYFUNCTION("""COMPUTED_VALUE"""),"2,491 cc (152 cu in) AM 472")</f>
        <v>2,491 cc (152 cu in) AM 472</v>
      </c>
      <c r="G69" s="1" t="str">
        <f>IFERROR(__xludf.DUMMYFUNCTION("""COMPUTED_VALUE"""),"188 PS (138 kW; 185 bhp)")</f>
        <v>188 PS (138 kW; 185 bhp)</v>
      </c>
      <c r="H69" s="1" t="str">
        <f>IFERROR(__xludf.DUMMYFUNCTION("""COMPUTED_VALUE"""),"Fuel Injection, Catalyst")</f>
        <v>Fuel Injection, Catalyst</v>
      </c>
      <c r="L69" s="1" t="s">
        <v>51</v>
      </c>
      <c r="M69" s="1" t="s">
        <v>46</v>
      </c>
    </row>
    <row r="70">
      <c r="A70" s="1" t="str">
        <f>IFERROR(__xludf.DUMMYFUNCTION("""COMPUTED_VALUE"""),"Spyder i ('87)")</f>
        <v>Spyder i ('87)</v>
      </c>
      <c r="B70" s="1">
        <f>IFERROR(__xludf.DUMMYFUNCTION("""COMPUTED_VALUE"""),1987.0)</f>
        <v>1987</v>
      </c>
      <c r="C70" s="1">
        <f>IFERROR(__xludf.DUMMYFUNCTION("""COMPUTED_VALUE"""),1988.0)</f>
        <v>1988</v>
      </c>
      <c r="D70" s="1" t="str">
        <f>IFERROR(__xludf.DUMMYFUNCTION("""COMPUTED_VALUE"""),"international")</f>
        <v>international</v>
      </c>
      <c r="E70" s="1"/>
      <c r="F70" s="1" t="str">
        <f>IFERROR(__xludf.DUMMYFUNCTION("""COMPUTED_VALUE"""),"1,996 cc (122 cu in) AM 471")</f>
        <v>1,996 cc (122 cu in) AM 471</v>
      </c>
      <c r="G70" s="1" t="str">
        <f>IFERROR(__xludf.DUMMYFUNCTION("""COMPUTED_VALUE"""),"195 PS (143 kW; 192 bhp)")</f>
        <v>195 PS (143 kW; 192 bhp)</v>
      </c>
      <c r="H70" s="1" t="str">
        <f>IFERROR(__xludf.DUMMYFUNCTION("""COMPUTED_VALUE"""),"Fuel Injection (Cat?)")</f>
        <v>Fuel Injection (Cat?)</v>
      </c>
      <c r="L70" s="1" t="s">
        <v>53</v>
      </c>
      <c r="M70" s="1" t="s">
        <v>47</v>
      </c>
    </row>
    <row r="71">
      <c r="A71" s="1">
        <f>IFERROR(__xludf.DUMMYFUNCTION("""COMPUTED_VALUE"""),222.0)</f>
        <v>222</v>
      </c>
      <c r="B71" s="1">
        <f>IFERROR(__xludf.DUMMYFUNCTION("""COMPUTED_VALUE"""),1988.0)</f>
        <v>1988</v>
      </c>
      <c r="C71" s="1">
        <f>IFERROR(__xludf.DUMMYFUNCTION("""COMPUTED_VALUE"""),1990.0)</f>
        <v>1990</v>
      </c>
      <c r="D71" s="1" t="str">
        <f>IFERROR(__xludf.DUMMYFUNCTION("""COMPUTED_VALUE"""),"Italy")</f>
        <v>Italy</v>
      </c>
      <c r="E71" s="1"/>
      <c r="F71" s="1" t="str">
        <f>IFERROR(__xludf.DUMMYFUNCTION("""COMPUTED_VALUE"""),"1,996 cc (122 cu in) AM 471")</f>
        <v>1,996 cc (122 cu in) AM 471</v>
      </c>
      <c r="G71" s="1" t="str">
        <f>IFERROR(__xludf.DUMMYFUNCTION("""COMPUTED_VALUE"""),"220 PS (162 kW; 217 bhp)")</f>
        <v>220 PS (162 kW; 217 bhp)</v>
      </c>
      <c r="H71" s="1" t="str">
        <f>IFERROR(__xludf.DUMMYFUNCTION("""COMPUTED_VALUE"""),"Fuel Injection, Catalyst")</f>
        <v>Fuel Injection, Catalyst</v>
      </c>
      <c r="L71" s="1" t="s">
        <v>29</v>
      </c>
      <c r="M71" s="1" t="s">
        <v>46</v>
      </c>
    </row>
    <row r="72">
      <c r="A72" s="1">
        <f>IFERROR(__xludf.DUMMYFUNCTION("""COMPUTED_VALUE"""),422.0)</f>
        <v>422</v>
      </c>
      <c r="B72" s="1">
        <f>IFERROR(__xludf.DUMMYFUNCTION("""COMPUTED_VALUE"""),1988.0)</f>
        <v>1988</v>
      </c>
      <c r="C72" s="1">
        <f>IFERROR(__xludf.DUMMYFUNCTION("""COMPUTED_VALUE"""),1990.0)</f>
        <v>1990</v>
      </c>
      <c r="D72" s="1" t="str">
        <f>IFERROR(__xludf.DUMMYFUNCTION("""COMPUTED_VALUE"""),"Italy")</f>
        <v>Italy</v>
      </c>
      <c r="E72" s="1"/>
      <c r="F72" s="1" t="str">
        <f>IFERROR(__xludf.DUMMYFUNCTION("""COMPUTED_VALUE"""),"1,996 cc (122 cu in) AM 471")</f>
        <v>1,996 cc (122 cu in) AM 471</v>
      </c>
      <c r="G72" s="1" t="str">
        <f>IFERROR(__xludf.DUMMYFUNCTION("""COMPUTED_VALUE"""),"220 PS (162 kW; 217 bhp)")</f>
        <v>220 PS (162 kW; 217 bhp)</v>
      </c>
      <c r="H72" s="1"/>
      <c r="L72" s="1" t="s">
        <v>29</v>
      </c>
    </row>
    <row r="73">
      <c r="A73" s="1" t="str">
        <f>IFERROR(__xludf.DUMMYFUNCTION("""COMPUTED_VALUE"""),"2.24V")</f>
        <v>2.24V</v>
      </c>
      <c r="B73" s="1">
        <f>IFERROR(__xludf.DUMMYFUNCTION("""COMPUTED_VALUE"""),1988.0)</f>
        <v>1988</v>
      </c>
      <c r="C73" s="1">
        <f>IFERROR(__xludf.DUMMYFUNCTION("""COMPUTED_VALUE"""),1992.0)</f>
        <v>1992</v>
      </c>
      <c r="D73" s="1" t="str">
        <f>IFERROR(__xludf.DUMMYFUNCTION("""COMPUTED_VALUE"""),"Italy (probably)")</f>
        <v>Italy (probably)</v>
      </c>
      <c r="E73" s="1"/>
      <c r="F73" s="1" t="str">
        <f>IFERROR(__xludf.DUMMYFUNCTION("""COMPUTED_VALUE"""),"1,996 cc (122 cu in) AM 475")</f>
        <v>1,996 cc (122 cu in) AM 475</v>
      </c>
      <c r="G73" s="1" t="str">
        <f>IFERROR(__xludf.DUMMYFUNCTION("""COMPUTED_VALUE"""),"245 PS (180 kW; 242 bhp)")</f>
        <v>245 PS (180 kW; 242 bhp)</v>
      </c>
      <c r="H73" s="1" t="str">
        <f>IFERROR(__xludf.DUMMYFUNCTION("""COMPUTED_VALUE"""),"Fuel Injection, no Cat")</f>
        <v>Fuel Injection, no Cat</v>
      </c>
      <c r="L73" s="1" t="s">
        <v>20</v>
      </c>
      <c r="M73" s="1" t="s">
        <v>52</v>
      </c>
    </row>
    <row r="74">
      <c r="A74" s="1" t="str">
        <f>IFERROR(__xludf.DUMMYFUNCTION("""COMPUTED_VALUE"""),"222 4v")</f>
        <v>222 4v</v>
      </c>
      <c r="B74" s="1">
        <f>IFERROR(__xludf.DUMMYFUNCTION("""COMPUTED_VALUE"""),1988.0)</f>
        <v>1988</v>
      </c>
      <c r="C74" s="1">
        <f>IFERROR(__xludf.DUMMYFUNCTION("""COMPUTED_VALUE"""),1991.0)</f>
        <v>1991</v>
      </c>
      <c r="D74" s="1" t="str">
        <f>IFERROR(__xludf.DUMMYFUNCTION("""COMPUTED_VALUE"""),"international")</f>
        <v>international</v>
      </c>
      <c r="E74" s="1"/>
      <c r="F74" s="1" t="str">
        <f>IFERROR(__xludf.DUMMYFUNCTION("""COMPUTED_VALUE"""),"2,790 cc (170 cu in) AM 477")</f>
        <v>2,790 cc (170 cu in) AM 477</v>
      </c>
      <c r="G74" s="1" t="str">
        <f>IFERROR(__xludf.DUMMYFUNCTION("""COMPUTED_VALUE"""),"279 PS (205 kW; 275 bhp)")</f>
        <v>279 PS (205 kW; 275 bhp)</v>
      </c>
      <c r="H74" s="1" t="str">
        <f>IFERROR(__xludf.DUMMYFUNCTION("""COMPUTED_VALUE"""),"Fuel Injection, Catalyst")</f>
        <v>Fuel Injection, Catalyst</v>
      </c>
      <c r="L74" s="1" t="s">
        <v>54</v>
      </c>
      <c r="M74" s="1" t="s">
        <v>46</v>
      </c>
    </row>
    <row r="75">
      <c r="A75" s="1" t="str">
        <f>IFERROR(__xludf.DUMMYFUNCTION("""COMPUTED_VALUE"""),"222 E")</f>
        <v>222 E</v>
      </c>
      <c r="B75" s="1">
        <f>IFERROR(__xludf.DUMMYFUNCTION("""COMPUTED_VALUE"""),1988.0)</f>
        <v>1988</v>
      </c>
      <c r="C75" s="1">
        <f>IFERROR(__xludf.DUMMYFUNCTION("""COMPUTED_VALUE"""),1990.0)</f>
        <v>1990</v>
      </c>
      <c r="D75" s="1" t="str">
        <f>IFERROR(__xludf.DUMMYFUNCTION("""COMPUTED_VALUE"""),"international")</f>
        <v>international</v>
      </c>
      <c r="E75" s="1"/>
      <c r="F75" s="1" t="str">
        <f>IFERROR(__xludf.DUMMYFUNCTION("""COMPUTED_VALUE"""),"2,790 cc (170 cu in) AM 473")</f>
        <v>2,790 cc (170 cu in) AM 473</v>
      </c>
      <c r="G75" s="1" t="str">
        <f>IFERROR(__xludf.DUMMYFUNCTION("""COMPUTED_VALUE"""),"225 PS (165 kW; 222 bhp)")</f>
        <v>225 PS (165 kW; 222 bhp)</v>
      </c>
      <c r="H75" s="1"/>
      <c r="L75" s="1" t="s">
        <v>45</v>
      </c>
    </row>
    <row r="76">
      <c r="A76" s="1" t="str">
        <f>IFERROR(__xludf.DUMMYFUNCTION("""COMPUTED_VALUE"""),"Karif")</f>
        <v>Karif</v>
      </c>
      <c r="B76" s="1">
        <f>IFERROR(__xludf.DUMMYFUNCTION("""COMPUTED_VALUE"""),1988.0)</f>
        <v>1988</v>
      </c>
      <c r="C76" s="1">
        <f>IFERROR(__xludf.DUMMYFUNCTION("""COMPUTED_VALUE"""),1993.0)</f>
        <v>1993</v>
      </c>
      <c r="D76" s="1" t="str">
        <f>IFERROR(__xludf.DUMMYFUNCTION("""COMPUTED_VALUE"""),"international")</f>
        <v>international</v>
      </c>
      <c r="E76" s="1"/>
      <c r="F76" s="1" t="str">
        <f>IFERROR(__xludf.DUMMYFUNCTION("""COMPUTED_VALUE"""),"2,790 cc (170 cu in) AM 473")</f>
        <v>2,790 cc (170 cu in) AM 473</v>
      </c>
      <c r="G76" s="1" t="str">
        <f>IFERROR(__xludf.DUMMYFUNCTION("""COMPUTED_VALUE"""),"285 PS (210 kW; 281 bhp)")</f>
        <v>285 PS (210 kW; 281 bhp)</v>
      </c>
      <c r="H76" s="1" t="str">
        <f>IFERROR(__xludf.DUMMYFUNCTION("""COMPUTED_VALUE"""),"Fuel Injection, no Cat")</f>
        <v>Fuel Injection, no Cat</v>
      </c>
      <c r="L76" s="1" t="s">
        <v>55</v>
      </c>
      <c r="M76" s="1" t="s">
        <v>52</v>
      </c>
    </row>
    <row r="77">
      <c r="A77" s="1" t="str">
        <f>IFERROR(__xludf.DUMMYFUNCTION("""COMPUTED_VALUE"""),"Karif (kat)")</f>
        <v>Karif (kat)</v>
      </c>
      <c r="B77" s="1">
        <f>IFERROR(__xludf.DUMMYFUNCTION("""COMPUTED_VALUE"""),1988.0)</f>
        <v>1988</v>
      </c>
      <c r="C77" s="1">
        <f>IFERROR(__xludf.DUMMYFUNCTION("""COMPUTED_VALUE"""),1993.0)</f>
        <v>1993</v>
      </c>
      <c r="D77" s="1" t="str">
        <f>IFERROR(__xludf.DUMMYFUNCTION("""COMPUTED_VALUE"""),"international")</f>
        <v>international</v>
      </c>
      <c r="E77" s="1"/>
      <c r="F77" s="1" t="str">
        <f>IFERROR(__xludf.DUMMYFUNCTION("""COMPUTED_VALUE"""),"2,790 cc (170 cu in) AM 473")</f>
        <v>2,790 cc (170 cu in) AM 473</v>
      </c>
      <c r="G77" s="1" t="str">
        <f>IFERROR(__xludf.DUMMYFUNCTION("""COMPUTED_VALUE"""),"248 PS (182 kW; 245 bhp)")</f>
        <v>248 PS (182 kW; 245 bhp)</v>
      </c>
      <c r="H77" s="1" t="str">
        <f>IFERROR(__xludf.DUMMYFUNCTION("""COMPUTED_VALUE"""),"Fuel Injection, Catalyst")</f>
        <v>Fuel Injection, Catalyst</v>
      </c>
      <c r="L77" s="1" t="s">
        <v>56</v>
      </c>
      <c r="M77" s="1" t="s">
        <v>46</v>
      </c>
    </row>
    <row r="78">
      <c r="A78" s="1" t="str">
        <f>IFERROR(__xludf.DUMMYFUNCTION("""COMPUTED_VALUE"""),"Karif (kat II)")</f>
        <v>Karif (kat II)</v>
      </c>
      <c r="B78" s="1">
        <f>IFERROR(__xludf.DUMMYFUNCTION("""COMPUTED_VALUE"""),1988.0)</f>
        <v>1988</v>
      </c>
      <c r="C78" s="1">
        <f>IFERROR(__xludf.DUMMYFUNCTION("""COMPUTED_VALUE"""),1993.0)</f>
        <v>1993</v>
      </c>
      <c r="D78" s="1" t="str">
        <f>IFERROR(__xludf.DUMMYFUNCTION("""COMPUTED_VALUE"""),"international")</f>
        <v>international</v>
      </c>
      <c r="E78" s="1"/>
      <c r="F78" s="1" t="str">
        <f>IFERROR(__xludf.DUMMYFUNCTION("""COMPUTED_VALUE"""),"2,790 cc (170 cu in) AM 473")</f>
        <v>2,790 cc (170 cu in) AM 473</v>
      </c>
      <c r="G78" s="1" t="str">
        <f>IFERROR(__xludf.DUMMYFUNCTION("""COMPUTED_VALUE"""),"225 PS (165 kW; 222 bhp)")</f>
        <v>225 PS (165 kW; 222 bhp)</v>
      </c>
      <c r="H78" s="1"/>
      <c r="L78" s="1" t="s">
        <v>45</v>
      </c>
    </row>
    <row r="79">
      <c r="A79" s="1" t="str">
        <f>IFERROR(__xludf.DUMMYFUNCTION("""COMPUTED_VALUE"""),"Spyder i (2.5)")</f>
        <v>Spyder i (2.5)</v>
      </c>
      <c r="B79" s="1">
        <f>IFERROR(__xludf.DUMMYFUNCTION("""COMPUTED_VALUE"""),1988.0)</f>
        <v>1988</v>
      </c>
      <c r="C79" s="1">
        <f>IFERROR(__xludf.DUMMYFUNCTION("""COMPUTED_VALUE"""),1989.0)</f>
        <v>1989</v>
      </c>
      <c r="D79" s="1" t="str">
        <f>IFERROR(__xludf.DUMMYFUNCTION("""COMPUTED_VALUE"""),"international")</f>
        <v>international</v>
      </c>
      <c r="E79" s="1"/>
      <c r="F79" s="1" t="str">
        <f>IFERROR(__xludf.DUMMYFUNCTION("""COMPUTED_VALUE"""),"2,491 cc (152 cu in) AM 472")</f>
        <v>2,491 cc (152 cu in) AM 472</v>
      </c>
      <c r="G79" s="1" t="str">
        <f>IFERROR(__xludf.DUMMYFUNCTION("""COMPUTED_VALUE"""),"188 PS (138 kW; 185 bhp)")</f>
        <v>188 PS (138 kW; 185 bhp)</v>
      </c>
      <c r="H79" s="1"/>
      <c r="L79" s="1" t="s">
        <v>51</v>
      </c>
    </row>
    <row r="80">
      <c r="A80" s="1" t="str">
        <f>IFERROR(__xludf.DUMMYFUNCTION("""COMPUTED_VALUE"""),"Spyder i (2.8)")</f>
        <v>Spyder i (2.8)</v>
      </c>
      <c r="B80" s="1">
        <f>IFERROR(__xludf.DUMMYFUNCTION("""COMPUTED_VALUE"""),1989.0)</f>
        <v>1989</v>
      </c>
      <c r="C80" s="1" t="str">
        <f>IFERROR(__xludf.DUMMYFUNCTION("""COMPUTED_VALUE"""),"?")</f>
        <v>?</v>
      </c>
      <c r="D80" s="1" t="str">
        <f>IFERROR(__xludf.DUMMYFUNCTION("""COMPUTED_VALUE"""),"international")</f>
        <v>international</v>
      </c>
      <c r="E80" s="1"/>
      <c r="F80" s="1" t="str">
        <f>IFERROR(__xludf.DUMMYFUNCTION("""COMPUTED_VALUE"""),"2,790 cc (170 cu in) AM 473")</f>
        <v>2,790 cc (170 cu in) AM 473</v>
      </c>
      <c r="G80" s="1" t="str">
        <f>IFERROR(__xludf.DUMMYFUNCTION("""COMPUTED_VALUE"""),"250 PS (184 kW; 247 bhp)")</f>
        <v>250 PS (184 kW; 247 bhp)</v>
      </c>
      <c r="H80" s="1" t="str">
        <f>IFERROR(__xludf.DUMMYFUNCTION("""COMPUTED_VALUE"""),"Fuel Injection, no Cat")</f>
        <v>Fuel Injection, no Cat</v>
      </c>
      <c r="L80" s="1" t="s">
        <v>43</v>
      </c>
      <c r="M80" s="1" t="s">
        <v>52</v>
      </c>
    </row>
    <row r="81">
      <c r="A81" s="1" t="str">
        <f>IFERROR(__xludf.DUMMYFUNCTION("""COMPUTED_VALUE"""),"Spyder i (2.8, kat)")</f>
        <v>Spyder i (2.8, kat)</v>
      </c>
      <c r="B81" s="1">
        <f>IFERROR(__xludf.DUMMYFUNCTION("""COMPUTED_VALUE"""),1989.0)</f>
        <v>1989</v>
      </c>
      <c r="C81" s="1" t="str">
        <f>IFERROR(__xludf.DUMMYFUNCTION("""COMPUTED_VALUE"""),"?")</f>
        <v>?</v>
      </c>
      <c r="D81" s="1" t="str">
        <f>IFERROR(__xludf.DUMMYFUNCTION("""COMPUTED_VALUE"""),"international")</f>
        <v>international</v>
      </c>
      <c r="E81" s="1"/>
      <c r="F81" s="1" t="str">
        <f>IFERROR(__xludf.DUMMYFUNCTION("""COMPUTED_VALUE"""),"2,790 cc (170 cu in) AM 473")</f>
        <v>2,790 cc (170 cu in) AM 473</v>
      </c>
      <c r="G81" s="1" t="str">
        <f>IFERROR(__xludf.DUMMYFUNCTION("""COMPUTED_VALUE"""),"225 PS (165 kW; 222 bhp)")</f>
        <v>225 PS (165 kW; 222 bhp)</v>
      </c>
      <c r="H81" s="1" t="str">
        <f>IFERROR(__xludf.DUMMYFUNCTION("""COMPUTED_VALUE"""),"Fuel Injection, Catalyst")</f>
        <v>Fuel Injection, Catalyst</v>
      </c>
      <c r="L81" s="1" t="s">
        <v>45</v>
      </c>
      <c r="M81" s="1" t="s">
        <v>46</v>
      </c>
    </row>
    <row r="82">
      <c r="A82" s="1" t="str">
        <f>IFERROR(__xludf.DUMMYFUNCTION("""COMPUTED_VALUE"""),"Spyder i ('90)")</f>
        <v>Spyder i ('90)</v>
      </c>
      <c r="B82" s="1">
        <f>IFERROR(__xludf.DUMMYFUNCTION("""COMPUTED_VALUE"""),1989.0)</f>
        <v>1989</v>
      </c>
      <c r="C82" s="1" t="str">
        <f>IFERROR(__xludf.DUMMYFUNCTION("""COMPUTED_VALUE"""),"?")</f>
        <v>?</v>
      </c>
      <c r="D82" s="1" t="str">
        <f>IFERROR(__xludf.DUMMYFUNCTION("""COMPUTED_VALUE"""),"Italy")</f>
        <v>Italy</v>
      </c>
      <c r="E82" s="1"/>
      <c r="F82" s="1" t="str">
        <f>IFERROR(__xludf.DUMMYFUNCTION("""COMPUTED_VALUE"""),"1,996 cc (122 cu in) AM 47")</f>
        <v>1,996 cc (122 cu in) AM 47</v>
      </c>
      <c r="G82" s="1" t="str">
        <f>IFERROR(__xludf.DUMMYFUNCTION("""COMPUTED_VALUE"""),"220 PS (162 kW; 217 bhp)")</f>
        <v>220 PS (162 kW; 217 bhp)</v>
      </c>
      <c r="H82" s="1"/>
      <c r="L82" s="1" t="s">
        <v>29</v>
      </c>
    </row>
    <row r="83">
      <c r="A83" s="1" t="str">
        <f>IFERROR(__xludf.DUMMYFUNCTION("""COMPUTED_VALUE"""),"222 SE")</f>
        <v>222 SE</v>
      </c>
      <c r="B83" s="1">
        <f>IFERROR(__xludf.DUMMYFUNCTION("""COMPUTED_VALUE"""),1990.0)</f>
        <v>1990</v>
      </c>
      <c r="C83" s="1">
        <f>IFERROR(__xludf.DUMMYFUNCTION("""COMPUTED_VALUE"""),1991.0)</f>
        <v>1991</v>
      </c>
      <c r="D83" s="1" t="str">
        <f>IFERROR(__xludf.DUMMYFUNCTION("""COMPUTED_VALUE"""),"international")</f>
        <v>international</v>
      </c>
      <c r="E83" s="1"/>
      <c r="F83" s="1" t="str">
        <f>IFERROR(__xludf.DUMMYFUNCTION("""COMPUTED_VALUE"""),"2,790 cc (170 cu in) AM 473")</f>
        <v>2,790 cc (170 cu in) AM 473</v>
      </c>
      <c r="G83" s="1" t="str">
        <f>IFERROR(__xludf.DUMMYFUNCTION("""COMPUTED_VALUE"""),"250 PS (184 kW; 247 bhp)")</f>
        <v>250 PS (184 kW; 247 bhp)</v>
      </c>
      <c r="H83" s="1" t="str">
        <f>IFERROR(__xludf.DUMMYFUNCTION("""COMPUTED_VALUE"""),"Fuel Injection, no Cat")</f>
        <v>Fuel Injection, no Cat</v>
      </c>
      <c r="L83" s="1" t="s">
        <v>43</v>
      </c>
      <c r="M83" s="1" t="s">
        <v>52</v>
      </c>
    </row>
    <row r="84">
      <c r="A84" s="1" t="str">
        <f>IFERROR(__xludf.DUMMYFUNCTION("""COMPUTED_VALUE"""),"222 SE (kat)")</f>
        <v>222 SE (kat)</v>
      </c>
      <c r="B84" s="1">
        <f>IFERROR(__xludf.DUMMYFUNCTION("""COMPUTED_VALUE"""),1990.0)</f>
        <v>1990</v>
      </c>
      <c r="C84" s="1">
        <f>IFERROR(__xludf.DUMMYFUNCTION("""COMPUTED_VALUE"""),1991.0)</f>
        <v>1991</v>
      </c>
      <c r="D84" s="1" t="str">
        <f>IFERROR(__xludf.DUMMYFUNCTION("""COMPUTED_VALUE"""),"international")</f>
        <v>international</v>
      </c>
      <c r="E84" s="1"/>
      <c r="F84" s="1" t="str">
        <f>IFERROR(__xludf.DUMMYFUNCTION("""COMPUTED_VALUE"""),"2,790 cc (170 cu in) AM 473")</f>
        <v>2,790 cc (170 cu in) AM 473</v>
      </c>
      <c r="G84" s="1" t="str">
        <f>IFERROR(__xludf.DUMMYFUNCTION("""COMPUTED_VALUE"""),"225 PS (165 kW; 222 bhp)")</f>
        <v>225 PS (165 kW; 222 bhp)</v>
      </c>
      <c r="H84" s="1" t="str">
        <f>IFERROR(__xludf.DUMMYFUNCTION("""COMPUTED_VALUE"""),"Fuel Injection, Catalyst")</f>
        <v>Fuel Injection, Catalyst</v>
      </c>
      <c r="L84" s="1" t="s">
        <v>45</v>
      </c>
      <c r="M84" s="1" t="s">
        <v>46</v>
      </c>
    </row>
    <row r="85">
      <c r="A85" s="1" t="str">
        <f>IFERROR(__xludf.DUMMYFUNCTION("""COMPUTED_VALUE"""),"4.18v")</f>
        <v>4.18v</v>
      </c>
      <c r="B85" s="1">
        <f>IFERROR(__xludf.DUMMYFUNCTION("""COMPUTED_VALUE"""),1990.0)</f>
        <v>1990</v>
      </c>
      <c r="C85" s="1" t="str">
        <f>IFERROR(__xludf.DUMMYFUNCTION("""COMPUTED_VALUE"""),"?")</f>
        <v>?</v>
      </c>
      <c r="D85" s="1" t="str">
        <f>IFERROR(__xludf.DUMMYFUNCTION("""COMPUTED_VALUE"""),"Italy")</f>
        <v>Italy</v>
      </c>
      <c r="E85" s="1"/>
      <c r="F85" s="1" t="str">
        <f>IFERROR(__xludf.DUMMYFUNCTION("""COMPUTED_VALUE"""),"1,995 cc (122 cu in) AM 471")</f>
        <v>1,995 cc (122 cu in) AM 471</v>
      </c>
      <c r="G85" s="1" t="str">
        <f>IFERROR(__xludf.DUMMYFUNCTION("""COMPUTED_VALUE"""),"220 PS (162 kW; 217 bhp)")</f>
        <v>220 PS (162 kW; 217 bhp)</v>
      </c>
      <c r="H85" s="1"/>
      <c r="L85" s="1" t="s">
        <v>29</v>
      </c>
    </row>
    <row r="86">
      <c r="A86" s="1" t="str">
        <f>IFERROR(__xludf.DUMMYFUNCTION("""COMPUTED_VALUE"""),"4.24v")</f>
        <v>4.24v</v>
      </c>
      <c r="B86" s="1">
        <f>IFERROR(__xludf.DUMMYFUNCTION("""COMPUTED_VALUE"""),1990.0)</f>
        <v>1990</v>
      </c>
      <c r="C86" s="1">
        <f>IFERROR(__xludf.DUMMYFUNCTION("""COMPUTED_VALUE"""),1992.0)</f>
        <v>1992</v>
      </c>
      <c r="D86" s="1" t="str">
        <f>IFERROR(__xludf.DUMMYFUNCTION("""COMPUTED_VALUE"""),"Italy (probably)")</f>
        <v>Italy (probably)</v>
      </c>
      <c r="E86" s="1"/>
      <c r="F86" s="1" t="str">
        <f>IFERROR(__xludf.DUMMYFUNCTION("""COMPUTED_VALUE"""),"1,996 cc (122 cu in) AM 475")</f>
        <v>1,996 cc (122 cu in) AM 475</v>
      </c>
      <c r="G86" s="1" t="str">
        <f>IFERROR(__xludf.DUMMYFUNCTION("""COMPUTED_VALUE"""),"245 PS (180 kW; 242 bhp)")</f>
        <v>245 PS (180 kW; 242 bhp)</v>
      </c>
      <c r="H86" s="1" t="str">
        <f>IFERROR(__xludf.DUMMYFUNCTION("""COMPUTED_VALUE"""),"Fuel Injection, no Cat")</f>
        <v>Fuel Injection, no Cat</v>
      </c>
      <c r="L86" s="1" t="s">
        <v>20</v>
      </c>
      <c r="M86" s="1" t="s">
        <v>52</v>
      </c>
    </row>
    <row r="87">
      <c r="A87" s="1" t="str">
        <f>IFERROR(__xludf.DUMMYFUNCTION("""COMPUTED_VALUE"""),"Shamal")</f>
        <v>Shamal</v>
      </c>
      <c r="B87" s="1">
        <f>IFERROR(__xludf.DUMMYFUNCTION("""COMPUTED_VALUE"""),1990.0)</f>
        <v>1990</v>
      </c>
      <c r="C87" s="1">
        <f>IFERROR(__xludf.DUMMYFUNCTION("""COMPUTED_VALUE"""),1996.0)</f>
        <v>1996</v>
      </c>
      <c r="D87" s="1" t="str">
        <f>IFERROR(__xludf.DUMMYFUNCTION("""COMPUTED_VALUE"""),"international")</f>
        <v>international</v>
      </c>
      <c r="E87" s="1" t="str">
        <f>IFERROR(__xludf.DUMMYFUNCTION("""COMPUTED_VALUE"""),"V8 Biturbo")</f>
        <v>V8 Biturbo</v>
      </c>
      <c r="F87" s="1" t="str">
        <f>IFERROR(__xludf.DUMMYFUNCTION("""COMPUTED_VALUE"""),"3,217 cc (196 cu in) AM 479")</f>
        <v>3,217 cc (196 cu in) AM 479</v>
      </c>
      <c r="G87" s="1" t="str">
        <f>IFERROR(__xludf.DUMMYFUNCTION("""COMPUTED_VALUE"""),"326 PS (240 kW; 322 bhp)")</f>
        <v>326 PS (240 kW; 322 bhp)</v>
      </c>
      <c r="H87" s="1" t="str">
        <f>IFERROR(__xludf.DUMMYFUNCTION("""COMPUTED_VALUE"""),"Fuel Injection, Catalyst")</f>
        <v>Fuel Injection, Catalyst</v>
      </c>
      <c r="L87" s="1" t="s">
        <v>57</v>
      </c>
      <c r="M87" s="1" t="s">
        <v>46</v>
      </c>
    </row>
    <row r="88">
      <c r="A88" s="1" t="str">
        <f>IFERROR(__xludf.DUMMYFUNCTION("""COMPUTED_VALUE"""),"2.24v II")</f>
        <v>2.24v II</v>
      </c>
      <c r="B88" s="1">
        <f>IFERROR(__xludf.DUMMYFUNCTION("""COMPUTED_VALUE"""),1991.0)</f>
        <v>1991</v>
      </c>
      <c r="C88" s="1">
        <f>IFERROR(__xludf.DUMMYFUNCTION("""COMPUTED_VALUE"""),1993.0)</f>
        <v>1993</v>
      </c>
      <c r="D88" s="1" t="str">
        <f>IFERROR(__xludf.DUMMYFUNCTION("""COMPUTED_VALUE"""),"Italy")</f>
        <v>Italy</v>
      </c>
      <c r="E88" s="1" t="str">
        <f>IFERROR(__xludf.DUMMYFUNCTION("""COMPUTED_VALUE"""),"V6 Biturbo")</f>
        <v>V6 Biturbo</v>
      </c>
      <c r="F88" s="1" t="str">
        <f>IFERROR(__xludf.DUMMYFUNCTION("""COMPUTED_VALUE"""),"1,996 cc (122 cu in) AM 475")</f>
        <v>1,996 cc (122 cu in) AM 475</v>
      </c>
      <c r="G88" s="1" t="str">
        <f>IFERROR(__xludf.DUMMYFUNCTION("""COMPUTED_VALUE"""),"245 PS (180 kW; 242 bhp)")</f>
        <v>245 PS (180 kW; 242 bhp)</v>
      </c>
      <c r="H88" s="1" t="str">
        <f>IFERROR(__xludf.DUMMYFUNCTION("""COMPUTED_VALUE"""),"Fuel Injection, no Cat")</f>
        <v>Fuel Injection, no Cat</v>
      </c>
      <c r="L88" s="1" t="s">
        <v>20</v>
      </c>
      <c r="M88" s="1" t="s">
        <v>52</v>
      </c>
    </row>
    <row r="89">
      <c r="A89" s="1" t="str">
        <f>IFERROR(__xludf.DUMMYFUNCTION("""COMPUTED_VALUE"""),"2.24v II (kat)")</f>
        <v>2.24v II (kat)</v>
      </c>
      <c r="B89" s="1">
        <f>IFERROR(__xludf.DUMMYFUNCTION("""COMPUTED_VALUE"""),1991.0)</f>
        <v>1991</v>
      </c>
      <c r="C89" s="1">
        <f>IFERROR(__xludf.DUMMYFUNCTION("""COMPUTED_VALUE"""),1993.0)</f>
        <v>1993</v>
      </c>
      <c r="D89" s="1" t="str">
        <f>IFERROR(__xludf.DUMMYFUNCTION("""COMPUTED_VALUE"""),"international (probably)")</f>
        <v>international (probably)</v>
      </c>
      <c r="E89" s="1"/>
      <c r="F89" s="1" t="str">
        <f>IFERROR(__xludf.DUMMYFUNCTION("""COMPUTED_VALUE"""),"1,996 cc (122 cu in) AM 475")</f>
        <v>1,996 cc (122 cu in) AM 475</v>
      </c>
      <c r="G89" s="1" t="str">
        <f>IFERROR(__xludf.DUMMYFUNCTION("""COMPUTED_VALUE"""),"240 PS (177 kW; 237 bhp)")</f>
        <v>240 PS (177 kW; 237 bhp)</v>
      </c>
      <c r="H89" s="1" t="str">
        <f>IFERROR(__xludf.DUMMYFUNCTION("""COMPUTED_VALUE"""),"Fuel Injection, Catalyst")</f>
        <v>Fuel Injection, Catalyst</v>
      </c>
      <c r="L89" s="1" t="s">
        <v>58</v>
      </c>
      <c r="M89" s="1" t="s">
        <v>46</v>
      </c>
    </row>
    <row r="90">
      <c r="A90" s="1" t="str">
        <f>IFERROR(__xludf.DUMMYFUNCTION("""COMPUTED_VALUE"""),"222 SR")</f>
        <v>222 SR</v>
      </c>
      <c r="B90" s="1">
        <f>IFERROR(__xludf.DUMMYFUNCTION("""COMPUTED_VALUE"""),1991.0)</f>
        <v>1991</v>
      </c>
      <c r="C90" s="1" t="str">
        <f>IFERROR(__xludf.DUMMYFUNCTION("""COMPUTED_VALUE"""),"?")</f>
        <v>?</v>
      </c>
      <c r="D90" s="1" t="str">
        <f>IFERROR(__xludf.DUMMYFUNCTION("""COMPUTED_VALUE"""),"international")</f>
        <v>international</v>
      </c>
      <c r="E90" s="1"/>
      <c r="F90" s="1" t="str">
        <f>IFERROR(__xludf.DUMMYFUNCTION("""COMPUTED_VALUE"""),"2,790 cc (170 cu in) AM 473")</f>
        <v>2,790 cc (170 cu in) AM 473</v>
      </c>
      <c r="G90" s="1" t="str">
        <f>IFERROR(__xludf.DUMMYFUNCTION("""COMPUTED_VALUE"""),"225 PS (165 kW; 222 bhp)")</f>
        <v>225 PS (165 kW; 222 bhp)</v>
      </c>
      <c r="H90" s="1" t="str">
        <f>IFERROR(__xludf.DUMMYFUNCTION("""COMPUTED_VALUE"""),"Fuel Injection, Catalyst")</f>
        <v>Fuel Injection, Catalyst</v>
      </c>
      <c r="L90" s="1" t="s">
        <v>45</v>
      </c>
      <c r="M90" s="1" t="s">
        <v>46</v>
      </c>
    </row>
    <row r="91">
      <c r="A91" s="1" t="str">
        <f>IFERROR(__xludf.DUMMYFUNCTION("""COMPUTED_VALUE"""),"4.24v II (kat)")</f>
        <v>4.24v II (kat)</v>
      </c>
      <c r="B91" s="1">
        <f>IFERROR(__xludf.DUMMYFUNCTION("""COMPUTED_VALUE"""),1991.0)</f>
        <v>1991</v>
      </c>
      <c r="C91" s="1" t="str">
        <f>IFERROR(__xludf.DUMMYFUNCTION("""COMPUTED_VALUE"""),"?")</f>
        <v>?</v>
      </c>
      <c r="D91" s="1" t="str">
        <f>IFERROR(__xludf.DUMMYFUNCTION("""COMPUTED_VALUE"""),"Italy (probably)")</f>
        <v>Italy (probably)</v>
      </c>
      <c r="E91" s="1"/>
      <c r="F91" s="1" t="str">
        <f>IFERROR(__xludf.DUMMYFUNCTION("""COMPUTED_VALUE"""),"1,996 cc (122 cu in) AM 475")</f>
        <v>1,996 cc (122 cu in) AM 475</v>
      </c>
      <c r="G91" s="1" t="str">
        <f>IFERROR(__xludf.DUMMYFUNCTION("""COMPUTED_VALUE"""),"240 PS (177 kW; 237 bhp)")</f>
        <v>240 PS (177 kW; 237 bhp)</v>
      </c>
      <c r="H91" s="1"/>
      <c r="L91" s="1" t="s">
        <v>58</v>
      </c>
    </row>
    <row r="92">
      <c r="A92" s="1" t="str">
        <f>IFERROR(__xludf.DUMMYFUNCTION("""COMPUTED_VALUE"""),"430 4v")</f>
        <v>430 4v</v>
      </c>
      <c r="B92" s="1">
        <f>IFERROR(__xludf.DUMMYFUNCTION("""COMPUTED_VALUE"""),1991.0)</f>
        <v>1991</v>
      </c>
      <c r="C92" s="1" t="str">
        <f>IFERROR(__xludf.DUMMYFUNCTION("""COMPUTED_VALUE"""),"?")</f>
        <v>?</v>
      </c>
      <c r="D92" s="1" t="str">
        <f>IFERROR(__xludf.DUMMYFUNCTION("""COMPUTED_VALUE"""),"international")</f>
        <v>international</v>
      </c>
      <c r="E92" s="1"/>
      <c r="F92" s="1" t="str">
        <f>IFERROR(__xludf.DUMMYFUNCTION("""COMPUTED_VALUE"""),"2,790 cc (170 cu in) AM 477")</f>
        <v>2,790 cc (170 cu in) AM 477</v>
      </c>
      <c r="G92" s="1" t="str">
        <f>IFERROR(__xludf.DUMMYFUNCTION("""COMPUTED_VALUE"""),"279 PS (205 kW; 275 bhp)")</f>
        <v>279 PS (205 kW; 275 bhp)</v>
      </c>
      <c r="H92" s="1"/>
      <c r="L92" s="1" t="s">
        <v>54</v>
      </c>
    </row>
    <row r="93">
      <c r="A93" s="1" t="str">
        <f>IFERROR(__xludf.DUMMYFUNCTION("""COMPUTED_VALUE"""),"Racing")</f>
        <v>Racing</v>
      </c>
      <c r="B93" s="1">
        <f>IFERROR(__xludf.DUMMYFUNCTION("""COMPUTED_VALUE"""),1991.0)</f>
        <v>1991</v>
      </c>
      <c r="C93" s="1">
        <f>IFERROR(__xludf.DUMMYFUNCTION("""COMPUTED_VALUE"""),1991.0)</f>
        <v>1991</v>
      </c>
      <c r="D93" s="1" t="str">
        <f>IFERROR(__xludf.DUMMYFUNCTION("""COMPUTED_VALUE"""),"Italy")</f>
        <v>Italy</v>
      </c>
      <c r="E93" s="1"/>
      <c r="F93" s="1" t="str">
        <f>IFERROR(__xludf.DUMMYFUNCTION("""COMPUTED_VALUE"""),"1,996 cc (122 cu in) AM 490")</f>
        <v>1,996 cc (122 cu in) AM 490</v>
      </c>
      <c r="G93" s="1" t="str">
        <f>IFERROR(__xludf.DUMMYFUNCTION("""COMPUTED_VALUE"""),"283 PS (208 kW; 279 bhp)")</f>
        <v>283 PS (208 kW; 279 bhp)</v>
      </c>
      <c r="H93" s="1" t="str">
        <f>IFERROR(__xludf.DUMMYFUNCTION("""COMPUTED_VALUE"""),"Fuel Injection, no Cat, no oxygen sensor")</f>
        <v>Fuel Injection, no Cat, no oxygen sensor</v>
      </c>
      <c r="L93" s="1" t="s">
        <v>59</v>
      </c>
      <c r="M93" s="1" t="s">
        <v>60</v>
      </c>
    </row>
    <row r="94">
      <c r="A94" s="1" t="str">
        <f>IFERROR(__xludf.DUMMYFUNCTION("""COMPUTED_VALUE"""),"Spyder III")</f>
        <v>Spyder III</v>
      </c>
      <c r="B94" s="1">
        <f>IFERROR(__xludf.DUMMYFUNCTION("""COMPUTED_VALUE"""),1991.0)</f>
        <v>1991</v>
      </c>
      <c r="C94" s="1" t="str">
        <f>IFERROR(__xludf.DUMMYFUNCTION("""COMPUTED_VALUE"""),"?")</f>
        <v>?</v>
      </c>
      <c r="D94" s="1" t="str">
        <f>IFERROR(__xludf.DUMMYFUNCTION("""COMPUTED_VALUE"""),"Italy")</f>
        <v>Italy</v>
      </c>
      <c r="E94" s="1"/>
      <c r="F94" s="1" t="str">
        <f>IFERROR(__xludf.DUMMYFUNCTION("""COMPUTED_VALUE"""),"1,996 cc (122 cu in) AM 475")</f>
        <v>1,996 cc (122 cu in) AM 475</v>
      </c>
      <c r="G94" s="1" t="str">
        <f>IFERROR(__xludf.DUMMYFUNCTION("""COMPUTED_VALUE"""),"245 PS (180 kW; 242 bhp)")</f>
        <v>245 PS (180 kW; 242 bhp)</v>
      </c>
      <c r="H94" s="1" t="str">
        <f>IFERROR(__xludf.DUMMYFUNCTION("""COMPUTED_VALUE"""),"Fuel Injection, no Cat")</f>
        <v>Fuel Injection, no Cat</v>
      </c>
      <c r="L94" s="1" t="s">
        <v>20</v>
      </c>
      <c r="M94" s="1" t="s">
        <v>52</v>
      </c>
    </row>
    <row r="95">
      <c r="A95" s="1" t="str">
        <f>IFERROR(__xludf.DUMMYFUNCTION("""COMPUTED_VALUE"""),"Spyder III (2.8, kat)")</f>
        <v>Spyder III (2.8, kat)</v>
      </c>
      <c r="B95" s="1">
        <f>IFERROR(__xludf.DUMMYFUNCTION("""COMPUTED_VALUE"""),1991.0)</f>
        <v>1991</v>
      </c>
      <c r="C95" s="1" t="str">
        <f>IFERROR(__xludf.DUMMYFUNCTION("""COMPUTED_VALUE"""),"?")</f>
        <v>?</v>
      </c>
      <c r="D95" s="1" t="str">
        <f>IFERROR(__xludf.DUMMYFUNCTION("""COMPUTED_VALUE"""),"international")</f>
        <v>international</v>
      </c>
      <c r="E95" s="1"/>
      <c r="F95" s="1" t="str">
        <f>IFERROR(__xludf.DUMMYFUNCTION("""COMPUTED_VALUE"""),"2,790 cc (170 cu in) AM 475")</f>
        <v>2,790 cc (170 cu in) AM 475</v>
      </c>
      <c r="G95" s="1" t="str">
        <f>IFERROR(__xludf.DUMMYFUNCTION("""COMPUTED_VALUE"""),"225 PS (165 kW; 222 bhp)")</f>
        <v>225 PS (165 kW; 222 bhp)</v>
      </c>
      <c r="H95" s="1" t="str">
        <f>IFERROR(__xludf.DUMMYFUNCTION("""COMPUTED_VALUE"""),"Fuel Injection, Catalyst")</f>
        <v>Fuel Injection, Catalyst</v>
      </c>
      <c r="L95" s="1" t="s">
        <v>45</v>
      </c>
      <c r="M95" s="1" t="s">
        <v>46</v>
      </c>
    </row>
    <row r="96">
      <c r="A96" s="1" t="str">
        <f>IFERROR(__xludf.DUMMYFUNCTION("""COMPUTED_VALUE"""),"Spyder III (kat)")</f>
        <v>Spyder III (kat)</v>
      </c>
      <c r="B96" s="1">
        <f>IFERROR(__xludf.DUMMYFUNCTION("""COMPUTED_VALUE"""),1991.0)</f>
        <v>1991</v>
      </c>
      <c r="C96" s="1" t="str">
        <f>IFERROR(__xludf.DUMMYFUNCTION("""COMPUTED_VALUE"""),"?")</f>
        <v>?</v>
      </c>
      <c r="D96" s="1" t="str">
        <f>IFERROR(__xludf.DUMMYFUNCTION("""COMPUTED_VALUE"""),"Italy")</f>
        <v>Italy</v>
      </c>
      <c r="E96" s="1"/>
      <c r="F96" s="1" t="str">
        <f>IFERROR(__xludf.DUMMYFUNCTION("""COMPUTED_VALUE"""),"1,996 cc (122 cu in) AM 475")</f>
        <v>1,996 cc (122 cu in) AM 475</v>
      </c>
      <c r="G96" s="1" t="str">
        <f>IFERROR(__xludf.DUMMYFUNCTION("""COMPUTED_VALUE"""),"240 PS (177 kW; 237 bhp)")</f>
        <v>240 PS (177 kW; 237 bhp)</v>
      </c>
      <c r="H96" s="1"/>
      <c r="L96" s="1" t="s">
        <v>58</v>
      </c>
    </row>
    <row r="97">
      <c r="A97" s="1" t="str">
        <f>IFERROR(__xludf.DUMMYFUNCTION("""COMPUTED_VALUE"""),"Barchetta Stradale")</f>
        <v>Barchetta Stradale</v>
      </c>
      <c r="B97" s="1">
        <f>IFERROR(__xludf.DUMMYFUNCTION("""COMPUTED_VALUE"""),1992.0)</f>
        <v>1992</v>
      </c>
      <c r="C97" s="1">
        <f>IFERROR(__xludf.DUMMYFUNCTION("""COMPUTED_VALUE"""),1992.0)</f>
        <v>1992</v>
      </c>
      <c r="D97" s="1" t="str">
        <f>IFERROR(__xludf.DUMMYFUNCTION("""COMPUTED_VALUE"""),"Prototype")</f>
        <v>Prototype</v>
      </c>
      <c r="E97" s="1"/>
      <c r="F97" s="1" t="str">
        <f>IFERROR(__xludf.DUMMYFUNCTION("""COMPUTED_VALUE"""),"1,996 cc (122 cu in) AM 501")</f>
        <v>1,996 cc (122 cu in) AM 501</v>
      </c>
      <c r="G97" s="1" t="str">
        <f>IFERROR(__xludf.DUMMYFUNCTION("""COMPUTED_VALUE"""),"306 PS (225 kW; 302 bhp)")</f>
        <v>306 PS (225 kW; 302 bhp)</v>
      </c>
      <c r="H97" s="1"/>
      <c r="L97" s="1" t="s">
        <v>61</v>
      </c>
    </row>
    <row r="98">
      <c r="A98" s="1" t="str">
        <f>IFERROR(__xludf.DUMMYFUNCTION("""COMPUTED_VALUE"""),"Ghibli II (2.0)")</f>
        <v>Ghibli II (2.0)</v>
      </c>
      <c r="B98" s="1">
        <f>IFERROR(__xludf.DUMMYFUNCTION("""COMPUTED_VALUE"""),1992.0)</f>
        <v>1992</v>
      </c>
      <c r="C98" s="1">
        <f>IFERROR(__xludf.DUMMYFUNCTION("""COMPUTED_VALUE"""),1997.0)</f>
        <v>1997</v>
      </c>
      <c r="D98" s="1" t="str">
        <f>IFERROR(__xludf.DUMMYFUNCTION("""COMPUTED_VALUE"""),"Italy")</f>
        <v>Italy</v>
      </c>
      <c r="E98" s="1"/>
      <c r="F98" s="1" t="str">
        <f>IFERROR(__xludf.DUMMYFUNCTION("""COMPUTED_VALUE"""),"1,996 cc (122 cu in) AM 475")</f>
        <v>1,996 cc (122 cu in) AM 475</v>
      </c>
      <c r="G98" s="1" t="str">
        <f>IFERROR(__xludf.DUMMYFUNCTION("""COMPUTED_VALUE"""),"306 PS (225 kW; 302 bhp)")</f>
        <v>306 PS (225 kW; 302 bhp)</v>
      </c>
      <c r="H98" s="1"/>
      <c r="L98" s="1" t="s">
        <v>61</v>
      </c>
    </row>
    <row r="99">
      <c r="A99" s="1" t="str">
        <f>IFERROR(__xludf.DUMMYFUNCTION("""COMPUTED_VALUE"""),"Ghibli II (2.8)")</f>
        <v>Ghibli II (2.8)</v>
      </c>
      <c r="B99" s="1">
        <f>IFERROR(__xludf.DUMMYFUNCTION("""COMPUTED_VALUE"""),1993.0)</f>
        <v>1993</v>
      </c>
      <c r="C99" s="1">
        <f>IFERROR(__xludf.DUMMYFUNCTION("""COMPUTED_VALUE"""),1997.0)</f>
        <v>1997</v>
      </c>
      <c r="D99" s="1" t="str">
        <f>IFERROR(__xludf.DUMMYFUNCTION("""COMPUTED_VALUE"""),"international")</f>
        <v>international</v>
      </c>
      <c r="E99" s="1"/>
      <c r="F99" s="1" t="str">
        <f>IFERROR(__xludf.DUMMYFUNCTION("""COMPUTED_VALUE"""),"2,790 cc (170 cu in) AM 574")</f>
        <v>2,790 cc (170 cu in) AM 574</v>
      </c>
      <c r="G99" s="1" t="str">
        <f>IFERROR(__xludf.DUMMYFUNCTION("""COMPUTED_VALUE"""),"284 PS (209 kW; 280 bhp)")</f>
        <v>284 PS (209 kW; 280 bhp)</v>
      </c>
      <c r="H99" s="1"/>
      <c r="L99" s="1" t="s">
        <v>62</v>
      </c>
    </row>
    <row r="100">
      <c r="A100" s="1" t="str">
        <f>IFERROR(__xludf.DUMMYFUNCTION("""COMPUTED_VALUE"""),"Quattroporte (2.0)")</f>
        <v>Quattroporte (2.0)</v>
      </c>
      <c r="B100" s="1">
        <f>IFERROR(__xludf.DUMMYFUNCTION("""COMPUTED_VALUE"""),1994.0)</f>
        <v>1994</v>
      </c>
      <c r="C100" s="1">
        <f>IFERROR(__xludf.DUMMYFUNCTION("""COMPUTED_VALUE"""),1998.0)</f>
        <v>1998</v>
      </c>
      <c r="D100" s="1" t="str">
        <f>IFERROR(__xludf.DUMMYFUNCTION("""COMPUTED_VALUE"""),"Italy")</f>
        <v>Italy</v>
      </c>
      <c r="E100" s="1"/>
      <c r="F100" s="1" t="str">
        <f>IFERROR(__xludf.DUMMYFUNCTION("""COMPUTED_VALUE"""),"1,996 cc (122 cu in) AM 573")</f>
        <v>1,996 cc (122 cu in) AM 573</v>
      </c>
      <c r="G100" s="1" t="str">
        <f>IFERROR(__xludf.DUMMYFUNCTION("""COMPUTED_VALUE"""),"287 PS (211 kW; 283 bhp)")</f>
        <v>287 PS (211 kW; 283 bhp)</v>
      </c>
      <c r="H100" s="1"/>
      <c r="L100" s="1" t="s">
        <v>63</v>
      </c>
    </row>
    <row r="101">
      <c r="A101" s="1" t="str">
        <f>IFERROR(__xludf.DUMMYFUNCTION("""COMPUTED_VALUE"""),"Quattroporte (2.8)")</f>
        <v>Quattroporte (2.8)</v>
      </c>
      <c r="B101" s="1">
        <f>IFERROR(__xludf.DUMMYFUNCTION("""COMPUTED_VALUE"""),1994.0)</f>
        <v>1994</v>
      </c>
      <c r="C101" s="1">
        <f>IFERROR(__xludf.DUMMYFUNCTION("""COMPUTED_VALUE"""),1998.0)</f>
        <v>1998</v>
      </c>
      <c r="D101" s="1" t="str">
        <f>IFERROR(__xludf.DUMMYFUNCTION("""COMPUTED_VALUE"""),"international")</f>
        <v>international</v>
      </c>
      <c r="E101" s="1"/>
      <c r="F101" s="1" t="str">
        <f>IFERROR(__xludf.DUMMYFUNCTION("""COMPUTED_VALUE"""),"2,790 cc (170 cu in) AM 574")</f>
        <v>2,790 cc (170 cu in) AM 574</v>
      </c>
      <c r="G101" s="1" t="str">
        <f>IFERROR(__xludf.DUMMYFUNCTION("""COMPUTED_VALUE"""),"284 PS (209 kW; 280 bhp)")</f>
        <v>284 PS (209 kW; 280 bhp)</v>
      </c>
      <c r="H101" s="1"/>
      <c r="L101" s="1" t="s">
        <v>62</v>
      </c>
    </row>
    <row r="102">
      <c r="A102" s="1" t="str">
        <f>IFERROR(__xludf.DUMMYFUNCTION("""COMPUTED_VALUE"""),"Ghibli Cup")</f>
        <v>Ghibli Cup</v>
      </c>
      <c r="B102" s="1">
        <f>IFERROR(__xludf.DUMMYFUNCTION("""COMPUTED_VALUE"""),1995.0)</f>
        <v>1995</v>
      </c>
      <c r="C102" s="1" t="str">
        <f>IFERROR(__xludf.DUMMYFUNCTION("""COMPUTED_VALUE"""),"1997?")</f>
        <v>1997?</v>
      </c>
      <c r="D102" s="1" t="str">
        <f>IFERROR(__xludf.DUMMYFUNCTION("""COMPUTED_VALUE"""),"international")</f>
        <v>international</v>
      </c>
      <c r="E102" s="1"/>
      <c r="F102" s="1" t="str">
        <f>IFERROR(__xludf.DUMMYFUNCTION("""COMPUTED_VALUE"""),"1,996 cc (122 cu in) AM 577")</f>
        <v>1,996 cc (122 cu in) AM 577</v>
      </c>
      <c r="G102" s="1" t="str">
        <f>IFERROR(__xludf.DUMMYFUNCTION("""COMPUTED_VALUE"""),"330 PS (243 kW; 325 bhp)")</f>
        <v>330 PS (243 kW; 325 bhp)</v>
      </c>
      <c r="H102" s="1"/>
      <c r="L102" s="1" t="s">
        <v>14</v>
      </c>
    </row>
    <row r="103">
      <c r="A103" s="1" t="str">
        <f>IFERROR(__xludf.DUMMYFUNCTION("""COMPUTED_VALUE"""),"Quattroporte Ottocilindri")</f>
        <v>Quattroporte Ottocilindri</v>
      </c>
      <c r="B103" s="1">
        <f>IFERROR(__xludf.DUMMYFUNCTION("""COMPUTED_VALUE"""),1996.0)</f>
        <v>1996</v>
      </c>
      <c r="C103" s="1">
        <f>IFERROR(__xludf.DUMMYFUNCTION("""COMPUTED_VALUE"""),1998.0)</f>
        <v>1998</v>
      </c>
      <c r="D103" s="1" t="str">
        <f>IFERROR(__xludf.DUMMYFUNCTION("""COMPUTED_VALUE"""),"international")</f>
        <v>international</v>
      </c>
      <c r="E103" s="1" t="str">
        <f>IFERROR(__xludf.DUMMYFUNCTION("""COMPUTED_VALUE"""),"V8 Biturbo")</f>
        <v>V8 Biturbo</v>
      </c>
      <c r="F103" s="1" t="str">
        <f>IFERROR(__xludf.DUMMYFUNCTION("""COMPUTED_VALUE"""),"3,217 cc (196 cu in) AM 578")</f>
        <v>3,217 cc (196 cu in) AM 578</v>
      </c>
      <c r="G103" s="1" t="str">
        <f>IFERROR(__xludf.DUMMYFUNCTION("""COMPUTED_VALUE"""),"335 PS (246 kW; 330 bhp)")</f>
        <v>335 PS (246 kW; 330 bhp)</v>
      </c>
      <c r="H103" s="1"/>
      <c r="L103" s="1" t="s">
        <v>25</v>
      </c>
    </row>
    <row r="104">
      <c r="A104" s="1" t="str">
        <f>IFERROR(__xludf.DUMMYFUNCTION("""COMPUTED_VALUE"""),"Ghibli Primatist")</f>
        <v>Ghibli Primatist</v>
      </c>
      <c r="B104" s="1">
        <f>IFERROR(__xludf.DUMMYFUNCTION("""COMPUTED_VALUE"""),1996.0)</f>
        <v>1996</v>
      </c>
      <c r="C104" s="1">
        <f>IFERROR(__xludf.DUMMYFUNCTION("""COMPUTED_VALUE"""),1997.0)</f>
        <v>1997</v>
      </c>
      <c r="D104" s="1" t="str">
        <f>IFERROR(__xludf.DUMMYFUNCTION("""COMPUTED_VALUE"""),"international")</f>
        <v>international</v>
      </c>
      <c r="E104" s="1" t="str">
        <f>IFERROR(__xludf.DUMMYFUNCTION("""COMPUTED_VALUE"""),"V6 Biturbo")</f>
        <v>V6 Biturbo</v>
      </c>
      <c r="F104" s="1" t="str">
        <f>IFERROR(__xludf.DUMMYFUNCTION("""COMPUTED_VALUE"""),"1,996 cc (122 cu in) AM 496")</f>
        <v>1,996 cc (122 cu in) AM 496</v>
      </c>
      <c r="G104" s="1" t="str">
        <f>IFERROR(__xludf.DUMMYFUNCTION("""COMPUTED_VALUE"""),"306 PS (225 kW; 302 bhp)")</f>
        <v>306 PS (225 kW; 302 bhp)</v>
      </c>
      <c r="H104" s="1"/>
      <c r="L104" s="1" t="s">
        <v>61</v>
      </c>
    </row>
    <row r="105">
      <c r="A105" s="1" t="str">
        <f>IFERROR(__xludf.DUMMYFUNCTION("""COMPUTED_VALUE"""),"3200 GT")</f>
        <v>3200 GT</v>
      </c>
      <c r="B105" s="1">
        <f>IFERROR(__xludf.DUMMYFUNCTION("""COMPUTED_VALUE"""),1998.0)</f>
        <v>1998</v>
      </c>
      <c r="C105" s="1">
        <f>IFERROR(__xludf.DUMMYFUNCTION("""COMPUTED_VALUE"""),2001.0)</f>
        <v>2001</v>
      </c>
      <c r="D105" s="1" t="str">
        <f>IFERROR(__xludf.DUMMYFUNCTION("""COMPUTED_VALUE"""),"international")</f>
        <v>international</v>
      </c>
      <c r="E105" s="1" t="str">
        <f>IFERROR(__xludf.DUMMYFUNCTION("""COMPUTED_VALUE"""),"V8 Biturbo")</f>
        <v>V8 Biturbo</v>
      </c>
      <c r="F105" s="1" t="str">
        <f>IFERROR(__xludf.DUMMYFUNCTION("""COMPUTED_VALUE"""),"3,217 cc (196 cu in) AM 585")</f>
        <v>3,217 cc (196 cu in) AM 585</v>
      </c>
      <c r="G105" s="1" t="str">
        <f>IFERROR(__xludf.DUMMYFUNCTION("""COMPUTED_VALUE"""),"370 PS (272 kW; 365 bhp)")</f>
        <v>370 PS (272 kW; 365 bhp)</v>
      </c>
      <c r="H105" s="1"/>
      <c r="L105" s="1" t="s">
        <v>64</v>
      </c>
    </row>
    <row r="106">
      <c r="A106" s="1" t="str">
        <f>IFERROR(__xludf.DUMMYFUNCTION("""COMPUTED_VALUE"""),"Quattroporte V6 Evoluzione")</f>
        <v>Quattroporte V6 Evoluzione</v>
      </c>
      <c r="B106" s="1">
        <f>IFERROR(__xludf.DUMMYFUNCTION("""COMPUTED_VALUE"""),1998.0)</f>
        <v>1998</v>
      </c>
      <c r="C106" s="1">
        <f>IFERROR(__xludf.DUMMYFUNCTION("""COMPUTED_VALUE"""),2001.0)</f>
        <v>2001</v>
      </c>
      <c r="D106" s="1" t="str">
        <f>IFERROR(__xludf.DUMMYFUNCTION("""COMPUTED_VALUE"""),"international")</f>
        <v>international</v>
      </c>
      <c r="E106" s="1" t="str">
        <f>IFERROR(__xludf.DUMMYFUNCTION("""COMPUTED_VALUE"""),"V6 Biturbo")</f>
        <v>V6 Biturbo</v>
      </c>
      <c r="F106" s="1" t="str">
        <f>IFERROR(__xludf.DUMMYFUNCTION("""COMPUTED_VALUE"""),"2,790 cc (170 cu in) AM 574")</f>
        <v>2,790 cc (170 cu in) AM 574</v>
      </c>
      <c r="G106" s="1" t="str">
        <f>IFERROR(__xludf.DUMMYFUNCTION("""COMPUTED_VALUE"""),"280 PS (206 kW; 276 bhp)")</f>
        <v>280 PS (206 kW; 276 bhp)</v>
      </c>
      <c r="H106" s="1" t="str">
        <f>IFERROR(__xludf.DUMMYFUNCTION("""COMPUTED_VALUE"""),"Fuel Injection, Catalyst")</f>
        <v>Fuel Injection, Catalyst</v>
      </c>
      <c r="L106" s="1" t="s">
        <v>33</v>
      </c>
      <c r="M106" s="1" t="s">
        <v>46</v>
      </c>
    </row>
    <row r="107">
      <c r="A107" s="1" t="str">
        <f>IFERROR(__xludf.DUMMYFUNCTION("""COMPUTED_VALUE"""),"Quattroporte V8 Evoluzione")</f>
        <v>Quattroporte V8 Evoluzione</v>
      </c>
      <c r="B107" s="1">
        <f>IFERROR(__xludf.DUMMYFUNCTION("""COMPUTED_VALUE"""),1998.0)</f>
        <v>1998</v>
      </c>
      <c r="C107" s="1">
        <f>IFERROR(__xludf.DUMMYFUNCTION("""COMPUTED_VALUE"""),2001.0)</f>
        <v>2001</v>
      </c>
      <c r="D107" s="1" t="str">
        <f>IFERROR(__xludf.DUMMYFUNCTION("""COMPUTED_VALUE"""),"international")</f>
        <v>international</v>
      </c>
      <c r="E107" s="1" t="str">
        <f>IFERROR(__xludf.DUMMYFUNCTION("""COMPUTED_VALUE"""),"V8 Biturbo")</f>
        <v>V8 Biturbo</v>
      </c>
      <c r="F107" s="1" t="str">
        <f>IFERROR(__xludf.DUMMYFUNCTION("""COMPUTED_VALUE"""),"3,217 cc (196.3 cu in) AM 578")</f>
        <v>3,217 cc (196.3 cu in) AM 578</v>
      </c>
      <c r="G107" s="1" t="str">
        <f>IFERROR(__xludf.DUMMYFUNCTION("""COMPUTED_VALUE"""),"335 PS (246 kW; 330 bhp)")</f>
        <v>335 PS (246 kW; 330 bhp)</v>
      </c>
      <c r="H107" s="1"/>
      <c r="L107" s="1" t="s">
        <v>25</v>
      </c>
    </row>
    <row r="108">
      <c r="A108" s="1" t="str">
        <f>IFERROR(__xludf.DUMMYFUNCTION("""COMPUTED_VALUE"""),"3200 GTA")</f>
        <v>3200 GTA</v>
      </c>
      <c r="B108" s="1">
        <f>IFERROR(__xludf.DUMMYFUNCTION("""COMPUTED_VALUE"""),1999.0)</f>
        <v>1999</v>
      </c>
      <c r="C108" s="1">
        <f>IFERROR(__xludf.DUMMYFUNCTION("""COMPUTED_VALUE"""),2002.0)</f>
        <v>2002</v>
      </c>
      <c r="D108" s="1" t="str">
        <f>IFERROR(__xludf.DUMMYFUNCTION("""COMPUTED_VALUE"""),"international")</f>
        <v>international</v>
      </c>
      <c r="E108" s="1"/>
      <c r="F108" s="1" t="str">
        <f>IFERROR(__xludf.DUMMYFUNCTION("""COMPUTED_VALUE"""),"3,217 cc (196.3 cu in) AM 585")</f>
        <v>3,217 cc (196.3 cu in) AM 585</v>
      </c>
      <c r="G108" s="1" t="str">
        <f>IFERROR(__xludf.DUMMYFUNCTION("""COMPUTED_VALUE"""),"370 PS (272 kW; 365 bhp)")</f>
        <v>370 PS (272 kW; 365 bhp)</v>
      </c>
      <c r="H108" s="1" t="str">
        <f>IFERROR(__xludf.DUMMYFUNCTION("""COMPUTED_VALUE"""),"Automatic transmission")</f>
        <v>Automatic transmission</v>
      </c>
      <c r="L108" s="1" t="s">
        <v>64</v>
      </c>
      <c r="M108" s="1" t="s">
        <v>65</v>
      </c>
    </row>
    <row r="109">
      <c r="A109" s="1" t="str">
        <f>IFERROR(__xludf.DUMMYFUNCTION("""COMPUTED_VALUE"""),"Coupé")</f>
        <v>Coupé</v>
      </c>
      <c r="B109" s="1">
        <f>IFERROR(__xludf.DUMMYFUNCTION("""COMPUTED_VALUE"""),2002.0)</f>
        <v>2002</v>
      </c>
      <c r="C109" s="1">
        <f>IFERROR(__xludf.DUMMYFUNCTION("""COMPUTED_VALUE"""),2007.0)</f>
        <v>2007</v>
      </c>
      <c r="D109" s="1" t="str">
        <f>IFERROR(__xludf.DUMMYFUNCTION("""COMPUTED_VALUE"""),"international")</f>
        <v>international</v>
      </c>
      <c r="E109" s="1" t="str">
        <f>IFERROR(__xludf.DUMMYFUNCTION("""COMPUTED_VALUE"""),"V8")</f>
        <v>V8</v>
      </c>
      <c r="F109" s="1" t="str">
        <f>IFERROR(__xludf.DUMMYFUNCTION("""COMPUTED_VALUE"""),"4,244 cc (259 cu in)")</f>
        <v>4,244 cc (259 cu in)</v>
      </c>
      <c r="G109" s="1" t="str">
        <f>IFERROR(__xludf.DUMMYFUNCTION("""COMPUTED_VALUE"""),"390 PS (287 kW; 385 bhp)")</f>
        <v>390 PS (287 kW; 385 bhp)</v>
      </c>
      <c r="H109" s="1" t="str">
        <f>IFERROR(__xludf.DUMMYFUNCTION("""COMPUTED_VALUE"""),"Cambiocorsa available")</f>
        <v>Cambiocorsa available</v>
      </c>
      <c r="L109" s="1" t="s">
        <v>66</v>
      </c>
      <c r="M109" s="1" t="s">
        <v>67</v>
      </c>
    </row>
    <row r="110">
      <c r="A110" s="1" t="str">
        <f>IFERROR(__xludf.DUMMYFUNCTION("""COMPUTED_VALUE"""),"Spyder")</f>
        <v>Spyder</v>
      </c>
      <c r="B110" s="1">
        <f>IFERROR(__xludf.DUMMYFUNCTION("""COMPUTED_VALUE"""),2001.0)</f>
        <v>2001</v>
      </c>
      <c r="C110" s="1">
        <f>IFERROR(__xludf.DUMMYFUNCTION("""COMPUTED_VALUE"""),2007.0)</f>
        <v>2007</v>
      </c>
      <c r="D110" s="1" t="str">
        <f>IFERROR(__xludf.DUMMYFUNCTION("""COMPUTED_VALUE"""),"international")</f>
        <v>international</v>
      </c>
      <c r="E110" s="1"/>
      <c r="F110" s="1" t="str">
        <f>IFERROR(__xludf.DUMMYFUNCTION("""COMPUTED_VALUE"""),"4,244 cc (259 cu in)")</f>
        <v>4,244 cc (259 cu in)</v>
      </c>
      <c r="G110" s="1" t="str">
        <f>IFERROR(__xludf.DUMMYFUNCTION("""COMPUTED_VALUE"""),"390 PS (287 kW; 385 bhp)")</f>
        <v>390 PS (287 kW; 385 bhp)</v>
      </c>
      <c r="H110" s="1"/>
      <c r="L110" s="1" t="s">
        <v>66</v>
      </c>
    </row>
    <row r="111">
      <c r="A111" s="1" t="str">
        <f>IFERROR(__xludf.DUMMYFUNCTION("""COMPUTED_VALUE"""),"GranSport")</f>
        <v>GranSport</v>
      </c>
      <c r="B111" s="1">
        <f>IFERROR(__xludf.DUMMYFUNCTION("""COMPUTED_VALUE"""),2004.0)</f>
        <v>2004</v>
      </c>
      <c r="C111" s="1">
        <f>IFERROR(__xludf.DUMMYFUNCTION("""COMPUTED_VALUE"""),2007.0)</f>
        <v>2007</v>
      </c>
      <c r="D111" s="1" t="str">
        <f>IFERROR(__xludf.DUMMYFUNCTION("""COMPUTED_VALUE"""),"international")</f>
        <v>international</v>
      </c>
      <c r="E111" s="1"/>
      <c r="F111" s="1" t="str">
        <f>IFERROR(__xludf.DUMMYFUNCTION("""COMPUTED_VALUE"""),"4,244 cc (259 cu in)")</f>
        <v>4,244 cc (259 cu in)</v>
      </c>
      <c r="G111" s="1" t="str">
        <f>IFERROR(__xludf.DUMMYFUNCTION("""COMPUTED_VALUE"""),"400 PS (294 kW; 395 bhp)")</f>
        <v>400 PS (294 kW; 395 bhp)</v>
      </c>
      <c r="H111" s="1" t="str">
        <f>IFERROR(__xludf.DUMMYFUNCTION("""COMPUTED_VALUE"""),"with Cambiocorsa only")</f>
        <v>with Cambiocorsa only</v>
      </c>
      <c r="L111" s="1" t="s">
        <v>68</v>
      </c>
      <c r="M111" s="1" t="s">
        <v>69</v>
      </c>
    </row>
    <row r="112">
      <c r="A112" s="1" t="str">
        <f>IFERROR(__xludf.DUMMYFUNCTION("""COMPUTED_VALUE"""),"GranSport Spyder")</f>
        <v>GranSport Spyder</v>
      </c>
      <c r="B112" s="1">
        <f>IFERROR(__xludf.DUMMYFUNCTION("""COMPUTED_VALUE"""),2005.0)</f>
        <v>2005</v>
      </c>
      <c r="C112" s="1">
        <f>IFERROR(__xludf.DUMMYFUNCTION("""COMPUTED_VALUE"""),2007.0)</f>
        <v>2007</v>
      </c>
      <c r="D112" s="1" t="str">
        <f>IFERROR(__xludf.DUMMYFUNCTION("""COMPUTED_VALUE"""),"international")</f>
        <v>international</v>
      </c>
      <c r="E112" s="1"/>
      <c r="F112" s="1" t="str">
        <f>IFERROR(__xludf.DUMMYFUNCTION("""COMPUTED_VALUE"""),"4,244 cc (259 cu in)")</f>
        <v>4,244 cc (259 cu in)</v>
      </c>
      <c r="G112" s="1" t="str">
        <f>IFERROR(__xludf.DUMMYFUNCTION("""COMPUTED_VALUE"""),"400 PS (294 kW; 395 bhp)")</f>
        <v>400 PS (294 kW; 395 bhp)</v>
      </c>
      <c r="H112" s="1"/>
      <c r="L112" s="1" t="s">
        <v>68</v>
      </c>
    </row>
    <row r="113">
      <c r="A113" s="1" t="str">
        <f>IFERROR(__xludf.DUMMYFUNCTION("""COMPUTED_VALUE"""),"Quattroporte V")</f>
        <v>Quattroporte V</v>
      </c>
      <c r="B113" s="1">
        <f>IFERROR(__xludf.DUMMYFUNCTION("""COMPUTED_VALUE"""),2003.0)</f>
        <v>2003</v>
      </c>
      <c r="C113" s="1">
        <f>IFERROR(__xludf.DUMMYFUNCTION("""COMPUTED_VALUE"""),2012.0)</f>
        <v>2012</v>
      </c>
      <c r="D113" s="1" t="str">
        <f>IFERROR(__xludf.DUMMYFUNCTION("""COMPUTED_VALUE"""),"international")</f>
        <v>international</v>
      </c>
      <c r="E113" s="1"/>
      <c r="F113" s="1" t="str">
        <f>IFERROR(__xludf.DUMMYFUNCTION("""COMPUTED_VALUE"""),"4,244 cc (259 cu in)")</f>
        <v>4,244 cc (259 cu in)</v>
      </c>
      <c r="G113" s="1" t="str">
        <f>IFERROR(__xludf.DUMMYFUNCTION("""COMPUTED_VALUE"""),"400 PS (294 kW; 395 bhp)")</f>
        <v>400 PS (294 kW; 395 bhp)</v>
      </c>
      <c r="H113" s="1" t="str">
        <f>IFERROR(__xludf.DUMMYFUNCTION("""COMPUTED_VALUE"""),"DuoSelect or Automatica")</f>
        <v>DuoSelect or Automatica</v>
      </c>
      <c r="L113" s="1" t="s">
        <v>68</v>
      </c>
      <c r="M113" s="1" t="s">
        <v>70</v>
      </c>
    </row>
    <row r="114">
      <c r="A114" s="1" t="str">
        <f>IFERROR(__xludf.DUMMYFUNCTION("""COMPUTED_VALUE"""),"Quattroporte V S")</f>
        <v>Quattroporte V S</v>
      </c>
      <c r="B114" s="1">
        <f>IFERROR(__xludf.DUMMYFUNCTION("""COMPUTED_VALUE"""),2008.0)</f>
        <v>2008</v>
      </c>
      <c r="C114" s="1">
        <f>IFERROR(__xludf.DUMMYFUNCTION("""COMPUTED_VALUE"""),2012.0)</f>
        <v>2012</v>
      </c>
      <c r="D114" s="1" t="str">
        <f>IFERROR(__xludf.DUMMYFUNCTION("""COMPUTED_VALUE"""),"international")</f>
        <v>international</v>
      </c>
      <c r="E114" s="1"/>
      <c r="F114" s="1" t="str">
        <f>IFERROR(__xludf.DUMMYFUNCTION("""COMPUTED_VALUE"""),"4,691 cc (286 cu in)")</f>
        <v>4,691 cc (286 cu in)</v>
      </c>
      <c r="G114" s="1" t="str">
        <f>IFERROR(__xludf.DUMMYFUNCTION("""COMPUTED_VALUE"""),"430 PS (316 kW; 424 bhp)")</f>
        <v>430 PS (316 kW; 424 bhp)</v>
      </c>
      <c r="H114" s="1" t="str">
        <f>IFERROR(__xludf.DUMMYFUNCTION("""COMPUTED_VALUE"""),"Automatica only")</f>
        <v>Automatica only</v>
      </c>
      <c r="L114" s="1" t="s">
        <v>71</v>
      </c>
      <c r="M114" s="1" t="s">
        <v>72</v>
      </c>
    </row>
    <row r="115">
      <c r="A115" s="1" t="str">
        <f>IFERROR(__xludf.DUMMYFUNCTION("""COMPUTED_VALUE"""),"MC12")</f>
        <v>MC12</v>
      </c>
      <c r="B115" s="1">
        <f>IFERROR(__xludf.DUMMYFUNCTION("""COMPUTED_VALUE"""),2004.0)</f>
        <v>2004</v>
      </c>
      <c r="C115" s="1">
        <f>IFERROR(__xludf.DUMMYFUNCTION("""COMPUTED_VALUE"""),2005.0)</f>
        <v>2005</v>
      </c>
      <c r="D115" s="1" t="str">
        <f>IFERROR(__xludf.DUMMYFUNCTION("""COMPUTED_VALUE"""),"Limited (50 cars)")</f>
        <v>Limited (50 cars)</v>
      </c>
      <c r="E115" s="1" t="str">
        <f>IFERROR(__xludf.DUMMYFUNCTION("""COMPUTED_VALUE"""),"V12")</f>
        <v>V12</v>
      </c>
      <c r="F115" s="1" t="str">
        <f>IFERROR(__xludf.DUMMYFUNCTION("""COMPUTED_VALUE"""),"5,998 cc (366 cu in)")</f>
        <v>5,998 cc (366 cu in)</v>
      </c>
      <c r="G115" s="1" t="str">
        <f>IFERROR(__xludf.DUMMYFUNCTION("""COMPUTED_VALUE"""),"630 PS (463 kW; 621 bhp)")</f>
        <v>630 PS (463 kW; 621 bhp)</v>
      </c>
      <c r="H115" s="1" t="str">
        <f>IFERROR(__xludf.DUMMYFUNCTION("""COMPUTED_VALUE"""),"Developed from Enzo Ferrari")</f>
        <v>Developed from Enzo Ferrari</v>
      </c>
      <c r="L115" s="1" t="s">
        <v>73</v>
      </c>
      <c r="M115" s="1" t="s">
        <v>74</v>
      </c>
    </row>
    <row r="116">
      <c r="A116" s="1" t="str">
        <f>IFERROR(__xludf.DUMMYFUNCTION("""COMPUTED_VALUE"""),"GranTurismo")</f>
        <v>GranTurismo</v>
      </c>
      <c r="B116" s="1">
        <f>IFERROR(__xludf.DUMMYFUNCTION("""COMPUTED_VALUE"""),2007.0)</f>
        <v>2007</v>
      </c>
      <c r="C116" s="1">
        <f>IFERROR(__xludf.DUMMYFUNCTION("""COMPUTED_VALUE"""),2019.0)</f>
        <v>2019</v>
      </c>
      <c r="D116" s="1" t="str">
        <f>IFERROR(__xludf.DUMMYFUNCTION("""COMPUTED_VALUE"""),"international")</f>
        <v>international</v>
      </c>
      <c r="E116" s="1" t="str">
        <f>IFERROR(__xludf.DUMMYFUNCTION("""COMPUTED_VALUE"""),"V8")</f>
        <v>V8</v>
      </c>
      <c r="F116" s="1" t="str">
        <f>IFERROR(__xludf.DUMMYFUNCTION("""COMPUTED_VALUE"""),"4,244 cc (259 cu in)")</f>
        <v>4,244 cc (259 cu in)</v>
      </c>
      <c r="G116" s="1" t="str">
        <f>IFERROR(__xludf.DUMMYFUNCTION("""COMPUTED_VALUE"""),"405 PS (298 kW; 399 bhp)")</f>
        <v>405 PS (298 kW; 399 bhp)</v>
      </c>
      <c r="H116" s="1"/>
      <c r="L116" s="1" t="s">
        <v>75</v>
      </c>
    </row>
    <row r="117">
      <c r="A117" s="1" t="str">
        <f>IFERROR(__xludf.DUMMYFUNCTION("""COMPUTED_VALUE"""),"GranTurismo S")</f>
        <v>GranTurismo S</v>
      </c>
      <c r="B117" s="1">
        <f>IFERROR(__xludf.DUMMYFUNCTION("""COMPUTED_VALUE"""),2008.0)</f>
        <v>2008</v>
      </c>
      <c r="C117" s="1">
        <f>IFERROR(__xludf.DUMMYFUNCTION("""COMPUTED_VALUE"""),2019.0)</f>
        <v>2019</v>
      </c>
      <c r="D117" s="1"/>
      <c r="E117" s="1"/>
      <c r="F117" s="1" t="str">
        <f>IFERROR(__xludf.DUMMYFUNCTION("""COMPUTED_VALUE"""),"4,691 cc (286 cu in)")</f>
        <v>4,691 cc (286 cu in)</v>
      </c>
      <c r="G117" s="1" t="str">
        <f>IFERROR(__xludf.DUMMYFUNCTION("""COMPUTED_VALUE"""),"440 PS (324 kW; 434 bhp)")</f>
        <v>440 PS (324 kW; 434 bhp)</v>
      </c>
      <c r="H117" s="1"/>
      <c r="L117" s="1" t="s">
        <v>76</v>
      </c>
    </row>
    <row r="118">
      <c r="A118" s="1" t="str">
        <f>IFERROR(__xludf.DUMMYFUNCTION("""COMPUTED_VALUE"""),"GranCabrio")</f>
        <v>GranCabrio</v>
      </c>
      <c r="B118" s="1">
        <f>IFERROR(__xludf.DUMMYFUNCTION("""COMPUTED_VALUE"""),2010.0)</f>
        <v>2010</v>
      </c>
      <c r="C118" s="1">
        <f>IFERROR(__xludf.DUMMYFUNCTION("""COMPUTED_VALUE"""),2019.0)</f>
        <v>2019</v>
      </c>
      <c r="D118" s="1"/>
      <c r="E118" s="1"/>
      <c r="F118" s="1" t="str">
        <f>IFERROR(__xludf.DUMMYFUNCTION("""COMPUTED_VALUE"""),"4,691 cc (286 cu in)")</f>
        <v>4,691 cc (286 cu in)</v>
      </c>
      <c r="G118" s="1" t="str">
        <f>IFERROR(__xludf.DUMMYFUNCTION("""COMPUTED_VALUE"""),"440 PS (324 kW; 434 bhp)")</f>
        <v>440 PS (324 kW; 434 bhp)</v>
      </c>
      <c r="H118" s="1"/>
      <c r="L118" s="1" t="s">
        <v>76</v>
      </c>
    </row>
    <row r="119">
      <c r="A119" s="1" t="str">
        <f>IFERROR(__xludf.DUMMYFUNCTION("""COMPUTED_VALUE"""),"Ghibli III")</f>
        <v>Ghibli III</v>
      </c>
      <c r="B119" s="1">
        <f>IFERROR(__xludf.DUMMYFUNCTION("""COMPUTED_VALUE"""),2013.0)</f>
        <v>2013</v>
      </c>
      <c r="C119" s="1"/>
      <c r="D119" s="1"/>
      <c r="E119" s="1" t="str">
        <f>IFERROR(__xludf.DUMMYFUNCTION("""COMPUTED_VALUE"""),"V6 Biturbo")</f>
        <v>V6 Biturbo</v>
      </c>
      <c r="F119" s="1" t="str">
        <f>IFERROR(__xludf.DUMMYFUNCTION("""COMPUTED_VALUE"""),"2,979 cc (182 cu in)")</f>
        <v>2,979 cc (182 cu in)</v>
      </c>
      <c r="G119" s="1" t="str">
        <f>IFERROR(__xludf.DUMMYFUNCTION("""COMPUTED_VALUE"""),"330 PS (243 kW; 325 bhp)")</f>
        <v>330 PS (243 kW; 325 bhp)</v>
      </c>
      <c r="H119" s="1"/>
      <c r="L119" s="1" t="s">
        <v>14</v>
      </c>
    </row>
    <row r="120">
      <c r="A120" s="1" t="str">
        <f>IFERROR(__xludf.DUMMYFUNCTION("""COMPUTED_VALUE"""),"Ghibli III S")</f>
        <v>Ghibli III S</v>
      </c>
      <c r="B120" s="1">
        <f>IFERROR(__xludf.DUMMYFUNCTION("""COMPUTED_VALUE"""),2013.0)</f>
        <v>2013</v>
      </c>
      <c r="C120" s="1"/>
      <c r="D120" s="1"/>
      <c r="E120" s="1"/>
      <c r="F120" s="1" t="str">
        <f>IFERROR(__xludf.DUMMYFUNCTION("""COMPUTED_VALUE"""),"2,979 cc (182 cu in)")</f>
        <v>2,979 cc (182 cu in)</v>
      </c>
      <c r="G120" s="1" t="str">
        <f>IFERROR(__xludf.DUMMYFUNCTION("""COMPUTED_VALUE"""),"410 PS (302 kW; 404 bhp)")</f>
        <v>410 PS (302 kW; 404 bhp)</v>
      </c>
      <c r="H120" s="1" t="str">
        <f>IFERROR(__xludf.DUMMYFUNCTION("""COMPUTED_VALUE"""),"Q4 (AWD) available")</f>
        <v>Q4 (AWD) available</v>
      </c>
      <c r="L120" s="1" t="s">
        <v>77</v>
      </c>
      <c r="M120" s="1" t="s">
        <v>78</v>
      </c>
    </row>
    <row r="121">
      <c r="A121" s="1" t="str">
        <f>IFERROR(__xludf.DUMMYFUNCTION("""COMPUTED_VALUE"""),"Ghibli III Diesel")</f>
        <v>Ghibli III Diesel</v>
      </c>
      <c r="B121" s="1">
        <f>IFERROR(__xludf.DUMMYFUNCTION("""COMPUTED_VALUE"""),2013.0)</f>
        <v>2013</v>
      </c>
      <c r="C121" s="1"/>
      <c r="D121" s="1"/>
      <c r="E121" s="1" t="str">
        <f>IFERROR(__xludf.DUMMYFUNCTION("""COMPUTED_VALUE"""),"V6 Turbodiesel")</f>
        <v>V6 Turbodiesel</v>
      </c>
      <c r="F121" s="1" t="str">
        <f>IFERROR(__xludf.DUMMYFUNCTION("""COMPUTED_VALUE"""),"2,987 cc (182 cu in)")</f>
        <v>2,987 cc (182 cu in)</v>
      </c>
      <c r="G121" s="1" t="str">
        <f>IFERROR(__xludf.DUMMYFUNCTION("""COMPUTED_VALUE"""),"275 PS (202 kW; 271 bhp)")</f>
        <v>275 PS (202 kW; 271 bhp)</v>
      </c>
      <c r="H121" s="1"/>
      <c r="L121" s="1" t="s">
        <v>79</v>
      </c>
    </row>
    <row r="122">
      <c r="A122" s="1" t="str">
        <f>IFERROR(__xludf.DUMMYFUNCTION("""COMPUTED_VALUE"""),"Quattroporte VI S")</f>
        <v>Quattroporte VI S</v>
      </c>
      <c r="B122" s="1">
        <f>IFERROR(__xludf.DUMMYFUNCTION("""COMPUTED_VALUE"""),2013.0)</f>
        <v>2013</v>
      </c>
      <c r="C122" s="1"/>
      <c r="D122" s="1"/>
      <c r="E122" s="1" t="str">
        <f>IFERROR(__xludf.DUMMYFUNCTION("""COMPUTED_VALUE"""),"V6 Biturbo")</f>
        <v>V6 Biturbo</v>
      </c>
      <c r="F122" s="1" t="str">
        <f>IFERROR(__xludf.DUMMYFUNCTION("""COMPUTED_VALUE"""),"2,979 cc (182 cu in)")</f>
        <v>2,979 cc (182 cu in)</v>
      </c>
      <c r="G122" s="1" t="str">
        <f>IFERROR(__xludf.DUMMYFUNCTION("""COMPUTED_VALUE"""),"410 PS (302 kW; 404 bhp)")</f>
        <v>410 PS (302 kW; 404 bhp)</v>
      </c>
      <c r="H122" s="1" t="str">
        <f>IFERROR(__xludf.DUMMYFUNCTION("""COMPUTED_VALUE"""),"Q4 (AWD) available")</f>
        <v>Q4 (AWD) available</v>
      </c>
      <c r="L122" s="1" t="s">
        <v>77</v>
      </c>
      <c r="M122" s="1" t="s">
        <v>78</v>
      </c>
    </row>
    <row r="123">
      <c r="A123" s="1" t="str">
        <f>IFERROR(__xludf.DUMMYFUNCTION("""COMPUTED_VALUE"""),"Quattroporte VI GTS")</f>
        <v>Quattroporte VI GTS</v>
      </c>
      <c r="B123" s="1">
        <f>IFERROR(__xludf.DUMMYFUNCTION("""COMPUTED_VALUE"""),2013.0)</f>
        <v>2013</v>
      </c>
      <c r="C123" s="1"/>
      <c r="D123" s="1"/>
      <c r="E123" s="1"/>
      <c r="F123" s="1" t="str">
        <f>IFERROR(__xludf.DUMMYFUNCTION("""COMPUTED_VALUE"""),"3,798 cc (232 cu in)")</f>
        <v>3,798 cc (232 cu in)</v>
      </c>
      <c r="G123" s="1" t="str">
        <f>IFERROR(__xludf.DUMMYFUNCTION("""COMPUTED_VALUE"""),"530 PS (390 kW; 523 bhp)")</f>
        <v>530 PS (390 kW; 523 bhp)</v>
      </c>
      <c r="H123" s="1"/>
      <c r="L123" s="1" t="s">
        <v>80</v>
      </c>
    </row>
    <row r="124">
      <c r="A124" s="1" t="str">
        <f>IFERROR(__xludf.DUMMYFUNCTION("""COMPUTED_VALUE"""),"Quattroporte VI Diesel")</f>
        <v>Quattroporte VI Diesel</v>
      </c>
      <c r="B124" s="1">
        <f>IFERROR(__xludf.DUMMYFUNCTION("""COMPUTED_VALUE"""),2013.0)</f>
        <v>2013</v>
      </c>
      <c r="C124" s="1"/>
      <c r="D124" s="1"/>
      <c r="E124" s="1" t="str">
        <f>IFERROR(__xludf.DUMMYFUNCTION("""COMPUTED_VALUE"""),"V6 Turbodiesel")</f>
        <v>V6 Turbodiesel</v>
      </c>
      <c r="F124" s="1" t="str">
        <f>IFERROR(__xludf.DUMMYFUNCTION("""COMPUTED_VALUE"""),"2,987 cc (182 cu in)")</f>
        <v>2,987 cc (182 cu in)</v>
      </c>
      <c r="G124" s="1" t="str">
        <f>IFERROR(__xludf.DUMMYFUNCTION("""COMPUTED_VALUE"""),"275 PS (202 kW; 271 bhp)")</f>
        <v>275 PS (202 kW; 271 bhp)</v>
      </c>
      <c r="H124" s="1"/>
      <c r="L124" s="1" t="s">
        <v>79</v>
      </c>
    </row>
    <row r="125">
      <c r="A125" s="1" t="str">
        <f>IFERROR(__xludf.DUMMYFUNCTION("""COMPUTED_VALUE"""),"Levante")</f>
        <v>Levante</v>
      </c>
      <c r="B125" s="1">
        <f>IFERROR(__xludf.DUMMYFUNCTION("""COMPUTED_VALUE"""),2016.0)</f>
        <v>2016</v>
      </c>
      <c r="C125" s="1"/>
      <c r="D125" s="1"/>
      <c r="E125" s="1" t="str">
        <f>IFERROR(__xludf.DUMMYFUNCTION("""COMPUTED_VALUE"""),"V6 Biturbo")</f>
        <v>V6 Biturbo</v>
      </c>
      <c r="F125" s="1" t="str">
        <f>IFERROR(__xludf.DUMMYFUNCTION("""COMPUTED_VALUE"""),"2,992 cc (183 cu in)")</f>
        <v>2,992 cc (183 cu in)</v>
      </c>
      <c r="G125" s="1" t="str">
        <f>IFERROR(__xludf.DUMMYFUNCTION("""COMPUTED_VALUE"""),"350 to 580 PS (257 to 427 kW; 345 to 572 bhp)")</f>
        <v>350 to 580 PS (257 to 427 kW; 345 to 572 bhp)</v>
      </c>
      <c r="H125" s="1"/>
      <c r="L125" s="1" t="s">
        <v>81</v>
      </c>
    </row>
    <row r="126">
      <c r="A126" s="1" t="str">
        <f>IFERROR(__xludf.DUMMYFUNCTION("""COMPUTED_VALUE"""),"MC20")</f>
        <v>MC20</v>
      </c>
      <c r="B126" s="1">
        <f>IFERROR(__xludf.DUMMYFUNCTION("""COMPUTED_VALUE"""),2020.0)</f>
        <v>2020</v>
      </c>
      <c r="C126" s="1"/>
      <c r="D126" s="1"/>
      <c r="E126" s="1" t="str">
        <f>IFERROR(__xludf.DUMMYFUNCTION("""COMPUTED_VALUE"""),"V6 Biturbo")</f>
        <v>V6 Biturbo</v>
      </c>
      <c r="F126" s="1" t="str">
        <f>IFERROR(__xludf.DUMMYFUNCTION("""COMPUTED_VALUE"""),"2,992 cc (183 cu in)")</f>
        <v>2,992 cc (183 cu in)</v>
      </c>
      <c r="G126" s="1" t="str">
        <f>IFERROR(__xludf.DUMMYFUNCTION("""COMPUTED_VALUE"""),"630 PS (463 kW; 621 bhp)")</f>
        <v>630 PS (463 kW; 621 bhp)</v>
      </c>
      <c r="H126" s="1"/>
      <c r="L126" s="1" t="s">
        <v>73</v>
      </c>
    </row>
    <row r="127">
      <c r="A127" s="1" t="str">
        <f>IFERROR(__xludf.DUMMYFUNCTION("""COMPUTED_VALUE"""),"Levante Hybrid")</f>
        <v>Levante Hybrid</v>
      </c>
      <c r="B127" s="1">
        <f>IFERROR(__xludf.DUMMYFUNCTION("""COMPUTED_VALUE"""),2022.0)</f>
        <v>2022</v>
      </c>
      <c r="C127" s="1"/>
      <c r="D127" s="1"/>
      <c r="E127" s="1" t="str">
        <f>IFERROR(__xludf.DUMMYFUNCTION("""COMPUTED_VALUE"""),"I4 Turbo")</f>
        <v>I4 Turbo</v>
      </c>
      <c r="F127" s="1" t="str">
        <f>IFERROR(__xludf.DUMMYFUNCTION("""COMPUTED_VALUE"""),"1,995 cc (122 cu in)")</f>
        <v>1,995 cc (122 cu in)</v>
      </c>
      <c r="G127" s="1" t="str">
        <f>IFERROR(__xludf.DUMMYFUNCTION("""COMPUTED_VALUE"""),"330 PS (243 kW; 325 bhp)")</f>
        <v>330 PS (243 kW; 325 bhp)</v>
      </c>
      <c r="H127" s="1" t="str">
        <f>IFERROR(__xludf.DUMMYFUNCTION("""COMPUTED_VALUE"""),"First Levante with MHEV")</f>
        <v>First Levante with MHEV</v>
      </c>
      <c r="L127" s="1" t="s">
        <v>14</v>
      </c>
      <c r="M127" s="1" t="s">
        <v>82</v>
      </c>
    </row>
    <row r="128">
      <c r="A128" s="1" t="str">
        <f>IFERROR(__xludf.DUMMYFUNCTION("""COMPUTED_VALUE"""),"Grecale")</f>
        <v>Grecale</v>
      </c>
      <c r="B128" s="1">
        <f>IFERROR(__xludf.DUMMYFUNCTION("""COMPUTED_VALUE"""),2022.0)</f>
        <v>2022</v>
      </c>
      <c r="C128" s="1"/>
      <c r="D128" s="1"/>
      <c r="E128" s="1" t="str">
        <f>IFERROR(__xludf.DUMMYFUNCTION("""COMPUTED_VALUE"""),"I4 Turbo")</f>
        <v>I4 Turbo</v>
      </c>
      <c r="F128" s="1" t="str">
        <f>IFERROR(__xludf.DUMMYFUNCTION("""COMPUTED_VALUE"""),"1,995 cc (122 cu in)")</f>
        <v>1,995 cc (122 cu in)</v>
      </c>
      <c r="G128" s="1" t="str">
        <f>IFERROR(__xludf.DUMMYFUNCTION("""COMPUTED_VALUE"""),"300 or 330 PS (221 or 243 kW; 296 or 325 bhp)")</f>
        <v>300 or 330 PS (221 or 243 kW; 296 or 325 bhp)</v>
      </c>
      <c r="H128" s="1"/>
      <c r="L128" s="1" t="s">
        <v>83</v>
      </c>
    </row>
    <row r="129">
      <c r="A129" s="1" t="str">
        <f>IFERROR(__xludf.DUMMYFUNCTION("""COMPUTED_VALUE"""),"Grecale Trofeo")</f>
        <v>Grecale Trofeo</v>
      </c>
      <c r="B129" s="1">
        <f>IFERROR(__xludf.DUMMYFUNCTION("""COMPUTED_VALUE"""),2022.0)</f>
        <v>2022</v>
      </c>
      <c r="C129" s="1"/>
      <c r="D129" s="1"/>
      <c r="E129" s="1" t="str">
        <f>IFERROR(__xludf.DUMMYFUNCTION("""COMPUTED_VALUE"""),"V6 Biturbo")</f>
        <v>V6 Biturbo</v>
      </c>
      <c r="F129" s="1" t="str">
        <f>IFERROR(__xludf.DUMMYFUNCTION("""COMPUTED_VALUE"""),"2,992 cc (183 cu in)")</f>
        <v>2,992 cc (183 cu in)</v>
      </c>
      <c r="G129" s="1" t="str">
        <f>IFERROR(__xludf.DUMMYFUNCTION("""COMPUTED_VALUE"""),"630 PS (463 kW; 621 bhp)")</f>
        <v>630 PS (463 kW; 621 bhp)</v>
      </c>
      <c r="H129" s="1"/>
      <c r="L129" s="1" t="s">
        <v>73</v>
      </c>
    </row>
    <row r="130">
      <c r="A130" s="1" t="str">
        <f>IFERROR(__xludf.DUMMYFUNCTION("""COMPUTED_VALUE"""),"MC20 Cielo")</f>
        <v>MC20 Cielo</v>
      </c>
      <c r="B130" s="1">
        <f>IFERROR(__xludf.DUMMYFUNCTION("""COMPUTED_VALUE"""),2023.0)</f>
        <v>2023</v>
      </c>
      <c r="C130" s="1"/>
      <c r="D130" s="1"/>
      <c r="E130" s="1" t="str">
        <f>IFERROR(__xludf.DUMMYFUNCTION("""COMPUTED_VALUE"""),"V6 Biturbo")</f>
        <v>V6 Biturbo</v>
      </c>
      <c r="F130" s="1" t="str">
        <f>IFERROR(__xludf.DUMMYFUNCTION("""COMPUTED_VALUE"""),"2,992 cc (183 cu in)")</f>
        <v>2,992 cc (183 cu in)</v>
      </c>
      <c r="G130" s="1" t="str">
        <f>IFERROR(__xludf.DUMMYFUNCTION("""COMPUTED_VALUE"""),"630 PS (463 kW; 621 bhp)")</f>
        <v>630 PS (463 kW; 621 bhp)</v>
      </c>
      <c r="H130" s="1"/>
      <c r="L130" s="1" t="s">
        <v>73</v>
      </c>
    </row>
  </sheetData>
  <conditionalFormatting sqref="F1:F1000">
    <cfRule type="notContainsBlanks" dxfId="0" priority="1">
      <formula>LEN(TRIM(F1))&gt;0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13.0"/>
    <col customWidth="1" min="7" max="7" width="13.0"/>
  </cols>
  <sheetData>
    <row r="1">
      <c r="A1" s="1" t="s">
        <v>84</v>
      </c>
      <c r="B1" s="2" t="s">
        <v>85</v>
      </c>
      <c r="C1" s="3" t="s">
        <v>86</v>
      </c>
      <c r="D1" s="4" t="s">
        <v>87</v>
      </c>
    </row>
    <row r="2">
      <c r="A2" s="1">
        <v>1946.0</v>
      </c>
      <c r="B2" s="5">
        <v>1489.0</v>
      </c>
      <c r="C2" s="6">
        <v>64.0</v>
      </c>
      <c r="D2" s="1" t="s">
        <v>88</v>
      </c>
    </row>
    <row r="3">
      <c r="A3" s="1">
        <v>1950.0</v>
      </c>
      <c r="B3" s="5">
        <v>1954.0</v>
      </c>
      <c r="C3" s="6">
        <v>99.0</v>
      </c>
      <c r="D3" s="1" t="s">
        <v>89</v>
      </c>
    </row>
    <row r="4">
      <c r="A4" s="1">
        <v>1954.0</v>
      </c>
      <c r="B4" s="5">
        <v>1986.0</v>
      </c>
      <c r="C4" s="6">
        <v>148.0</v>
      </c>
      <c r="D4" s="1" t="s">
        <v>90</v>
      </c>
    </row>
    <row r="5">
      <c r="A5" s="1">
        <v>1956.0</v>
      </c>
      <c r="B5" s="5">
        <v>1986.0</v>
      </c>
      <c r="C5" s="6">
        <v>158.0</v>
      </c>
      <c r="D5" s="1" t="s">
        <v>91</v>
      </c>
    </row>
    <row r="6">
      <c r="A6" s="1">
        <v>1957.0</v>
      </c>
      <c r="B6" s="5">
        <v>1484.1</v>
      </c>
      <c r="C6" s="6">
        <v>128.0</v>
      </c>
      <c r="D6" s="1" t="s">
        <v>92</v>
      </c>
    </row>
    <row r="7">
      <c r="A7" s="1">
        <v>1957.0</v>
      </c>
      <c r="B7" s="5">
        <v>3485.0</v>
      </c>
      <c r="C7" s="4">
        <v>227.0</v>
      </c>
      <c r="D7" s="1" t="s">
        <v>93</v>
      </c>
    </row>
    <row r="8">
      <c r="A8" s="1">
        <v>1959.0</v>
      </c>
      <c r="B8" s="5">
        <v>3485.0</v>
      </c>
      <c r="C8" s="4">
        <v>227.0</v>
      </c>
      <c r="D8" s="1" t="s">
        <v>94</v>
      </c>
    </row>
    <row r="9">
      <c r="A9" s="1">
        <v>1959.0</v>
      </c>
      <c r="B9" s="5">
        <v>4938.0</v>
      </c>
      <c r="C9" s="6">
        <v>335.0</v>
      </c>
      <c r="D9" s="1" t="s">
        <v>95</v>
      </c>
    </row>
    <row r="10">
      <c r="A10" s="1">
        <v>1961.0</v>
      </c>
      <c r="B10" s="5">
        <v>4941.0</v>
      </c>
      <c r="C10" s="6">
        <v>325.0</v>
      </c>
      <c r="D10" s="1" t="s">
        <v>96</v>
      </c>
    </row>
    <row r="11">
      <c r="A11" s="1">
        <v>1962.0</v>
      </c>
      <c r="B11" s="5">
        <v>3485.0</v>
      </c>
      <c r="C11" s="6">
        <v>232.0</v>
      </c>
      <c r="D11" s="1" t="s">
        <v>97</v>
      </c>
    </row>
    <row r="12">
      <c r="A12" s="1">
        <v>1962.0</v>
      </c>
      <c r="B12" s="5">
        <v>3485.0</v>
      </c>
      <c r="C12" s="6">
        <v>232.0</v>
      </c>
      <c r="D12" s="1" t="s">
        <v>98</v>
      </c>
    </row>
    <row r="13">
      <c r="A13" s="1">
        <v>1963.0</v>
      </c>
      <c r="B13" s="5">
        <v>3485.0</v>
      </c>
      <c r="C13" s="6">
        <v>232.0</v>
      </c>
      <c r="D13" s="1" t="s">
        <v>99</v>
      </c>
    </row>
    <row r="14">
      <c r="A14" s="1">
        <v>1963.0</v>
      </c>
      <c r="B14" s="5">
        <v>4136.0</v>
      </c>
      <c r="C14" s="6">
        <v>256.0</v>
      </c>
      <c r="D14" s="1" t="s">
        <v>100</v>
      </c>
    </row>
    <row r="15">
      <c r="A15" s="1">
        <v>1964.0</v>
      </c>
      <c r="B15" s="5">
        <v>3485.0</v>
      </c>
      <c r="C15" s="6">
        <v>232.0</v>
      </c>
      <c r="D15" s="1" t="s">
        <v>101</v>
      </c>
    </row>
    <row r="16">
      <c r="A16" s="1">
        <v>1965.0</v>
      </c>
      <c r="B16" s="5">
        <v>3692.0</v>
      </c>
      <c r="C16" s="6">
        <v>242.0</v>
      </c>
      <c r="D16" s="1" t="s">
        <v>102</v>
      </c>
    </row>
    <row r="17">
      <c r="A17" s="1">
        <v>1965.0</v>
      </c>
      <c r="B17" s="5">
        <v>3692.0</v>
      </c>
      <c r="C17" s="6">
        <v>242.0</v>
      </c>
      <c r="D17" s="1" t="s">
        <v>103</v>
      </c>
    </row>
    <row r="18">
      <c r="A18" s="1">
        <v>1965.0</v>
      </c>
      <c r="B18" s="5">
        <v>4000.0</v>
      </c>
      <c r="C18" s="6">
        <v>252.0</v>
      </c>
      <c r="D18" s="1" t="s">
        <v>104</v>
      </c>
    </row>
    <row r="19">
      <c r="A19" s="1">
        <v>1965.0</v>
      </c>
      <c r="B19" s="5">
        <v>4000.0</v>
      </c>
      <c r="C19" s="6">
        <v>252.0</v>
      </c>
      <c r="D19" s="1" t="s">
        <v>105</v>
      </c>
    </row>
    <row r="20">
      <c r="A20" s="1">
        <v>1965.0</v>
      </c>
      <c r="B20" s="5">
        <v>3692.0</v>
      </c>
      <c r="C20" s="6">
        <v>242.0</v>
      </c>
      <c r="D20" s="1" t="s">
        <v>106</v>
      </c>
    </row>
    <row r="21">
      <c r="A21" s="1">
        <v>1965.0</v>
      </c>
      <c r="B21" s="5">
        <v>4000.0</v>
      </c>
      <c r="C21" s="6">
        <v>252.0</v>
      </c>
      <c r="D21" s="1" t="s">
        <v>107</v>
      </c>
    </row>
    <row r="22">
      <c r="A22" s="1">
        <v>1966.0</v>
      </c>
      <c r="B22" s="5">
        <v>4136.0</v>
      </c>
      <c r="C22" s="6">
        <v>256.0</v>
      </c>
      <c r="D22" s="1" t="s">
        <v>108</v>
      </c>
    </row>
    <row r="23">
      <c r="A23" s="1">
        <v>1966.0</v>
      </c>
      <c r="B23" s="5">
        <v>4719.0</v>
      </c>
      <c r="C23" s="6">
        <v>286.0</v>
      </c>
      <c r="D23" s="1" t="s">
        <v>109</v>
      </c>
    </row>
    <row r="24">
      <c r="A24" s="1">
        <v>1967.0</v>
      </c>
      <c r="B24" s="5">
        <v>4719.0</v>
      </c>
      <c r="C24" s="6">
        <v>306.0</v>
      </c>
      <c r="D24" s="1" t="s">
        <v>110</v>
      </c>
    </row>
    <row r="25">
      <c r="A25" s="1">
        <v>1969.0</v>
      </c>
      <c r="B25" s="5">
        <v>4719.0</v>
      </c>
      <c r="C25" s="6">
        <v>306.0</v>
      </c>
      <c r="D25" s="1" t="s">
        <v>111</v>
      </c>
    </row>
    <row r="26">
      <c r="A26" s="1">
        <v>1969.0</v>
      </c>
      <c r="B26" s="5">
        <v>4719.0</v>
      </c>
      <c r="C26" s="6">
        <v>306.0</v>
      </c>
      <c r="D26" s="1" t="s">
        <v>112</v>
      </c>
    </row>
    <row r="27">
      <c r="A27" s="1">
        <v>1970.0</v>
      </c>
      <c r="B27" s="5">
        <v>4930.0</v>
      </c>
      <c r="C27" s="6">
        <v>330.0</v>
      </c>
      <c r="D27" s="1" t="s">
        <v>113</v>
      </c>
    </row>
    <row r="28">
      <c r="A28" s="1">
        <v>1970.0</v>
      </c>
      <c r="B28" s="5">
        <v>4930.0</v>
      </c>
      <c r="C28" s="6">
        <v>330.0</v>
      </c>
      <c r="D28" s="1" t="s">
        <v>114</v>
      </c>
    </row>
    <row r="29">
      <c r="A29" s="1">
        <v>1970.0</v>
      </c>
      <c r="B29" s="5">
        <v>4136.0</v>
      </c>
      <c r="C29" s="6">
        <v>256.0</v>
      </c>
      <c r="D29" s="1" t="s">
        <v>115</v>
      </c>
    </row>
    <row r="30">
      <c r="A30" s="1">
        <v>1971.0</v>
      </c>
      <c r="B30" s="5">
        <v>4719.0</v>
      </c>
      <c r="C30" s="6">
        <v>286.0</v>
      </c>
      <c r="D30" s="1" t="s">
        <v>116</v>
      </c>
    </row>
    <row r="31">
      <c r="A31" s="1">
        <v>1972.0</v>
      </c>
      <c r="B31" s="5">
        <v>4719.0</v>
      </c>
      <c r="C31" s="6">
        <v>286.0</v>
      </c>
      <c r="D31" s="1" t="s">
        <v>117</v>
      </c>
    </row>
    <row r="32">
      <c r="A32" s="1">
        <v>1972.0</v>
      </c>
      <c r="B32" s="5">
        <v>4930.0</v>
      </c>
      <c r="C32" s="6">
        <v>316.0</v>
      </c>
      <c r="D32" s="1" t="s">
        <v>118</v>
      </c>
    </row>
    <row r="33">
      <c r="A33" s="1">
        <v>1973.0</v>
      </c>
      <c r="B33" s="5">
        <v>4719.0</v>
      </c>
      <c r="C33" s="6">
        <v>306.0</v>
      </c>
      <c r="D33" s="1" t="s">
        <v>119</v>
      </c>
    </row>
    <row r="34">
      <c r="A34" s="1">
        <v>1973.0</v>
      </c>
      <c r="B34" s="5">
        <v>4930.0</v>
      </c>
      <c r="C34" s="6">
        <v>316.0</v>
      </c>
      <c r="D34" s="1" t="s">
        <v>120</v>
      </c>
    </row>
    <row r="35">
      <c r="A35" s="1">
        <v>1973.0</v>
      </c>
      <c r="B35" s="5">
        <v>2965.0</v>
      </c>
      <c r="C35" s="6">
        <v>187.0</v>
      </c>
      <c r="D35" s="1" t="s">
        <v>121</v>
      </c>
    </row>
    <row r="36">
      <c r="A36" s="1">
        <v>1974.0</v>
      </c>
      <c r="B36" s="5">
        <v>4930.0</v>
      </c>
      <c r="C36" s="6">
        <v>296.0</v>
      </c>
      <c r="D36" s="1" t="s">
        <v>122</v>
      </c>
    </row>
    <row r="37">
      <c r="A37" s="1">
        <v>1974.0</v>
      </c>
      <c r="B37" s="5">
        <v>2965.0</v>
      </c>
      <c r="C37" s="6">
        <v>187.0</v>
      </c>
      <c r="D37" s="1" t="s">
        <v>123</v>
      </c>
    </row>
    <row r="38">
      <c r="A38" s="1">
        <v>1975.0</v>
      </c>
      <c r="B38" s="5">
        <v>4930.0</v>
      </c>
      <c r="C38" s="6">
        <v>325.0</v>
      </c>
      <c r="D38" s="1" t="s">
        <v>124</v>
      </c>
    </row>
    <row r="39">
      <c r="A39" s="1">
        <v>1975.0</v>
      </c>
      <c r="B39" s="5">
        <v>2965.0</v>
      </c>
      <c r="C39" s="6">
        <v>217.0</v>
      </c>
      <c r="D39" s="1" t="s">
        <v>125</v>
      </c>
    </row>
    <row r="40">
      <c r="A40" s="1">
        <v>1975.0</v>
      </c>
      <c r="B40" s="5">
        <v>3200.0</v>
      </c>
      <c r="C40" s="6">
        <v>197.0</v>
      </c>
      <c r="D40" s="1" t="s">
        <v>126</v>
      </c>
    </row>
    <row r="41">
      <c r="A41" s="1">
        <v>1976.0</v>
      </c>
      <c r="B41" s="5">
        <v>4136.0</v>
      </c>
      <c r="C41" s="6">
        <v>252.0</v>
      </c>
      <c r="D41" s="1" t="s">
        <v>127</v>
      </c>
    </row>
    <row r="42">
      <c r="A42" s="1">
        <v>1976.0</v>
      </c>
      <c r="B42" s="5">
        <v>4136.0</v>
      </c>
      <c r="C42" s="4">
        <v>261.0</v>
      </c>
      <c r="D42" s="1" t="s">
        <v>128</v>
      </c>
    </row>
    <row r="43">
      <c r="A43" s="1">
        <v>1976.0</v>
      </c>
      <c r="B43" s="5">
        <v>1999.0</v>
      </c>
      <c r="C43" s="4">
        <v>168.0</v>
      </c>
      <c r="D43" s="1" t="s">
        <v>129</v>
      </c>
    </row>
    <row r="44">
      <c r="A44" s="1">
        <v>1978.0</v>
      </c>
      <c r="B44" s="5">
        <v>4930.0</v>
      </c>
      <c r="C44" s="6">
        <v>276.0</v>
      </c>
      <c r="D44" s="1" t="s">
        <v>130</v>
      </c>
    </row>
    <row r="45">
      <c r="A45" s="1">
        <v>1979.0</v>
      </c>
      <c r="B45" s="5">
        <v>4930.0</v>
      </c>
      <c r="C45" s="6">
        <v>276.0</v>
      </c>
      <c r="D45" s="1" t="s">
        <v>131</v>
      </c>
    </row>
    <row r="46">
      <c r="A46" s="1">
        <v>1979.0</v>
      </c>
      <c r="B46" s="5">
        <v>2965.0</v>
      </c>
      <c r="C46" s="6">
        <v>205.0</v>
      </c>
      <c r="D46" s="1" t="s">
        <v>132</v>
      </c>
    </row>
    <row r="47">
      <c r="A47" s="1">
        <v>1981.0</v>
      </c>
      <c r="B47" s="5">
        <v>4930.0</v>
      </c>
      <c r="C47" s="6">
        <v>278.0</v>
      </c>
      <c r="D47" s="1" t="s">
        <v>133</v>
      </c>
    </row>
    <row r="48">
      <c r="A48" s="1">
        <v>1981.0</v>
      </c>
      <c r="B48" s="5">
        <v>1995.0</v>
      </c>
      <c r="C48" s="6">
        <v>178.0</v>
      </c>
      <c r="D48" s="1" t="s">
        <v>134</v>
      </c>
    </row>
    <row r="49">
      <c r="A49" s="1">
        <v>1983.0</v>
      </c>
      <c r="B49" s="5">
        <v>2491.0</v>
      </c>
      <c r="C49" s="6">
        <v>197.0</v>
      </c>
      <c r="D49" s="1">
        <v>425.0</v>
      </c>
    </row>
    <row r="50">
      <c r="A50" s="1">
        <v>1983.0</v>
      </c>
      <c r="B50" s="5">
        <v>2491.0</v>
      </c>
      <c r="C50" s="6">
        <v>182.0</v>
      </c>
      <c r="D50" s="1" t="s">
        <v>135</v>
      </c>
    </row>
    <row r="51">
      <c r="A51" s="1">
        <v>1983.0</v>
      </c>
      <c r="B51" s="5">
        <v>1995.0</v>
      </c>
      <c r="C51" s="6">
        <v>202.0</v>
      </c>
      <c r="D51" s="1" t="s">
        <v>136</v>
      </c>
    </row>
    <row r="52">
      <c r="A52" s="1">
        <v>1984.0</v>
      </c>
      <c r="B52" s="5">
        <v>2491.0</v>
      </c>
      <c r="C52" s="6">
        <v>193.0</v>
      </c>
      <c r="D52" s="1" t="s">
        <v>137</v>
      </c>
    </row>
    <row r="53">
      <c r="A53" s="1">
        <v>1984.0</v>
      </c>
      <c r="B53" s="5">
        <v>1995.0</v>
      </c>
      <c r="C53" s="6">
        <v>178.0</v>
      </c>
      <c r="D53" s="1" t="s">
        <v>138</v>
      </c>
    </row>
    <row r="54">
      <c r="A54" s="1">
        <v>1984.0</v>
      </c>
      <c r="B54" s="5">
        <v>2491.0</v>
      </c>
      <c r="C54" s="6">
        <v>189.0</v>
      </c>
      <c r="D54" s="1" t="s">
        <v>139</v>
      </c>
    </row>
    <row r="55">
      <c r="A55" s="1">
        <v>1985.0</v>
      </c>
      <c r="B55" s="5">
        <v>1995.0</v>
      </c>
      <c r="C55" s="6">
        <v>178.0</v>
      </c>
      <c r="D55" s="1">
        <v>420.0</v>
      </c>
    </row>
    <row r="56">
      <c r="A56" s="1">
        <v>1985.0</v>
      </c>
      <c r="B56" s="5">
        <v>1995.0</v>
      </c>
      <c r="C56" s="6">
        <v>178.0</v>
      </c>
      <c r="D56" s="1" t="s">
        <v>140</v>
      </c>
    </row>
    <row r="57">
      <c r="A57" s="1">
        <v>1985.0</v>
      </c>
      <c r="B57" s="5">
        <v>2491.0</v>
      </c>
      <c r="C57" s="6">
        <v>182.0</v>
      </c>
      <c r="D57" s="1" t="s">
        <v>141</v>
      </c>
    </row>
    <row r="58">
      <c r="A58" s="1">
        <v>1985.0</v>
      </c>
      <c r="B58" s="5">
        <v>1995.0</v>
      </c>
      <c r="C58" s="6">
        <v>207.0</v>
      </c>
      <c r="D58" s="1" t="s">
        <v>142</v>
      </c>
    </row>
    <row r="59">
      <c r="A59" s="1">
        <v>1986.0</v>
      </c>
      <c r="B59" s="5">
        <v>2790.0</v>
      </c>
      <c r="C59" s="6">
        <v>247.0</v>
      </c>
      <c r="D59" s="1" t="s">
        <v>143</v>
      </c>
    </row>
    <row r="60">
      <c r="A60" s="1">
        <v>1986.0</v>
      </c>
      <c r="B60" s="5">
        <v>2790.0</v>
      </c>
      <c r="C60" s="6">
        <v>222.0</v>
      </c>
      <c r="D60" s="1" t="s">
        <v>144</v>
      </c>
    </row>
    <row r="61">
      <c r="A61" s="1">
        <v>1986.0</v>
      </c>
      <c r="B61" s="5">
        <v>1995.0</v>
      </c>
      <c r="C61" s="6">
        <v>187.0</v>
      </c>
      <c r="D61" s="1" t="s">
        <v>145</v>
      </c>
    </row>
    <row r="62">
      <c r="A62" s="1">
        <v>1986.0</v>
      </c>
      <c r="B62" s="5">
        <v>1995.0</v>
      </c>
      <c r="C62" s="6">
        <v>207.0</v>
      </c>
      <c r="D62" s="1" t="s">
        <v>146</v>
      </c>
    </row>
    <row r="63">
      <c r="A63" s="1">
        <v>1986.0</v>
      </c>
      <c r="B63" s="5">
        <v>1995.0</v>
      </c>
      <c r="C63" s="6">
        <v>182.0</v>
      </c>
      <c r="D63" s="1" t="s">
        <v>147</v>
      </c>
    </row>
    <row r="64">
      <c r="A64" s="1">
        <v>1986.0</v>
      </c>
      <c r="B64" s="5">
        <v>4930.0</v>
      </c>
      <c r="C64" s="6">
        <v>296.0</v>
      </c>
      <c r="D64" s="1" t="s">
        <v>148</v>
      </c>
    </row>
    <row r="65">
      <c r="A65" s="1">
        <v>1986.0</v>
      </c>
      <c r="B65" s="5">
        <v>1996.0</v>
      </c>
      <c r="C65" s="6">
        <v>182.0</v>
      </c>
      <c r="D65" s="1" t="s">
        <v>149</v>
      </c>
    </row>
    <row r="66">
      <c r="A66" s="1">
        <v>1987.0</v>
      </c>
      <c r="B66" s="5">
        <v>2790.0</v>
      </c>
      <c r="C66" s="6">
        <v>222.0</v>
      </c>
      <c r="D66" s="1">
        <v>430.0</v>
      </c>
    </row>
    <row r="67">
      <c r="A67" s="1">
        <v>1987.0</v>
      </c>
      <c r="B67" s="5">
        <v>2491.0</v>
      </c>
      <c r="C67" s="6">
        <v>185.0</v>
      </c>
      <c r="D67" s="1" t="s">
        <v>150</v>
      </c>
    </row>
    <row r="68">
      <c r="A68" s="1">
        <v>1987.0</v>
      </c>
      <c r="B68" s="5">
        <v>1995.0</v>
      </c>
      <c r="C68" s="6">
        <v>217.0</v>
      </c>
      <c r="D68" s="1" t="s">
        <v>151</v>
      </c>
    </row>
    <row r="69">
      <c r="A69" s="1">
        <v>1987.0</v>
      </c>
      <c r="B69" s="5">
        <v>2491.0</v>
      </c>
      <c r="C69" s="6">
        <v>185.0</v>
      </c>
      <c r="D69" s="1" t="s">
        <v>152</v>
      </c>
    </row>
    <row r="70">
      <c r="A70" s="1">
        <v>1987.0</v>
      </c>
      <c r="B70" s="5">
        <v>1996.0</v>
      </c>
      <c r="C70" s="6">
        <v>192.0</v>
      </c>
      <c r="D70" s="1" t="s">
        <v>153</v>
      </c>
    </row>
    <row r="71">
      <c r="A71" s="1">
        <v>1988.0</v>
      </c>
      <c r="B71" s="5">
        <v>1996.0</v>
      </c>
      <c r="C71" s="6">
        <v>217.0</v>
      </c>
      <c r="D71" s="1">
        <v>222.0</v>
      </c>
    </row>
    <row r="72">
      <c r="A72" s="1">
        <v>1988.0</v>
      </c>
      <c r="B72" s="5">
        <v>1996.0</v>
      </c>
      <c r="C72" s="6">
        <v>217.0</v>
      </c>
      <c r="D72" s="1">
        <v>422.0</v>
      </c>
    </row>
    <row r="73">
      <c r="A73" s="1">
        <v>1988.0</v>
      </c>
      <c r="B73" s="5">
        <v>1996.0</v>
      </c>
      <c r="C73" s="6">
        <v>242.0</v>
      </c>
      <c r="D73" s="1" t="s">
        <v>154</v>
      </c>
    </row>
    <row r="74">
      <c r="A74" s="1">
        <v>1988.0</v>
      </c>
      <c r="B74" s="5">
        <v>2790.0</v>
      </c>
      <c r="C74" s="6">
        <v>275.0</v>
      </c>
      <c r="D74" s="1" t="s">
        <v>155</v>
      </c>
    </row>
    <row r="75">
      <c r="A75" s="1">
        <v>1988.0</v>
      </c>
      <c r="B75" s="5">
        <v>2790.0</v>
      </c>
      <c r="C75" s="6">
        <v>222.0</v>
      </c>
      <c r="D75" s="1" t="s">
        <v>156</v>
      </c>
    </row>
    <row r="76">
      <c r="A76" s="1">
        <v>1988.0</v>
      </c>
      <c r="B76" s="5">
        <v>2790.0</v>
      </c>
      <c r="C76" s="6">
        <v>281.0</v>
      </c>
      <c r="D76" s="1" t="s">
        <v>157</v>
      </c>
    </row>
    <row r="77">
      <c r="A77" s="1">
        <v>1988.0</v>
      </c>
      <c r="B77" s="5">
        <v>2790.0</v>
      </c>
      <c r="C77" s="6">
        <v>245.0</v>
      </c>
      <c r="D77" s="1" t="s">
        <v>158</v>
      </c>
    </row>
    <row r="78">
      <c r="A78" s="1">
        <v>1988.0</v>
      </c>
      <c r="B78" s="5">
        <v>2790.0</v>
      </c>
      <c r="C78" s="6">
        <v>222.0</v>
      </c>
      <c r="D78" s="1" t="s">
        <v>159</v>
      </c>
    </row>
    <row r="79">
      <c r="A79" s="1">
        <v>1988.0</v>
      </c>
      <c r="B79" s="5">
        <v>2491.0</v>
      </c>
      <c r="C79" s="6">
        <v>185.0</v>
      </c>
      <c r="D79" s="1" t="s">
        <v>160</v>
      </c>
    </row>
    <row r="80">
      <c r="A80" s="1">
        <v>1989.0</v>
      </c>
      <c r="B80" s="5">
        <v>2790.0</v>
      </c>
      <c r="C80" s="6">
        <v>247.0</v>
      </c>
      <c r="D80" s="1" t="s">
        <v>161</v>
      </c>
    </row>
    <row r="81">
      <c r="A81" s="1">
        <v>1989.0</v>
      </c>
      <c r="B81" s="5">
        <v>2790.0</v>
      </c>
      <c r="C81" s="6">
        <v>222.0</v>
      </c>
      <c r="D81" s="1" t="s">
        <v>162</v>
      </c>
    </row>
    <row r="82">
      <c r="A82" s="1">
        <v>1989.0</v>
      </c>
      <c r="B82" s="5">
        <v>1996.0</v>
      </c>
      <c r="C82" s="6">
        <v>217.0</v>
      </c>
      <c r="D82" s="1" t="s">
        <v>163</v>
      </c>
    </row>
    <row r="83">
      <c r="A83" s="1">
        <v>1990.0</v>
      </c>
      <c r="B83" s="5">
        <v>2790.0</v>
      </c>
      <c r="C83" s="6">
        <v>247.0</v>
      </c>
      <c r="D83" s="1" t="s">
        <v>164</v>
      </c>
    </row>
    <row r="84">
      <c r="A84" s="1">
        <v>1990.0</v>
      </c>
      <c r="B84" s="5">
        <v>2790.0</v>
      </c>
      <c r="C84" s="6">
        <v>222.0</v>
      </c>
      <c r="D84" s="1" t="s">
        <v>165</v>
      </c>
    </row>
    <row r="85">
      <c r="A85" s="1">
        <v>1990.0</v>
      </c>
      <c r="B85" s="5">
        <v>1995.0</v>
      </c>
      <c r="C85" s="6">
        <v>217.0</v>
      </c>
      <c r="D85" s="1" t="s">
        <v>166</v>
      </c>
    </row>
    <row r="86">
      <c r="A86" s="1">
        <v>1990.0</v>
      </c>
      <c r="B86" s="5">
        <v>1996.0</v>
      </c>
      <c r="C86" s="6">
        <v>242.0</v>
      </c>
      <c r="D86" s="1" t="s">
        <v>167</v>
      </c>
    </row>
    <row r="87">
      <c r="A87" s="1">
        <v>1990.0</v>
      </c>
      <c r="B87" s="5">
        <v>3217.0</v>
      </c>
      <c r="C87" s="6">
        <v>322.0</v>
      </c>
      <c r="D87" s="1" t="s">
        <v>168</v>
      </c>
    </row>
    <row r="88">
      <c r="A88" s="1">
        <v>1991.0</v>
      </c>
      <c r="B88" s="5">
        <v>1996.0</v>
      </c>
      <c r="C88" s="6">
        <v>242.0</v>
      </c>
      <c r="D88" s="1" t="s">
        <v>169</v>
      </c>
    </row>
    <row r="89">
      <c r="A89" s="1">
        <v>1991.0</v>
      </c>
      <c r="B89" s="5">
        <v>1996.0</v>
      </c>
      <c r="C89" s="6">
        <v>237.0</v>
      </c>
      <c r="D89" s="1" t="s">
        <v>170</v>
      </c>
    </row>
    <row r="90">
      <c r="A90" s="1">
        <v>1991.0</v>
      </c>
      <c r="B90" s="5">
        <v>2790.0</v>
      </c>
      <c r="C90" s="6">
        <v>222.0</v>
      </c>
      <c r="D90" s="1" t="s">
        <v>171</v>
      </c>
    </row>
    <row r="91">
      <c r="A91" s="1">
        <v>1991.0</v>
      </c>
      <c r="B91" s="5">
        <v>1996.0</v>
      </c>
      <c r="C91" s="6">
        <v>237.0</v>
      </c>
      <c r="D91" s="1" t="s">
        <v>172</v>
      </c>
    </row>
    <row r="92">
      <c r="A92" s="1">
        <v>1991.0</v>
      </c>
      <c r="B92" s="5">
        <v>2790.0</v>
      </c>
      <c r="C92" s="6">
        <v>275.0</v>
      </c>
      <c r="D92" s="1" t="s">
        <v>173</v>
      </c>
    </row>
    <row r="93">
      <c r="A93" s="1">
        <v>1991.0</v>
      </c>
      <c r="B93" s="5">
        <v>1996.0</v>
      </c>
      <c r="C93" s="6">
        <v>279.0</v>
      </c>
      <c r="D93" s="1" t="s">
        <v>174</v>
      </c>
    </row>
    <row r="94">
      <c r="A94" s="1">
        <v>1991.0</v>
      </c>
      <c r="B94" s="5">
        <v>1996.0</v>
      </c>
      <c r="C94" s="6">
        <v>242.0</v>
      </c>
      <c r="D94" s="1" t="s">
        <v>175</v>
      </c>
    </row>
    <row r="95">
      <c r="A95" s="1">
        <v>1991.0</v>
      </c>
      <c r="B95" s="5">
        <v>2790.0</v>
      </c>
      <c r="C95" s="6">
        <v>222.0</v>
      </c>
      <c r="D95" s="1" t="s">
        <v>176</v>
      </c>
    </row>
    <row r="96">
      <c r="A96" s="1">
        <v>1991.0</v>
      </c>
      <c r="B96" s="5">
        <v>1996.0</v>
      </c>
      <c r="C96" s="6">
        <v>237.0</v>
      </c>
      <c r="D96" s="1" t="s">
        <v>177</v>
      </c>
    </row>
    <row r="97">
      <c r="A97" s="1">
        <v>1992.0</v>
      </c>
      <c r="B97" s="5">
        <v>1996.0</v>
      </c>
      <c r="C97" s="6">
        <v>302.0</v>
      </c>
      <c r="D97" s="1" t="s">
        <v>178</v>
      </c>
    </row>
    <row r="98">
      <c r="A98" s="1">
        <v>1992.0</v>
      </c>
      <c r="B98" s="5">
        <v>1996.0</v>
      </c>
      <c r="C98" s="6">
        <v>302.0</v>
      </c>
      <c r="D98" s="1" t="s">
        <v>179</v>
      </c>
    </row>
    <row r="99">
      <c r="A99" s="1">
        <v>1993.0</v>
      </c>
      <c r="B99" s="5">
        <v>2790.0</v>
      </c>
      <c r="C99" s="6">
        <v>280.0</v>
      </c>
      <c r="D99" s="1" t="s">
        <v>180</v>
      </c>
    </row>
    <row r="100">
      <c r="A100" s="1">
        <v>1994.0</v>
      </c>
      <c r="B100" s="5">
        <v>1996.0</v>
      </c>
      <c r="C100" s="6">
        <v>283.0</v>
      </c>
      <c r="D100" s="1" t="s">
        <v>181</v>
      </c>
    </row>
    <row r="101">
      <c r="A101" s="1">
        <v>1994.0</v>
      </c>
      <c r="B101" s="5">
        <v>2790.0</v>
      </c>
      <c r="C101" s="6">
        <v>280.0</v>
      </c>
      <c r="D101" s="1" t="s">
        <v>182</v>
      </c>
    </row>
    <row r="102">
      <c r="A102" s="1">
        <v>1995.0</v>
      </c>
      <c r="B102" s="5">
        <v>1996.0</v>
      </c>
      <c r="C102" s="6">
        <v>325.0</v>
      </c>
      <c r="D102" s="1" t="s">
        <v>183</v>
      </c>
    </row>
    <row r="103">
      <c r="A103" s="1">
        <v>1996.0</v>
      </c>
      <c r="B103" s="5">
        <v>3217.0</v>
      </c>
      <c r="C103" s="6">
        <v>330.0</v>
      </c>
      <c r="D103" s="1" t="s">
        <v>184</v>
      </c>
    </row>
    <row r="104">
      <c r="A104" s="1">
        <v>1996.0</v>
      </c>
      <c r="B104" s="5">
        <v>1996.0</v>
      </c>
      <c r="C104" s="6">
        <v>302.0</v>
      </c>
      <c r="D104" s="1" t="s">
        <v>185</v>
      </c>
    </row>
    <row r="105">
      <c r="A105" s="1">
        <v>1998.0</v>
      </c>
      <c r="B105" s="5">
        <v>3217.0</v>
      </c>
      <c r="C105" s="6">
        <v>365.0</v>
      </c>
      <c r="D105" s="1" t="s">
        <v>186</v>
      </c>
    </row>
    <row r="106">
      <c r="A106" s="1">
        <v>1998.0</v>
      </c>
      <c r="B106" s="5">
        <v>2790.0</v>
      </c>
      <c r="C106" s="6">
        <v>276.0</v>
      </c>
      <c r="D106" s="1" t="s">
        <v>187</v>
      </c>
    </row>
    <row r="107">
      <c r="A107" s="1">
        <v>1998.0</v>
      </c>
      <c r="B107" s="5">
        <v>3217.0</v>
      </c>
      <c r="C107" s="6">
        <v>330.0</v>
      </c>
      <c r="D107" s="1" t="s">
        <v>188</v>
      </c>
    </row>
    <row r="108">
      <c r="A108" s="1">
        <v>1999.0</v>
      </c>
      <c r="B108" s="5">
        <v>3217.0</v>
      </c>
      <c r="C108" s="6">
        <v>365.0</v>
      </c>
      <c r="D108" s="1" t="s">
        <v>189</v>
      </c>
    </row>
    <row r="109">
      <c r="A109" s="1">
        <v>2002.0</v>
      </c>
      <c r="B109" s="5">
        <v>4244.0</v>
      </c>
      <c r="C109" s="6">
        <v>385.0</v>
      </c>
      <c r="D109" s="1" t="s">
        <v>190</v>
      </c>
    </row>
    <row r="110">
      <c r="A110" s="1">
        <v>2001.0</v>
      </c>
      <c r="B110" s="5">
        <v>4244.0</v>
      </c>
      <c r="C110" s="6">
        <v>385.0</v>
      </c>
      <c r="D110" s="1" t="s">
        <v>191</v>
      </c>
    </row>
    <row r="111">
      <c r="A111" s="1">
        <v>2004.0</v>
      </c>
      <c r="B111" s="5">
        <v>4244.0</v>
      </c>
      <c r="C111" s="6">
        <v>395.0</v>
      </c>
      <c r="D111" s="1" t="s">
        <v>192</v>
      </c>
    </row>
    <row r="112">
      <c r="A112" s="1">
        <v>2005.0</v>
      </c>
      <c r="B112" s="5">
        <v>4244.0</v>
      </c>
      <c r="C112" s="6">
        <v>395.0</v>
      </c>
      <c r="D112" s="1" t="s">
        <v>193</v>
      </c>
    </row>
    <row r="113">
      <c r="A113" s="1">
        <v>2003.0</v>
      </c>
      <c r="B113" s="5">
        <v>4244.0</v>
      </c>
      <c r="C113" s="6">
        <v>395.0</v>
      </c>
      <c r="D113" s="1" t="s">
        <v>194</v>
      </c>
    </row>
    <row r="114">
      <c r="A114" s="1">
        <v>2008.0</v>
      </c>
      <c r="B114" s="5">
        <v>4691.0</v>
      </c>
      <c r="C114" s="6">
        <v>424.0</v>
      </c>
      <c r="D114" s="1" t="s">
        <v>195</v>
      </c>
    </row>
    <row r="115">
      <c r="A115" s="1">
        <v>2004.0</v>
      </c>
      <c r="B115" s="5">
        <v>5998.0</v>
      </c>
      <c r="C115" s="6">
        <v>621.0</v>
      </c>
      <c r="D115" s="1" t="s">
        <v>196</v>
      </c>
    </row>
    <row r="116">
      <c r="A116" s="1">
        <v>2007.0</v>
      </c>
      <c r="B116" s="5">
        <v>4244.0</v>
      </c>
      <c r="C116" s="6">
        <v>399.0</v>
      </c>
      <c r="D116" s="1" t="s">
        <v>197</v>
      </c>
    </row>
    <row r="117">
      <c r="A117" s="1">
        <v>2008.0</v>
      </c>
      <c r="B117" s="5">
        <v>4691.0</v>
      </c>
      <c r="C117" s="6">
        <v>434.0</v>
      </c>
      <c r="D117" s="1" t="s">
        <v>198</v>
      </c>
    </row>
    <row r="118">
      <c r="A118" s="1">
        <v>2010.0</v>
      </c>
      <c r="B118" s="5">
        <v>4691.0</v>
      </c>
      <c r="C118" s="6">
        <v>434.0</v>
      </c>
      <c r="D118" s="1" t="s">
        <v>199</v>
      </c>
    </row>
    <row r="119">
      <c r="A119" s="1">
        <v>2013.0</v>
      </c>
      <c r="B119" s="5">
        <v>2979.0</v>
      </c>
      <c r="C119" s="6">
        <v>325.0</v>
      </c>
      <c r="D119" s="1" t="s">
        <v>200</v>
      </c>
    </row>
    <row r="120">
      <c r="A120" s="1">
        <v>2013.0</v>
      </c>
      <c r="B120" s="5">
        <v>2979.0</v>
      </c>
      <c r="C120" s="6">
        <v>404.0</v>
      </c>
      <c r="D120" s="1" t="s">
        <v>201</v>
      </c>
    </row>
    <row r="121">
      <c r="A121" s="1">
        <v>2013.0</v>
      </c>
      <c r="B121" s="5">
        <v>2987.0</v>
      </c>
      <c r="C121" s="6">
        <v>271.0</v>
      </c>
      <c r="D121" s="1" t="s">
        <v>202</v>
      </c>
    </row>
    <row r="122">
      <c r="A122" s="1">
        <v>2013.0</v>
      </c>
      <c r="B122" s="5">
        <v>2979.0</v>
      </c>
      <c r="C122" s="6">
        <v>404.0</v>
      </c>
      <c r="D122" s="1" t="s">
        <v>203</v>
      </c>
    </row>
    <row r="123">
      <c r="A123" s="1">
        <v>2013.0</v>
      </c>
      <c r="B123" s="5">
        <v>3798.0</v>
      </c>
      <c r="C123" s="6">
        <v>523.0</v>
      </c>
      <c r="D123" s="1" t="s">
        <v>204</v>
      </c>
    </row>
    <row r="124">
      <c r="A124" s="1">
        <v>2013.0</v>
      </c>
      <c r="B124" s="5">
        <v>2987.0</v>
      </c>
      <c r="C124" s="6">
        <v>271.0</v>
      </c>
      <c r="D124" s="1" t="s">
        <v>205</v>
      </c>
    </row>
    <row r="125">
      <c r="A125" s="1">
        <v>2016.0</v>
      </c>
      <c r="B125" s="5">
        <v>2992.0</v>
      </c>
      <c r="C125" s="4">
        <v>572.0</v>
      </c>
      <c r="D125" s="1" t="s">
        <v>206</v>
      </c>
    </row>
    <row r="126">
      <c r="A126" s="1">
        <v>2020.0</v>
      </c>
      <c r="B126" s="5">
        <v>2992.0</v>
      </c>
      <c r="C126" s="6">
        <v>621.0</v>
      </c>
      <c r="D126" s="1" t="s">
        <v>207</v>
      </c>
    </row>
    <row r="127">
      <c r="A127" s="1">
        <v>2022.0</v>
      </c>
      <c r="B127" s="5">
        <v>1995.0</v>
      </c>
      <c r="C127" s="6">
        <v>325.0</v>
      </c>
      <c r="D127" s="1" t="s">
        <v>208</v>
      </c>
    </row>
    <row r="128">
      <c r="A128" s="1">
        <v>2022.0</v>
      </c>
      <c r="B128" s="5">
        <v>1995.0</v>
      </c>
      <c r="C128" s="4">
        <v>325.0</v>
      </c>
      <c r="D128" s="1" t="s">
        <v>209</v>
      </c>
    </row>
    <row r="129">
      <c r="A129" s="1">
        <v>2022.0</v>
      </c>
      <c r="B129" s="5">
        <v>2992.0</v>
      </c>
      <c r="C129" s="6">
        <v>621.0</v>
      </c>
      <c r="D129" s="1" t="s">
        <v>210</v>
      </c>
    </row>
    <row r="130">
      <c r="A130" s="1">
        <v>2023.0</v>
      </c>
      <c r="B130" s="5">
        <v>2992.0</v>
      </c>
      <c r="C130" s="6">
        <v>621.0</v>
      </c>
      <c r="D130" s="1" t="s">
        <v>211</v>
      </c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conditionalFormatting sqref="B1:B1000">
    <cfRule type="notContainsBlanks" dxfId="0" priority="1">
      <formula>LEN(TRIM(B1))&gt;0</formula>
    </cfRule>
  </conditionalFormatting>
  <drawing r:id="rId1"/>
</worksheet>
</file>