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19416" windowHeight="10416" activeTab="1"/>
  </bookViews>
  <sheets>
    <sheet name="IFBA" sheetId="1" r:id="rId1"/>
    <sheet name="WABA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2" l="1"/>
  <c r="C4" i="2" s="1"/>
  <c r="D20" i="2"/>
  <c r="C24" i="2" l="1"/>
  <c r="C23" i="2"/>
  <c r="F23" i="2" s="1"/>
  <c r="D15" i="2"/>
  <c r="C15" i="2" s="1"/>
  <c r="D14" i="2"/>
  <c r="C14" i="2"/>
  <c r="G5" i="2"/>
  <c r="F5" i="2"/>
  <c r="E15" i="2"/>
  <c r="F25" i="2" l="1"/>
  <c r="F24" i="2"/>
  <c r="C25" i="2"/>
  <c r="C26" i="2" s="1"/>
  <c r="C27" i="2" s="1"/>
  <c r="C28" i="2" s="1"/>
  <c r="F32" i="1"/>
  <c r="G32" i="1" s="1"/>
  <c r="F5" i="1"/>
  <c r="D14" i="1" l="1"/>
  <c r="E17" i="1"/>
  <c r="E15" i="1"/>
  <c r="C15" i="1" s="1"/>
  <c r="C5" i="1" l="1"/>
  <c r="C4" i="1" s="1"/>
  <c r="D15" i="1"/>
  <c r="E16" i="1"/>
</calcChain>
</file>

<file path=xl/sharedStrings.xml><?xml version="1.0" encoding="utf-8"?>
<sst xmlns="http://schemas.openxmlformats.org/spreadsheetml/2006/main" count="67" uniqueCount="42">
  <si>
    <t>Isotope</t>
  </si>
  <si>
    <t>Atomic density, #/b/cm</t>
  </si>
  <si>
    <t>Material composition IFBA</t>
  </si>
  <si>
    <t>Geometrical arrangment</t>
  </si>
  <si>
    <t>Fuel</t>
  </si>
  <si>
    <t>Material</t>
  </si>
  <si>
    <t>Radius, cm</t>
  </si>
  <si>
    <t>IFBA</t>
  </si>
  <si>
    <t>gap</t>
  </si>
  <si>
    <t xml:space="preserve">clad </t>
  </si>
  <si>
    <t>water</t>
  </si>
  <si>
    <t>SquarePitch</t>
  </si>
  <si>
    <t>Radius, in</t>
  </si>
  <si>
    <t>Comment</t>
  </si>
  <si>
    <t>in2cm</t>
  </si>
  <si>
    <t>mil2cm</t>
  </si>
  <si>
    <t>mil</t>
  </si>
  <si>
    <t>Thickness, cm</t>
  </si>
  <si>
    <t>gr/mol</t>
  </si>
  <si>
    <t>avogadro</t>
  </si>
  <si>
    <t>mg/cm</t>
  </si>
  <si>
    <t>ifba</t>
  </si>
  <si>
    <t>mg/in</t>
  </si>
  <si>
    <t>fuel</t>
  </si>
  <si>
    <t>I Had the following case before: material compositions should give 2.5 mg/in</t>
  </si>
  <si>
    <t>PLEASE DON'T TOUCH - THIS IS A PREVIOUS CASE</t>
  </si>
  <si>
    <t>WABA</t>
  </si>
  <si>
    <t>Clad</t>
  </si>
  <si>
    <t>Al</t>
  </si>
  <si>
    <t>O</t>
  </si>
  <si>
    <t>C</t>
  </si>
  <si>
    <t>B-11</t>
  </si>
  <si>
    <t>Al2O3</t>
  </si>
  <si>
    <t>B4C</t>
  </si>
  <si>
    <t>Mix (0.86 al, 0.14 b4c)</t>
  </si>
  <si>
    <t>atomic frac</t>
  </si>
  <si>
    <t>n dens al2o3</t>
  </si>
  <si>
    <t>al</t>
  </si>
  <si>
    <t>o</t>
  </si>
  <si>
    <t>al2o3</t>
  </si>
  <si>
    <t>Material composition WABA</t>
  </si>
  <si>
    <t>B-10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</si>
</sst>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E+00"/>
    <numFmt numFmtId="165" formatCode="0.0000000"/>
    <numFmt numFmtId="166" formatCode="0.00000"/>
  </numFmts>
  <fonts count="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  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alibri  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64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1" fillId="4" borderId="3" xfId="0" applyFont="1" applyFill="1" applyBorder="1"/>
    <xf numFmtId="2" fontId="1" fillId="4" borderId="3" xfId="0" applyNumberFormat="1" applyFont="1" applyFill="1" applyBorder="1"/>
    <xf numFmtId="0" fontId="0" fillId="0" borderId="4" xfId="0" applyBorder="1"/>
    <xf numFmtId="0" fontId="0" fillId="0" borderId="10" xfId="0" applyBorder="1"/>
    <xf numFmtId="0" fontId="0" fillId="0" borderId="5" xfId="0" applyBorder="1"/>
    <xf numFmtId="0" fontId="0" fillId="3" borderId="0" xfId="0" applyFill="1" applyBorder="1"/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4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11" xfId="0" applyBorder="1"/>
    <xf numFmtId="0" fontId="1" fillId="0" borderId="10" xfId="0" applyFont="1" applyBorder="1"/>
    <xf numFmtId="0" fontId="3" fillId="0" borderId="0" xfId="0" applyFont="1"/>
    <xf numFmtId="0" fontId="0" fillId="0" borderId="0" xfId="0" applyFont="1" applyAlignment="1">
      <alignment horizontal="left"/>
    </xf>
    <xf numFmtId="165" fontId="0" fillId="0" borderId="0" xfId="0" applyNumberFormat="1" applyFont="1" applyAlignment="1">
      <alignment horizontal="left"/>
    </xf>
    <xf numFmtId="0" fontId="0" fillId="0" borderId="0" xfId="0" applyFont="1"/>
    <xf numFmtId="0" fontId="4" fillId="0" borderId="0" xfId="0" applyFont="1"/>
    <xf numFmtId="164" fontId="0" fillId="0" borderId="0" xfId="0" applyNumberFormat="1" applyFont="1"/>
    <xf numFmtId="0" fontId="0" fillId="0" borderId="12" xfId="0" applyFont="1" applyBorder="1" applyAlignment="1">
      <alignment horizontal="left"/>
    </xf>
    <xf numFmtId="166" fontId="6" fillId="0" borderId="14" xfId="0" applyNumberFormat="1" applyFont="1" applyBorder="1" applyAlignment="1">
      <alignment horizontal="right"/>
    </xf>
    <xf numFmtId="166" fontId="7" fillId="0" borderId="14" xfId="0" applyNumberFormat="1" applyFont="1" applyBorder="1" applyAlignment="1">
      <alignment horizontal="right"/>
    </xf>
    <xf numFmtId="166" fontId="8" fillId="0" borderId="15" xfId="0" applyNumberFormat="1" applyFont="1" applyBorder="1" applyAlignment="1">
      <alignment horizontal="right"/>
    </xf>
    <xf numFmtId="165" fontId="5" fillId="0" borderId="1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20" sqref="B20"/>
    </sheetView>
  </sheetViews>
  <sheetFormatPr defaultColWidth="15" defaultRowHeight="14.4"/>
  <sheetData>
    <row r="1" spans="2:11" ht="15" thickBot="1"/>
    <row r="2" spans="2:11" ht="15" thickBot="1">
      <c r="B2" s="2" t="s">
        <v>2</v>
      </c>
      <c r="C2" s="3"/>
      <c r="D2" s="4"/>
      <c r="J2" t="s">
        <v>14</v>
      </c>
      <c r="K2">
        <v>2.54</v>
      </c>
    </row>
    <row r="3" spans="2:11">
      <c r="B3" s="7" t="s">
        <v>0</v>
      </c>
      <c r="C3" s="7" t="s">
        <v>1</v>
      </c>
      <c r="D3" s="7"/>
      <c r="E3" s="9" t="s">
        <v>18</v>
      </c>
      <c r="F3" s="10" t="s">
        <v>20</v>
      </c>
      <c r="G3" s="11" t="s">
        <v>22</v>
      </c>
      <c r="J3" t="s">
        <v>15</v>
      </c>
      <c r="K3">
        <v>2.5400000000000002E-3</v>
      </c>
    </row>
    <row r="4" spans="2:11" ht="15" thickBot="1">
      <c r="B4">
        <v>40000</v>
      </c>
      <c r="C4" s="1">
        <f>C5/2</f>
        <v>1.0626529423042036E-2</v>
      </c>
      <c r="F4" s="12"/>
      <c r="G4" s="13"/>
      <c r="J4" t="s">
        <v>19</v>
      </c>
      <c r="K4">
        <v>0.60221408570000001</v>
      </c>
    </row>
    <row r="5" spans="2:11" ht="15" thickBot="1">
      <c r="B5">
        <v>5010</v>
      </c>
      <c r="C5" s="1">
        <f>F5/1000*K4/(E5*PI()*(C15^2-C14^2))</f>
        <v>2.1253058846084073E-2</v>
      </c>
      <c r="E5">
        <v>10.012937000000001</v>
      </c>
      <c r="F5" s="16">
        <f>G5/K2</f>
        <v>0.88582677165354329</v>
      </c>
      <c r="G5" s="17">
        <v>2.25</v>
      </c>
    </row>
    <row r="6" spans="2:11">
      <c r="C6" s="1"/>
    </row>
    <row r="7" spans="2:11">
      <c r="C7" s="1"/>
    </row>
    <row r="8" spans="2:11">
      <c r="C8" s="1"/>
    </row>
    <row r="9" spans="2:11">
      <c r="C9" s="1"/>
    </row>
    <row r="11" spans="2:11" ht="15" thickBot="1"/>
    <row r="12" spans="2:11" ht="15" thickBot="1">
      <c r="B12" s="2" t="s">
        <v>3</v>
      </c>
      <c r="C12" s="3"/>
      <c r="D12" s="3"/>
      <c r="E12" s="3"/>
      <c r="F12" s="4"/>
    </row>
    <row r="13" spans="2:11">
      <c r="B13" s="8" t="s">
        <v>5</v>
      </c>
      <c r="C13" s="8" t="s">
        <v>6</v>
      </c>
      <c r="D13" s="8" t="s">
        <v>12</v>
      </c>
      <c r="E13" s="8" t="s">
        <v>17</v>
      </c>
      <c r="F13" s="8" t="s">
        <v>13</v>
      </c>
    </row>
    <row r="14" spans="2:11">
      <c r="B14" s="5" t="s">
        <v>4</v>
      </c>
      <c r="C14" s="6">
        <v>0.39217600000000002</v>
      </c>
      <c r="D14" s="6">
        <f>C14/K2</f>
        <v>0.15440000000000001</v>
      </c>
      <c r="E14" s="6"/>
      <c r="F14" s="5"/>
    </row>
    <row r="15" spans="2:11">
      <c r="B15" s="5" t="s">
        <v>7</v>
      </c>
      <c r="C15" s="6">
        <f>C14+E15</f>
        <v>0.39319200000000004</v>
      </c>
      <c r="D15" s="6">
        <f>C15/K3</f>
        <v>154.80000000000001</v>
      </c>
      <c r="E15" s="6">
        <f>K3*F15</f>
        <v>1.0160000000000002E-3</v>
      </c>
      <c r="F15" s="5">
        <v>0.4</v>
      </c>
      <c r="G15" t="s">
        <v>16</v>
      </c>
    </row>
    <row r="16" spans="2:11">
      <c r="B16" s="5" t="s">
        <v>8</v>
      </c>
      <c r="C16" s="6">
        <v>0.40005000000000002</v>
      </c>
      <c r="D16" s="6">
        <v>0.315</v>
      </c>
      <c r="E16" s="6">
        <f>C16-C15</f>
        <v>6.8579999999999752E-3</v>
      </c>
      <c r="F16" s="5"/>
    </row>
    <row r="17" spans="1:11">
      <c r="B17" s="5" t="s">
        <v>9</v>
      </c>
      <c r="C17" s="6">
        <v>0.4572</v>
      </c>
      <c r="D17" s="6">
        <v>0.36</v>
      </c>
      <c r="E17" s="6">
        <f>C17-C16</f>
        <v>5.7149999999999979E-2</v>
      </c>
      <c r="F17" s="5"/>
    </row>
    <row r="18" spans="1:11">
      <c r="B18" s="5" t="s">
        <v>10</v>
      </c>
      <c r="C18" s="6">
        <v>21.503640000000001</v>
      </c>
      <c r="D18" s="6"/>
      <c r="E18" s="6"/>
      <c r="F18" s="5" t="s">
        <v>11</v>
      </c>
    </row>
    <row r="26" spans="1:11" ht="15" thickBot="1"/>
    <row r="27" spans="1:11">
      <c r="A27" s="19"/>
      <c r="B27" s="29" t="s">
        <v>25</v>
      </c>
      <c r="C27" s="29"/>
      <c r="D27" s="29"/>
      <c r="E27" s="20"/>
      <c r="F27" s="20"/>
      <c r="G27" s="20"/>
      <c r="H27" s="20"/>
      <c r="I27" s="20"/>
      <c r="J27" s="20"/>
      <c r="K27" s="21"/>
    </row>
    <row r="28" spans="1:11" ht="15" thickBot="1">
      <c r="A28" s="12"/>
      <c r="B28" s="22"/>
      <c r="C28" s="22" t="s">
        <v>24</v>
      </c>
      <c r="D28" s="22"/>
      <c r="E28" s="22"/>
      <c r="F28" s="22"/>
      <c r="G28" s="22"/>
      <c r="H28" s="22"/>
      <c r="I28" s="23"/>
      <c r="J28" s="23"/>
      <c r="K28" s="13"/>
    </row>
    <row r="29" spans="1:11" ht="15" thickBot="1">
      <c r="A29" s="12"/>
      <c r="B29" s="2" t="s">
        <v>2</v>
      </c>
      <c r="C29" s="3"/>
      <c r="D29" s="4"/>
      <c r="E29" s="23"/>
      <c r="F29" s="23"/>
      <c r="G29" s="23"/>
      <c r="H29" s="23"/>
      <c r="I29" s="23"/>
      <c r="J29" s="23" t="s">
        <v>14</v>
      </c>
      <c r="K29" s="13">
        <v>2.54</v>
      </c>
    </row>
    <row r="30" spans="1:11">
      <c r="A30" s="12"/>
      <c r="B30" s="24" t="s">
        <v>0</v>
      </c>
      <c r="C30" s="24" t="s">
        <v>1</v>
      </c>
      <c r="D30" s="24"/>
      <c r="E30" s="25" t="s">
        <v>18</v>
      </c>
      <c r="F30" s="10" t="s">
        <v>20</v>
      </c>
      <c r="G30" s="11" t="s">
        <v>22</v>
      </c>
      <c r="H30" s="23"/>
      <c r="I30" s="23"/>
      <c r="J30" s="23" t="s">
        <v>15</v>
      </c>
      <c r="K30" s="13">
        <v>2.5400000000000002E-3</v>
      </c>
    </row>
    <row r="31" spans="1:11" ht="15" thickBot="1">
      <c r="A31" s="12"/>
      <c r="B31" s="23">
        <v>40000</v>
      </c>
      <c r="C31" s="26">
        <v>7.7360205000000003E-3</v>
      </c>
      <c r="D31" s="26"/>
      <c r="E31" s="23"/>
      <c r="F31" s="12"/>
      <c r="G31" s="13"/>
      <c r="H31" s="23"/>
      <c r="I31" s="23"/>
      <c r="J31" s="23" t="s">
        <v>19</v>
      </c>
      <c r="K31" s="13">
        <v>0.60221408570000001</v>
      </c>
    </row>
    <row r="32" spans="1:11" ht="15" thickBot="1">
      <c r="A32" s="12"/>
      <c r="B32" s="23">
        <v>5010</v>
      </c>
      <c r="C32" s="26">
        <v>1.5472041000000001E-2</v>
      </c>
      <c r="D32" s="23"/>
      <c r="E32" s="23">
        <v>10.012937000000001</v>
      </c>
      <c r="F32" s="16">
        <f>1000*C32*PI()*(C36^2-C35^2)*E32/K4</f>
        <v>0.98232410186754016</v>
      </c>
      <c r="G32" s="18">
        <f>F32*K2</f>
        <v>2.495103218743552</v>
      </c>
      <c r="H32" s="23"/>
      <c r="I32" s="23"/>
      <c r="J32" s="23"/>
      <c r="K32" s="13"/>
    </row>
    <row r="33" spans="1:11">
      <c r="A33" s="12"/>
      <c r="B33" s="23"/>
      <c r="C33" s="23"/>
      <c r="D33" s="23"/>
      <c r="E33" s="23"/>
      <c r="F33" s="23"/>
      <c r="G33" s="23"/>
      <c r="H33" s="23"/>
      <c r="I33" s="23"/>
      <c r="J33" s="23"/>
      <c r="K33" s="13"/>
    </row>
    <row r="34" spans="1:11">
      <c r="A34" s="12"/>
      <c r="B34" s="23"/>
      <c r="C34" s="23"/>
      <c r="D34" s="23"/>
      <c r="E34" s="23"/>
      <c r="F34" s="23"/>
      <c r="G34" s="23"/>
      <c r="H34" s="23"/>
      <c r="I34" s="23"/>
      <c r="J34" s="23"/>
      <c r="K34" s="13"/>
    </row>
    <row r="35" spans="1:11">
      <c r="A35" s="12"/>
      <c r="B35" s="27" t="s">
        <v>23</v>
      </c>
      <c r="C35" s="27">
        <v>0.40440900000000002</v>
      </c>
      <c r="D35" s="23"/>
      <c r="E35" s="23"/>
      <c r="F35" s="23"/>
      <c r="G35" s="23"/>
      <c r="H35" s="23"/>
      <c r="I35" s="23"/>
      <c r="J35" s="23"/>
      <c r="K35" s="13"/>
    </row>
    <row r="36" spans="1:11">
      <c r="A36" s="12"/>
      <c r="B36" s="27" t="s">
        <v>21</v>
      </c>
      <c r="C36" s="27">
        <v>0.40590900000000002</v>
      </c>
      <c r="D36" s="23"/>
      <c r="E36" s="23"/>
      <c r="F36" s="23"/>
      <c r="G36" s="23"/>
      <c r="H36" s="23"/>
      <c r="I36" s="23"/>
      <c r="J36" s="23"/>
      <c r="K36" s="13"/>
    </row>
    <row r="37" spans="1:11" ht="15" thickBot="1">
      <c r="A37" s="14"/>
      <c r="B37" s="28"/>
      <c r="C37" s="28"/>
      <c r="D37" s="28"/>
      <c r="E37" s="28"/>
      <c r="F37" s="28"/>
      <c r="G37" s="28"/>
      <c r="H37" s="28"/>
      <c r="I37" s="28"/>
      <c r="J37" s="28"/>
      <c r="K37" s="1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Normal="100" workbookViewId="0">
      <selection activeCell="C5" sqref="C5"/>
    </sheetView>
  </sheetViews>
  <sheetFormatPr defaultColWidth="15" defaultRowHeight="14.4"/>
  <cols>
    <col min="2" max="2" width="18.88671875" customWidth="1"/>
  </cols>
  <sheetData>
    <row r="1" spans="2:11" ht="15" thickBot="1"/>
    <row r="2" spans="2:11" ht="15" thickBot="1">
      <c r="B2" s="2" t="s">
        <v>40</v>
      </c>
      <c r="C2" s="3"/>
      <c r="D2" s="4"/>
      <c r="J2" s="19" t="s">
        <v>14</v>
      </c>
      <c r="K2" s="21">
        <v>2.54</v>
      </c>
    </row>
    <row r="3" spans="2:11">
      <c r="B3" s="7" t="s">
        <v>0</v>
      </c>
      <c r="C3" s="7" t="s">
        <v>1</v>
      </c>
      <c r="D3" s="7"/>
      <c r="E3" s="9" t="s">
        <v>18</v>
      </c>
      <c r="F3" s="10" t="s">
        <v>20</v>
      </c>
      <c r="G3" s="11" t="s">
        <v>22</v>
      </c>
      <c r="J3" s="12" t="s">
        <v>15</v>
      </c>
      <c r="K3" s="13">
        <v>2.5400000000000002E-3</v>
      </c>
    </row>
    <row r="4" spans="2:11" ht="15" thickBot="1">
      <c r="B4">
        <v>6012</v>
      </c>
      <c r="C4" s="1">
        <f>C5/4</f>
        <v>7.1093465228392965E-4</v>
      </c>
      <c r="F4" s="12"/>
      <c r="G4" s="13"/>
      <c r="J4" s="14" t="s">
        <v>19</v>
      </c>
      <c r="K4" s="15">
        <v>0.60221408570000001</v>
      </c>
    </row>
    <row r="5" spans="2:11" ht="15" thickBot="1">
      <c r="B5">
        <v>5010</v>
      </c>
      <c r="C5" s="1">
        <f>F5/1000*K4/(E5*PI()*(C15^2-C14^2))</f>
        <v>2.8437386091357186E-3</v>
      </c>
      <c r="E5">
        <v>10.012937000000001</v>
      </c>
      <c r="F5" s="16">
        <f>G5/K2</f>
        <v>6.03</v>
      </c>
      <c r="G5" s="17">
        <f>6.03*2.54</f>
        <v>15.3162</v>
      </c>
    </row>
    <row r="6" spans="2:11">
      <c r="C6" s="1"/>
    </row>
    <row r="7" spans="2:11">
      <c r="C7" s="1"/>
    </row>
    <row r="8" spans="2:11">
      <c r="C8" s="1"/>
    </row>
    <row r="9" spans="2:11">
      <c r="C9" s="1"/>
    </row>
    <row r="11" spans="2:11" ht="15" thickBot="1"/>
    <row r="12" spans="2:11" ht="15" thickBot="1">
      <c r="B12" s="2" t="s">
        <v>3</v>
      </c>
      <c r="C12" s="3"/>
      <c r="D12" s="3"/>
      <c r="E12" s="3"/>
      <c r="F12" s="4"/>
    </row>
    <row r="13" spans="2:11">
      <c r="B13" s="8" t="s">
        <v>5</v>
      </c>
      <c r="C13" s="8" t="s">
        <v>6</v>
      </c>
      <c r="D13" s="8" t="s">
        <v>12</v>
      </c>
      <c r="E13" s="8" t="s">
        <v>17</v>
      </c>
      <c r="F13" s="8" t="s">
        <v>13</v>
      </c>
    </row>
    <row r="14" spans="2:11">
      <c r="B14" s="31" t="s">
        <v>27</v>
      </c>
      <c r="C14" s="32">
        <f>D14*2.54</f>
        <v>0.35001200000000005</v>
      </c>
      <c r="D14" s="32">
        <f>0.2756/2</f>
        <v>0.13780000000000001</v>
      </c>
      <c r="E14" s="32"/>
      <c r="F14" s="31"/>
    </row>
    <row r="15" spans="2:11" ht="15" thickBot="1">
      <c r="B15" s="31" t="s">
        <v>26</v>
      </c>
      <c r="C15" s="32">
        <f>D15*2.54</f>
        <v>0.40386</v>
      </c>
      <c r="D15" s="32">
        <f>0.318/2</f>
        <v>0.159</v>
      </c>
      <c r="E15" s="32">
        <f>K3*F15</f>
        <v>1.0160000000000002E-3</v>
      </c>
      <c r="F15" s="31">
        <v>0.4</v>
      </c>
      <c r="G15" t="s">
        <v>16</v>
      </c>
    </row>
    <row r="16" spans="2:11">
      <c r="B16" s="31"/>
      <c r="C16" s="40" t="s">
        <v>18</v>
      </c>
      <c r="D16" s="32"/>
      <c r="E16" s="32"/>
      <c r="F16" s="31"/>
      <c r="H16" s="31"/>
      <c r="I16" s="30"/>
      <c r="J16" s="32"/>
      <c r="K16" s="32"/>
    </row>
    <row r="17" spans="1:11">
      <c r="B17" s="36" t="s">
        <v>28</v>
      </c>
      <c r="C17" s="37">
        <v>26.981538626999999</v>
      </c>
      <c r="D17" s="32"/>
      <c r="E17" s="32"/>
      <c r="F17" s="31"/>
      <c r="H17" s="31"/>
      <c r="I17" s="32"/>
      <c r="J17" s="32"/>
      <c r="K17" s="32"/>
    </row>
    <row r="18" spans="1:11">
      <c r="B18" s="36" t="s">
        <v>29</v>
      </c>
      <c r="C18" s="38">
        <v>15.9999</v>
      </c>
      <c r="D18" s="32"/>
      <c r="E18" s="32"/>
      <c r="F18" s="31"/>
      <c r="H18" s="31"/>
      <c r="I18" s="33"/>
      <c r="J18" s="33"/>
      <c r="K18" s="33"/>
    </row>
    <row r="19" spans="1:11">
      <c r="B19" s="36" t="s">
        <v>30</v>
      </c>
      <c r="C19" s="38">
        <v>12</v>
      </c>
      <c r="D19" s="33"/>
      <c r="E19" s="33"/>
      <c r="F19" s="33"/>
      <c r="H19" s="31"/>
      <c r="I19" s="32"/>
      <c r="J19" s="33"/>
      <c r="K19" s="33"/>
    </row>
    <row r="20" spans="1:11">
      <c r="B20" s="36" t="s">
        <v>41</v>
      </c>
      <c r="C20" s="38">
        <v>10.012936992</v>
      </c>
      <c r="D20" s="33">
        <f>0.199*C20 + (1-0.199)*C21</f>
        <v>10.811028091613998</v>
      </c>
      <c r="E20" s="33"/>
      <c r="F20" s="33"/>
      <c r="H20" s="31"/>
      <c r="I20" s="34"/>
      <c r="J20" s="33"/>
      <c r="K20" s="33"/>
    </row>
    <row r="21" spans="1:11" ht="15" thickBot="1">
      <c r="B21" s="36" t="s">
        <v>31</v>
      </c>
      <c r="C21" s="39">
        <v>11.009305405999999</v>
      </c>
      <c r="D21" s="33"/>
      <c r="E21" s="33"/>
      <c r="F21" s="33"/>
    </row>
    <row r="22" spans="1:11">
      <c r="B22" s="33"/>
      <c r="C22" s="33"/>
      <c r="D22" s="33"/>
      <c r="E22" s="33"/>
      <c r="F22" s="33"/>
    </row>
    <row r="23" spans="1:11">
      <c r="B23" s="31" t="s">
        <v>32</v>
      </c>
      <c r="C23" s="33">
        <f>2*C17 + 3*C18</f>
        <v>101.962777254</v>
      </c>
      <c r="D23" s="33"/>
      <c r="E23" s="33" t="s">
        <v>39</v>
      </c>
      <c r="F23" s="33">
        <f>(0.86*0.95*3.95*0.6022)/C23</f>
        <v>1.905979596023372E-2</v>
      </c>
    </row>
    <row r="24" spans="1:11">
      <c r="B24" s="31" t="s">
        <v>33</v>
      </c>
      <c r="C24" s="33">
        <f>4*D20 + C19</f>
        <v>55.244112366455994</v>
      </c>
      <c r="D24" s="33"/>
      <c r="E24" s="33" t="s">
        <v>37</v>
      </c>
      <c r="F24" s="33">
        <f>2*F23</f>
        <v>3.811959192046744E-2</v>
      </c>
    </row>
    <row r="25" spans="1:11">
      <c r="B25" s="31" t="s">
        <v>34</v>
      </c>
      <c r="C25" s="33">
        <f>(0.86/C23 + 0.14/C24)^-1</f>
        <v>91.168862250742151</v>
      </c>
      <c r="D25" s="33"/>
      <c r="E25" s="33" t="s">
        <v>38</v>
      </c>
      <c r="F25" s="33">
        <f>3*F23</f>
        <v>5.7179387880701163E-2</v>
      </c>
    </row>
    <row r="26" spans="1:11">
      <c r="B26" s="31" t="s">
        <v>35</v>
      </c>
      <c r="C26" s="33">
        <f>0.86*(C23/C25)</f>
        <v>0.96181948829493247</v>
      </c>
      <c r="D26" s="33"/>
      <c r="E26" s="33"/>
      <c r="F26" s="33"/>
    </row>
    <row r="27" spans="1:11">
      <c r="B27" s="31" t="s">
        <v>36</v>
      </c>
      <c r="C27" s="35">
        <f>SUM(C4:C5)/(1-C26)</f>
        <v>9.3101771104546302E-2</v>
      </c>
      <c r="D27" s="33"/>
      <c r="E27" s="33"/>
      <c r="F27" s="33"/>
    </row>
    <row r="28" spans="1:11" ht="15" thickBot="1">
      <c r="B28" s="33"/>
      <c r="C28" s="35">
        <f>C27/(C27+SUM(C4:C5))</f>
        <v>0.96322362895989899</v>
      </c>
      <c r="D28" s="33"/>
      <c r="E28" s="33"/>
      <c r="F28" s="33"/>
    </row>
    <row r="29" spans="1:11">
      <c r="A29" s="19"/>
      <c r="B29" s="29"/>
      <c r="C29" s="29"/>
      <c r="D29" s="29"/>
      <c r="E29" s="20"/>
      <c r="F29" s="20"/>
      <c r="G29" s="20"/>
      <c r="H29" s="20"/>
      <c r="I29" s="20"/>
      <c r="J29" s="20"/>
      <c r="K29" s="21"/>
    </row>
    <row r="30" spans="1:11" ht="15" thickBot="1">
      <c r="A30" s="12"/>
      <c r="B30" s="22"/>
      <c r="C30" s="22"/>
      <c r="D30" s="22"/>
      <c r="E30" s="22"/>
      <c r="F30" s="22"/>
      <c r="G30" s="22"/>
      <c r="H30" s="22"/>
      <c r="I30" s="23"/>
      <c r="J30" s="23"/>
      <c r="K30" s="13"/>
    </row>
    <row r="31" spans="1:11" ht="15" thickBot="1">
      <c r="A31" s="12"/>
      <c r="B31" s="2"/>
      <c r="C31" s="3"/>
      <c r="D31" s="4"/>
      <c r="E31" s="23"/>
      <c r="F31" s="23"/>
      <c r="G31" s="23"/>
      <c r="H31" s="23"/>
      <c r="I31" s="23"/>
      <c r="J31" s="23"/>
      <c r="K31" s="13"/>
    </row>
    <row r="32" spans="1:11">
      <c r="A32" s="12"/>
      <c r="B32" s="24"/>
      <c r="C32" s="24"/>
      <c r="D32" s="24"/>
      <c r="E32" s="25"/>
      <c r="F32" s="10"/>
      <c r="G32" s="11"/>
      <c r="H32" s="23"/>
      <c r="I32" s="23"/>
      <c r="J32" s="23"/>
      <c r="K32" s="13"/>
    </row>
    <row r="33" spans="1:11" ht="15" thickBot="1">
      <c r="A33" s="12"/>
      <c r="B33" s="23"/>
      <c r="C33" s="26"/>
      <c r="D33" s="26"/>
      <c r="E33" s="23"/>
      <c r="F33" s="12"/>
      <c r="G33" s="13"/>
      <c r="H33" s="23"/>
      <c r="I33" s="23"/>
      <c r="J33" s="23"/>
      <c r="K33" s="13"/>
    </row>
    <row r="34" spans="1:11" ht="15" thickBot="1">
      <c r="A34" s="12"/>
      <c r="B34" s="23"/>
      <c r="C34" s="26"/>
      <c r="D34" s="23"/>
      <c r="E34" s="23"/>
      <c r="F34" s="16"/>
      <c r="G34" s="18"/>
      <c r="H34" s="23"/>
      <c r="I34" s="23"/>
      <c r="J34" s="23"/>
      <c r="K34" s="13"/>
    </row>
    <row r="35" spans="1:11">
      <c r="A35" s="12"/>
      <c r="B35" s="23"/>
      <c r="C35" s="23"/>
      <c r="D35" s="23"/>
      <c r="E35" s="23"/>
      <c r="F35" s="23"/>
      <c r="G35" s="23"/>
      <c r="H35" s="23"/>
      <c r="I35" s="23"/>
      <c r="J35" s="23"/>
      <c r="K35" s="13"/>
    </row>
    <row r="36" spans="1:11">
      <c r="A36" s="12"/>
      <c r="B36" s="23"/>
      <c r="C36" s="23"/>
      <c r="D36" s="23"/>
      <c r="E36" s="23"/>
      <c r="F36" s="23"/>
      <c r="G36" s="23"/>
      <c r="H36" s="23"/>
      <c r="I36" s="23"/>
      <c r="J36" s="23"/>
      <c r="K36" s="13"/>
    </row>
    <row r="37" spans="1:11">
      <c r="A37" s="12"/>
      <c r="B37" s="27"/>
      <c r="C37" s="27"/>
      <c r="D37" s="23"/>
      <c r="E37" s="23"/>
      <c r="F37" s="23"/>
      <c r="G37" s="23"/>
      <c r="H37" s="23"/>
      <c r="I37" s="23"/>
      <c r="J37" s="23"/>
      <c r="K37" s="13"/>
    </row>
    <row r="38" spans="1:11">
      <c r="A38" s="12"/>
      <c r="B38" s="27"/>
      <c r="C38" s="27"/>
      <c r="D38" s="23"/>
      <c r="E38" s="23"/>
      <c r="F38" s="23"/>
      <c r="G38" s="23"/>
      <c r="H38" s="23"/>
      <c r="I38" s="23"/>
      <c r="J38" s="23"/>
      <c r="K38" s="13"/>
    </row>
    <row r="39" spans="1:11" ht="15" thickBot="1">
      <c r="A39" s="14"/>
      <c r="B39" s="28"/>
      <c r="C39" s="28"/>
      <c r="D39" s="28"/>
      <c r="E39" s="28"/>
      <c r="F39" s="28"/>
      <c r="G39" s="28"/>
      <c r="H39" s="28"/>
      <c r="I39" s="28"/>
      <c r="J39" s="28"/>
      <c r="K39" s="15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IFBA</vt:lpstr>
      <vt:lpstr>WABA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2019-11-09T11:57:13Z</dcterms:modified>
</cp:coreProperties>
</file>