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loutrel\Documents\Goodfood\"/>
    </mc:Choice>
  </mc:AlternateContent>
  <xr:revisionPtr revIDLastSave="0" documentId="13_ncr:1_{B02DB40A-905F-4771-AE04-5F12D029F7B7}" xr6:coauthVersionLast="44" xr6:coauthVersionMax="44" xr10:uidLastSave="{00000000-0000-0000-0000-000000000000}"/>
  <bookViews>
    <workbookView xWindow="-13700" yWindow="-16310" windowWidth="29020" windowHeight="15820" tabRatio="886" activeTab="1" xr2:uid="{CFE333F9-D0B0-4715-85BC-A2E27350A00B}"/>
  </bookViews>
  <sheets>
    <sheet name="Bull-Bear" sheetId="15" r:id="rId1"/>
    <sheet name="Model" sheetId="12" r:id="rId2"/>
    <sheet name="BS" sheetId="13" r:id="rId3"/>
    <sheet name="Comparable" sheetId="10" r:id="rId4"/>
  </sheets>
  <definedNames>
    <definedName name="ID" localSheetId="3" hidden="1">"a1ff2f57-9f23-4d65-9937-9906668cd0dd"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Z17" i="10" l="1"/>
  <c r="AI26" i="12" l="1"/>
  <c r="K33" i="12"/>
  <c r="K26" i="12"/>
  <c r="AE26" i="12" s="1"/>
  <c r="AF26" i="12" s="1"/>
  <c r="AG26" i="12" s="1"/>
  <c r="AH26" i="12" s="1"/>
  <c r="K11" i="12" l="1"/>
  <c r="K10" i="12"/>
  <c r="K9" i="12"/>
  <c r="M34" i="13"/>
  <c r="AJ40" i="12" l="1"/>
  <c r="AK40" i="12" s="1"/>
  <c r="AL40" i="12" s="1"/>
  <c r="AM40" i="12" s="1"/>
  <c r="AN40" i="12" s="1"/>
  <c r="AO40" i="12" s="1"/>
  <c r="AJ2" i="12"/>
  <c r="AK2" i="12" s="1"/>
  <c r="AL2" i="12" s="1"/>
  <c r="AM2" i="12" s="1"/>
  <c r="AN2" i="12" s="1"/>
  <c r="X40" i="12"/>
  <c r="Y40" i="12" s="1"/>
  <c r="Z40" i="12" s="1"/>
  <c r="AA40" i="12" s="1"/>
  <c r="AB40" i="12" s="1"/>
  <c r="AC40" i="12" s="1"/>
  <c r="X2" i="12"/>
  <c r="Y2" i="12" s="1"/>
  <c r="Z2" i="12" s="1"/>
  <c r="AA2" i="12" s="1"/>
  <c r="AB2" i="12" s="1"/>
  <c r="E56" i="12"/>
  <c r="L33" i="12"/>
  <c r="M33" i="12" s="1"/>
  <c r="N33" i="12" s="1"/>
  <c r="O33" i="12" s="1"/>
  <c r="P33" i="12" s="1"/>
  <c r="Q33" i="12" s="1"/>
  <c r="L2" i="12"/>
  <c r="M2" i="12" s="1"/>
  <c r="N2" i="12" s="1"/>
  <c r="O2" i="12" s="1"/>
  <c r="P2" i="12" s="1"/>
  <c r="W4" i="12" l="1"/>
  <c r="S4" i="12" s="1"/>
  <c r="T4" i="12" s="1"/>
  <c r="U4" i="12" s="1"/>
  <c r="V4" i="12" s="1"/>
  <c r="AI33" i="12"/>
  <c r="AJ33" i="12" s="1"/>
  <c r="AI30" i="12"/>
  <c r="AJ30" i="12" s="1"/>
  <c r="AK30" i="12" s="1"/>
  <c r="AL30" i="12" s="1"/>
  <c r="AM30" i="12" s="1"/>
  <c r="AN30" i="12" s="1"/>
  <c r="AO30" i="12" s="1"/>
  <c r="AI16" i="12"/>
  <c r="AI11" i="12"/>
  <c r="AI10" i="12"/>
  <c r="AI4" i="12"/>
  <c r="AE4" i="12" s="1"/>
  <c r="AF4" i="12" s="1"/>
  <c r="AG4" i="12" s="1"/>
  <c r="AH4" i="12" s="1"/>
  <c r="W33" i="12"/>
  <c r="X33" i="12" s="1"/>
  <c r="W30" i="12"/>
  <c r="X30" i="12" s="1"/>
  <c r="Y30" i="12" s="1"/>
  <c r="Z30" i="12" s="1"/>
  <c r="AA30" i="12" s="1"/>
  <c r="AB30" i="12" s="1"/>
  <c r="AC30" i="12" s="1"/>
  <c r="W26" i="12"/>
  <c r="W11" i="12"/>
  <c r="W10" i="12"/>
  <c r="W16" i="12"/>
  <c r="C17" i="15"/>
  <c r="AK33" i="12" l="1"/>
  <c r="Y33" i="12"/>
  <c r="S26" i="12"/>
  <c r="AL33" i="12" l="1"/>
  <c r="Z33" i="12"/>
  <c r="AA33" i="12" s="1"/>
  <c r="C11" i="15"/>
  <c r="E10" i="15"/>
  <c r="K16" i="12" s="1"/>
  <c r="C9" i="15"/>
  <c r="G26" i="12"/>
  <c r="AM33" i="12" l="1"/>
  <c r="AB33" i="12"/>
  <c r="H26" i="12"/>
  <c r="T26" i="12"/>
  <c r="C6" i="15"/>
  <c r="E59" i="12"/>
  <c r="AN33" i="12" l="1"/>
  <c r="AC33" i="12"/>
  <c r="I26" i="12"/>
  <c r="U26" i="12"/>
  <c r="AO33" i="12" l="1"/>
  <c r="J26" i="12"/>
  <c r="V26" i="12"/>
  <c r="E61" i="12" l="1"/>
  <c r="G40" i="12"/>
  <c r="H40" i="12" s="1"/>
  <c r="I40" i="12" s="1"/>
  <c r="J40" i="12" s="1"/>
  <c r="K40" i="12" s="1"/>
  <c r="L40" i="12" s="1"/>
  <c r="M40" i="12" s="1"/>
  <c r="N40" i="12" s="1"/>
  <c r="O40" i="12" s="1"/>
  <c r="P40" i="12" s="1"/>
  <c r="Q40" i="12" s="1"/>
  <c r="S16" i="13"/>
  <c r="S17" i="13"/>
  <c r="T17" i="13" s="1"/>
  <c r="C28" i="15"/>
  <c r="C25" i="15"/>
  <c r="G12" i="13"/>
  <c r="H12" i="13" s="1"/>
  <c r="I12" i="13" s="1"/>
  <c r="J12" i="13" s="1"/>
  <c r="K12" i="13" s="1"/>
  <c r="S8" i="13"/>
  <c r="S4" i="13"/>
  <c r="S3" i="13"/>
  <c r="S5" i="13" s="1"/>
  <c r="E41" i="13"/>
  <c r="E42" i="13" s="1"/>
  <c r="F41" i="13"/>
  <c r="F42" i="13" s="1"/>
  <c r="E35" i="13"/>
  <c r="F35" i="13"/>
  <c r="E30" i="13"/>
  <c r="F30" i="13"/>
  <c r="E17" i="13"/>
  <c r="E20" i="13" s="1"/>
  <c r="F15" i="13"/>
  <c r="F17" i="13" s="1"/>
  <c r="F20" i="13" s="1"/>
  <c r="E6" i="13"/>
  <c r="E11" i="13" s="1"/>
  <c r="F6" i="13"/>
  <c r="F11" i="13" s="1"/>
  <c r="E57" i="12" l="1"/>
  <c r="S18" i="13"/>
  <c r="C29" i="15"/>
  <c r="E36" i="13"/>
  <c r="E43" i="13" s="1"/>
  <c r="E21" i="13"/>
  <c r="S7" i="13"/>
  <c r="S9" i="13" s="1"/>
  <c r="F36" i="13"/>
  <c r="F43" i="13" s="1"/>
  <c r="F21" i="13"/>
  <c r="E58" i="12" l="1"/>
  <c r="E54" i="12" s="1"/>
  <c r="C23" i="15" l="1"/>
  <c r="C32" i="15" l="1"/>
  <c r="AE16" i="12"/>
  <c r="AF16" i="12" s="1"/>
  <c r="AG16" i="12" s="1"/>
  <c r="AH16" i="12" s="1"/>
  <c r="S16" i="12"/>
  <c r="T16" i="12" s="1"/>
  <c r="U16" i="12" s="1"/>
  <c r="V16" i="12" s="1"/>
  <c r="G16" i="12"/>
  <c r="H16" i="12" s="1"/>
  <c r="I16" i="12" s="1"/>
  <c r="J16" i="12" s="1"/>
  <c r="C20" i="15"/>
  <c r="C19" i="15"/>
  <c r="G3" i="12"/>
  <c r="C21" i="15" l="1"/>
  <c r="T16" i="13"/>
  <c r="H3" i="12"/>
  <c r="AI17" i="12"/>
  <c r="AE17" i="12" s="1"/>
  <c r="AF17" i="12" s="1"/>
  <c r="AG17" i="12" s="1"/>
  <c r="AH17" i="12" s="1"/>
  <c r="W17" i="12"/>
  <c r="K17" i="12"/>
  <c r="C18" i="15"/>
  <c r="C13" i="15"/>
  <c r="S20" i="13"/>
  <c r="I3" i="12" l="1"/>
  <c r="C8" i="15"/>
  <c r="S11" i="12"/>
  <c r="AE11" i="12"/>
  <c r="AE33" i="12"/>
  <c r="S33" i="12"/>
  <c r="T33" i="12" s="1"/>
  <c r="G17" i="12"/>
  <c r="H17" i="12" s="1"/>
  <c r="I17" i="12" s="1"/>
  <c r="J17" i="12" s="1"/>
  <c r="S17" i="12"/>
  <c r="T17" i="12" s="1"/>
  <c r="U17" i="12" s="1"/>
  <c r="V17" i="12" s="1"/>
  <c r="C7" i="15"/>
  <c r="S10" i="12"/>
  <c r="AE10" i="12"/>
  <c r="C22" i="15"/>
  <c r="C24" i="15"/>
  <c r="AF10" i="12" l="1"/>
  <c r="J3" i="12"/>
  <c r="AF11" i="12"/>
  <c r="T10" i="12"/>
  <c r="U33" i="12"/>
  <c r="AF33" i="12"/>
  <c r="S30" i="12"/>
  <c r="T30" i="12" s="1"/>
  <c r="AE30" i="12"/>
  <c r="AF30" i="12" s="1"/>
  <c r="T18" i="13"/>
  <c r="C12" i="15"/>
  <c r="AG10" i="12" l="1"/>
  <c r="C26" i="15"/>
  <c r="K3" i="12"/>
  <c r="U10" i="12"/>
  <c r="AG11" i="12"/>
  <c r="AG33" i="12"/>
  <c r="AG30" i="12"/>
  <c r="U30" i="12"/>
  <c r="V33" i="12"/>
  <c r="C30" i="15"/>
  <c r="AH10" i="12" l="1"/>
  <c r="C31" i="15"/>
  <c r="S3" i="12"/>
  <c r="AH11" i="12"/>
  <c r="V10" i="12"/>
  <c r="AH30" i="12"/>
  <c r="V30" i="12"/>
  <c r="AH33" i="12"/>
  <c r="C27" i="15"/>
  <c r="T3" i="12" l="1"/>
  <c r="S6" i="12"/>
  <c r="S7" i="12"/>
  <c r="S18" i="12" l="1"/>
  <c r="S5" i="12"/>
  <c r="S20" i="12"/>
  <c r="U3" i="12"/>
  <c r="T6" i="12"/>
  <c r="T7" i="12"/>
  <c r="V3" i="12" l="1"/>
  <c r="U6" i="12"/>
  <c r="U7" i="12"/>
  <c r="T8" i="12"/>
  <c r="T18" i="12"/>
  <c r="T5" i="12"/>
  <c r="U5" i="12" l="1"/>
  <c r="U8" i="12"/>
  <c r="U18" i="12"/>
  <c r="W3" i="12"/>
  <c r="V7" i="12"/>
  <c r="V6" i="12"/>
  <c r="AE3" i="12" l="1"/>
  <c r="W6" i="12"/>
  <c r="W7" i="12"/>
  <c r="V8" i="12"/>
  <c r="V18" i="12"/>
  <c r="V5" i="12"/>
  <c r="W18" i="12" l="1"/>
  <c r="W8" i="12"/>
  <c r="W5" i="12"/>
  <c r="W20" i="12"/>
  <c r="AF3" i="12"/>
  <c r="AE6" i="12"/>
  <c r="AE7" i="12"/>
  <c r="S15" i="12"/>
  <c r="S22" i="12" s="1"/>
  <c r="AE8" i="12" l="1"/>
  <c r="AE18" i="12"/>
  <c r="W14" i="12"/>
  <c r="D17" i="15"/>
  <c r="H17" i="15" s="1"/>
  <c r="AE5" i="12"/>
  <c r="AE20" i="12"/>
  <c r="AE15" i="12" s="1"/>
  <c r="AE22" i="12" s="1"/>
  <c r="AG3" i="12"/>
  <c r="AF7" i="12"/>
  <c r="AF6" i="12"/>
  <c r="AF20" i="12" s="1"/>
  <c r="D18" i="15"/>
  <c r="H18" i="15" s="1"/>
  <c r="W15" i="12"/>
  <c r="W22" i="12" s="1"/>
  <c r="W24" i="12" s="1"/>
  <c r="W19" i="12" s="1"/>
  <c r="D20" i="15"/>
  <c r="H20" i="15" s="1"/>
  <c r="W27" i="12"/>
  <c r="W25" i="12"/>
  <c r="W21" i="12" l="1"/>
  <c r="AF8" i="12"/>
  <c r="AF18" i="12"/>
  <c r="AF5" i="12"/>
  <c r="AH3" i="12"/>
  <c r="AG7" i="12"/>
  <c r="AG6" i="12"/>
  <c r="AG20" i="12" s="1"/>
  <c r="D21" i="15"/>
  <c r="H21" i="15" s="1"/>
  <c r="W29" i="12"/>
  <c r="D19" i="15"/>
  <c r="W12" i="12"/>
  <c r="D32" i="15" s="1"/>
  <c r="H32" i="15" s="1"/>
  <c r="AG8" i="12" l="1"/>
  <c r="AG18" i="12"/>
  <c r="D22" i="15"/>
  <c r="H22" i="15" s="1"/>
  <c r="AG5" i="12"/>
  <c r="W23" i="12"/>
  <c r="AI3" i="12"/>
  <c r="AH6" i="12"/>
  <c r="AH20" i="12" s="1"/>
  <c r="AH7" i="12"/>
  <c r="AF15" i="12"/>
  <c r="AF22" i="12" s="1"/>
  <c r="AH8" i="12" l="1"/>
  <c r="AH18" i="12"/>
  <c r="AH5" i="12"/>
  <c r="AI6" i="12"/>
  <c r="AI7" i="12"/>
  <c r="AG15" i="12"/>
  <c r="AG22" i="12" s="1"/>
  <c r="AI18" i="12" l="1"/>
  <c r="AI8" i="12"/>
  <c r="AI20" i="12"/>
  <c r="AI5" i="12"/>
  <c r="AH15" i="12"/>
  <c r="AH22" i="12" s="1"/>
  <c r="F17" i="15" l="1"/>
  <c r="J17" i="15" s="1"/>
  <c r="AI14" i="12"/>
  <c r="F18" i="15"/>
  <c r="J18" i="15" s="1"/>
  <c r="AI15" i="12"/>
  <c r="AI22" i="12" s="1"/>
  <c r="AI24" i="12" s="1"/>
  <c r="AI25" i="12" l="1"/>
  <c r="AI36" i="12" s="1"/>
  <c r="AI27" i="12"/>
  <c r="AI29" i="12" s="1"/>
  <c r="AI21" i="12"/>
  <c r="F20" i="15"/>
  <c r="J20" i="15" s="1"/>
  <c r="AI19" i="12"/>
  <c r="F19" i="15"/>
  <c r="AI12" i="12"/>
  <c r="F32" i="15" s="1"/>
  <c r="J32" i="15" s="1"/>
  <c r="F21" i="15"/>
  <c r="J21" i="15" s="1"/>
  <c r="AI46" i="12" l="1"/>
  <c r="F30" i="15" s="1"/>
  <c r="J30" i="15" s="1"/>
  <c r="F25" i="15"/>
  <c r="J25" i="15" s="1"/>
  <c r="F22" i="15"/>
  <c r="J22" i="15" s="1"/>
  <c r="AI23" i="12"/>
  <c r="G11" i="12"/>
  <c r="H11" i="12" l="1"/>
  <c r="T11" i="12"/>
  <c r="T20" i="12" s="1"/>
  <c r="G33" i="12"/>
  <c r="H33" i="12" s="1"/>
  <c r="I33" i="12" s="1"/>
  <c r="T15" i="12" l="1"/>
  <c r="T22" i="12" s="1"/>
  <c r="T24" i="12" s="1"/>
  <c r="I11" i="12"/>
  <c r="U11" i="12"/>
  <c r="U20" i="12" s="1"/>
  <c r="J33" i="12"/>
  <c r="T25" i="12" l="1"/>
  <c r="T27" i="12"/>
  <c r="T21" i="12"/>
  <c r="U15" i="12"/>
  <c r="U22" i="12" s="1"/>
  <c r="U24" i="12" s="1"/>
  <c r="U21" i="12" s="1"/>
  <c r="J11" i="12"/>
  <c r="V11" i="12"/>
  <c r="V20" i="12" s="1"/>
  <c r="U27" i="12" l="1"/>
  <c r="U25" i="12"/>
  <c r="T31" i="12"/>
  <c r="T29" i="12"/>
  <c r="V15" i="12"/>
  <c r="V22" i="12" s="1"/>
  <c r="V24" i="12" s="1"/>
  <c r="V21" i="12" s="1"/>
  <c r="V25" i="12" l="1"/>
  <c r="V27" i="12"/>
  <c r="T34" i="12"/>
  <c r="T35" i="12" s="1"/>
  <c r="U31" i="12"/>
  <c r="U28" i="12"/>
  <c r="U32" i="12" s="1"/>
  <c r="U29" i="12"/>
  <c r="G10" i="12"/>
  <c r="U34" i="12" l="1"/>
  <c r="U35" i="12" s="1"/>
  <c r="V28" i="12"/>
  <c r="V32" i="12" s="1"/>
  <c r="V31" i="12"/>
  <c r="V29" i="12"/>
  <c r="V34" i="12" s="1"/>
  <c r="V35" i="12" s="1"/>
  <c r="W28" i="12"/>
  <c r="W32" i="12" s="1"/>
  <c r="W31" i="12" s="1"/>
  <c r="H10" i="12"/>
  <c r="S14" i="12"/>
  <c r="S12" i="12" s="1"/>
  <c r="S24" i="12"/>
  <c r="D23" i="15" l="1"/>
  <c r="H23" i="15" s="1"/>
  <c r="W34" i="12"/>
  <c r="I10" i="12"/>
  <c r="AE14" i="12"/>
  <c r="AE12" i="12" s="1"/>
  <c r="AF24" i="12"/>
  <c r="AE24" i="12"/>
  <c r="S23" i="12"/>
  <c r="S21" i="12"/>
  <c r="S9" i="12"/>
  <c r="S25" i="12"/>
  <c r="S27" i="12"/>
  <c r="T19" i="12"/>
  <c r="T14" i="12"/>
  <c r="T12" i="12" s="1"/>
  <c r="S19" i="12"/>
  <c r="W35" i="12" l="1"/>
  <c r="D24" i="15"/>
  <c r="H24" i="15" s="1"/>
  <c r="AF21" i="12"/>
  <c r="AF25" i="12"/>
  <c r="AF36" i="12" s="1"/>
  <c r="AF27" i="12"/>
  <c r="J10" i="12"/>
  <c r="AE27" i="12"/>
  <c r="AE28" i="12" s="1"/>
  <c r="AE9" i="12"/>
  <c r="AE25" i="12"/>
  <c r="AE36" i="12" s="1"/>
  <c r="AE21" i="12"/>
  <c r="AE19" i="12"/>
  <c r="AG24" i="12"/>
  <c r="AF19" i="12"/>
  <c r="AF14" i="12"/>
  <c r="AF12" i="12" s="1"/>
  <c r="AE13" i="12"/>
  <c r="AE23" i="12"/>
  <c r="S31" i="12"/>
  <c r="S29" i="12"/>
  <c r="T28" i="12"/>
  <c r="T32" i="12" s="1"/>
  <c r="T13" i="12"/>
  <c r="T23" i="12"/>
  <c r="U14" i="12"/>
  <c r="U12" i="12" s="1"/>
  <c r="U19" i="12"/>
  <c r="AG21" i="12" l="1"/>
  <c r="AG27" i="12"/>
  <c r="AG25" i="12"/>
  <c r="AG36" i="12" s="1"/>
  <c r="AF31" i="12"/>
  <c r="AF29" i="12"/>
  <c r="AF13" i="12"/>
  <c r="AF23" i="12"/>
  <c r="AE29" i="12"/>
  <c r="AE46" i="12" s="1"/>
  <c r="AF28" i="12"/>
  <c r="AF32" i="12" s="1"/>
  <c r="AE31" i="12"/>
  <c r="AG14" i="12"/>
  <c r="AG12" i="12" s="1"/>
  <c r="AH24" i="12"/>
  <c r="AG19" i="12"/>
  <c r="S34" i="12"/>
  <c r="S35" i="12" s="1"/>
  <c r="V19" i="12"/>
  <c r="V14" i="12"/>
  <c r="V12" i="12" s="1"/>
  <c r="V23" i="12" s="1"/>
  <c r="U23" i="12"/>
  <c r="U13" i="12"/>
  <c r="AF34" i="12" l="1"/>
  <c r="AF35" i="12" s="1"/>
  <c r="AF46" i="12"/>
  <c r="AG28" i="12"/>
  <c r="AG32" i="12" s="1"/>
  <c r="AG29" i="12"/>
  <c r="AG46" i="12" s="1"/>
  <c r="AG31" i="12"/>
  <c r="AH25" i="12"/>
  <c r="AH36" i="12" s="1"/>
  <c r="AH27" i="12"/>
  <c r="AH21" i="12"/>
  <c r="AH19" i="12"/>
  <c r="AH14" i="12"/>
  <c r="AH12" i="12" s="1"/>
  <c r="AH23" i="12" s="1"/>
  <c r="AE34" i="12"/>
  <c r="AG13" i="12"/>
  <c r="AG23" i="12"/>
  <c r="AG34" i="12" l="1"/>
  <c r="AH28" i="12"/>
  <c r="AH32" i="12" s="1"/>
  <c r="AH29" i="12"/>
  <c r="AH46" i="12" s="1"/>
  <c r="AH31" i="12"/>
  <c r="AI28" i="12"/>
  <c r="AI32" i="12" s="1"/>
  <c r="AE35" i="12"/>
  <c r="AI31" i="12" l="1"/>
  <c r="AI34" i="12" s="1"/>
  <c r="F23" i="15"/>
  <c r="J23" i="15" s="1"/>
  <c r="AH34" i="12"/>
  <c r="AG35" i="12"/>
  <c r="AH35" i="12" l="1"/>
  <c r="AI35" i="12"/>
  <c r="F24" i="15"/>
  <c r="J24" i="15" s="1"/>
  <c r="K4" i="12"/>
  <c r="G4" i="12" s="1"/>
  <c r="K6" i="12" l="1"/>
  <c r="G6" i="12"/>
  <c r="G7" i="12"/>
  <c r="H4" i="12"/>
  <c r="K7" i="12"/>
  <c r="K20" i="12" l="1"/>
  <c r="AS26" i="13"/>
  <c r="K18" i="12"/>
  <c r="S8" i="12"/>
  <c r="AS27" i="13"/>
  <c r="H7" i="12"/>
  <c r="H6" i="12"/>
  <c r="I4" i="12"/>
  <c r="G18" i="12"/>
  <c r="G8" i="12"/>
  <c r="K5" i="12"/>
  <c r="G20" i="12"/>
  <c r="G5" i="12"/>
  <c r="K15" i="12" l="1"/>
  <c r="K22" i="12" s="1"/>
  <c r="K24" i="12" s="1"/>
  <c r="E18" i="15"/>
  <c r="I18" i="15" s="1"/>
  <c r="AS32" i="13"/>
  <c r="G15" i="12"/>
  <c r="G22" i="12" s="1"/>
  <c r="G24" i="12" s="1"/>
  <c r="H5" i="12"/>
  <c r="H20" i="12"/>
  <c r="H8" i="12"/>
  <c r="H18" i="12"/>
  <c r="G14" i="12"/>
  <c r="I6" i="12"/>
  <c r="J4" i="12"/>
  <c r="I7" i="12"/>
  <c r="K14" i="12"/>
  <c r="K12" i="12" s="1"/>
  <c r="AS31" i="13"/>
  <c r="E17" i="15"/>
  <c r="I17" i="15" s="1"/>
  <c r="G12" i="12" l="1"/>
  <c r="G13" i="12" s="1"/>
  <c r="E19" i="15"/>
  <c r="H15" i="12"/>
  <c r="H22" i="12" s="1"/>
  <c r="I18" i="12"/>
  <c r="I8" i="12"/>
  <c r="E32" i="15"/>
  <c r="I32" i="15" s="1"/>
  <c r="S13" i="12"/>
  <c r="K23" i="12"/>
  <c r="G23" i="12"/>
  <c r="J6" i="12"/>
  <c r="J7" i="12"/>
  <c r="I20" i="12"/>
  <c r="I5" i="12"/>
  <c r="H14" i="12"/>
  <c r="H24" i="12" l="1"/>
  <c r="H27" i="12" s="1"/>
  <c r="H31" i="12" s="1"/>
  <c r="H21" i="12"/>
  <c r="H19" i="12"/>
  <c r="E20" i="15"/>
  <c r="I20" i="15" s="1"/>
  <c r="K27" i="12"/>
  <c r="K19" i="12"/>
  <c r="K21" i="12"/>
  <c r="K25" i="12"/>
  <c r="H12" i="12"/>
  <c r="H13" i="12" s="1"/>
  <c r="I15" i="12"/>
  <c r="I22" i="12" s="1"/>
  <c r="J18" i="12"/>
  <c r="J8" i="12"/>
  <c r="K8" i="12"/>
  <c r="I14" i="12"/>
  <c r="I12" i="12" s="1"/>
  <c r="G25" i="12"/>
  <c r="G27" i="12"/>
  <c r="G9" i="12"/>
  <c r="G21" i="12"/>
  <c r="G19" i="12"/>
  <c r="J20" i="12"/>
  <c r="J5" i="12"/>
  <c r="H25" i="12" l="1"/>
  <c r="H36" i="12" s="1"/>
  <c r="I24" i="12"/>
  <c r="H17" i="13"/>
  <c r="H28" i="12"/>
  <c r="H32" i="12" s="1"/>
  <c r="K17" i="13"/>
  <c r="K36" i="12"/>
  <c r="S28" i="12"/>
  <c r="E21" i="15"/>
  <c r="I21" i="15" s="1"/>
  <c r="I13" i="12"/>
  <c r="H23" i="12"/>
  <c r="L8" i="12"/>
  <c r="L24" i="12" s="1"/>
  <c r="AJ8" i="12"/>
  <c r="X8" i="12"/>
  <c r="J14" i="12"/>
  <c r="T36" i="12"/>
  <c r="H42" i="12"/>
  <c r="G28" i="12"/>
  <c r="G31" i="12"/>
  <c r="AJ22" i="13"/>
  <c r="I23" i="12"/>
  <c r="G36" i="12"/>
  <c r="G17" i="13"/>
  <c r="J15" i="12"/>
  <c r="J22" i="12" s="1"/>
  <c r="I27" i="12" l="1"/>
  <c r="I25" i="12"/>
  <c r="J24" i="12"/>
  <c r="J19" i="12" s="1"/>
  <c r="I21" i="12"/>
  <c r="I19" i="12"/>
  <c r="J27" i="12"/>
  <c r="J28" i="12" s="1"/>
  <c r="J32" i="12" s="1"/>
  <c r="W36" i="12"/>
  <c r="D25" i="15" s="1"/>
  <c r="H25" i="15" s="1"/>
  <c r="E25" i="15"/>
  <c r="I25" i="15" s="1"/>
  <c r="K42" i="12"/>
  <c r="J12" i="12"/>
  <c r="J23" i="12" s="1"/>
  <c r="T42" i="12"/>
  <c r="H43" i="12"/>
  <c r="T43" i="12" s="1"/>
  <c r="AF43" i="12" s="1"/>
  <c r="X27" i="12"/>
  <c r="Y8" i="12"/>
  <c r="Z8" i="12" s="1"/>
  <c r="AA8" i="12" s="1"/>
  <c r="X24" i="12"/>
  <c r="AJ27" i="12"/>
  <c r="AJ24" i="12"/>
  <c r="AK8" i="12"/>
  <c r="AL8" i="12" s="1"/>
  <c r="AM8" i="12" s="1"/>
  <c r="M8" i="12"/>
  <c r="N8" i="12" s="1"/>
  <c r="O8" i="12" s="1"/>
  <c r="L27" i="12"/>
  <c r="S36" i="12"/>
  <c r="G42" i="12"/>
  <c r="J31" i="12"/>
  <c r="H44" i="12"/>
  <c r="J25" i="12" l="1"/>
  <c r="K28" i="12"/>
  <c r="K32" i="12" s="1"/>
  <c r="M24" i="12"/>
  <c r="N24" i="12" s="1"/>
  <c r="O24" i="12" s="1"/>
  <c r="P24" i="12" s="1"/>
  <c r="Q24" i="12" s="1"/>
  <c r="I36" i="12"/>
  <c r="I17" i="13"/>
  <c r="J21" i="12"/>
  <c r="I28" i="12"/>
  <c r="I32" i="12" s="1"/>
  <c r="I31" i="12"/>
  <c r="K43" i="12"/>
  <c r="W43" i="12" s="1"/>
  <c r="AI43" i="12" s="1"/>
  <c r="E28" i="15"/>
  <c r="I28" i="15" s="1"/>
  <c r="W42" i="12"/>
  <c r="AJ25" i="12"/>
  <c r="AJ36" i="12" s="1"/>
  <c r="AK24" i="12"/>
  <c r="L31" i="12"/>
  <c r="M27" i="12"/>
  <c r="L25" i="12"/>
  <c r="L36" i="12" s="1"/>
  <c r="AF42" i="12"/>
  <c r="T38" i="12"/>
  <c r="G37" i="12"/>
  <c r="G43" i="12"/>
  <c r="S43" i="12" s="1"/>
  <c r="AE43" i="12" s="1"/>
  <c r="S42" i="12"/>
  <c r="AK27" i="12"/>
  <c r="AJ31" i="12"/>
  <c r="AJ29" i="12"/>
  <c r="X29" i="12"/>
  <c r="X46" i="12" s="1"/>
  <c r="X31" i="12"/>
  <c r="Y27" i="12"/>
  <c r="T44" i="12"/>
  <c r="H45" i="12"/>
  <c r="T45" i="12" s="1"/>
  <c r="AF45" i="12" s="1"/>
  <c r="G44" i="12"/>
  <c r="G32" i="12"/>
  <c r="AE32" i="12"/>
  <c r="S32" i="12"/>
  <c r="K31" i="12"/>
  <c r="X25" i="12"/>
  <c r="X36" i="12" s="1"/>
  <c r="Y24" i="12"/>
  <c r="J17" i="13" l="1"/>
  <c r="J36" i="12"/>
  <c r="U36" i="12"/>
  <c r="I42" i="12"/>
  <c r="AJ34" i="12"/>
  <c r="D28" i="15"/>
  <c r="H28" i="15" s="1"/>
  <c r="AI42" i="12"/>
  <c r="W38" i="12"/>
  <c r="X42" i="12"/>
  <c r="X44" i="12" s="1"/>
  <c r="S37" i="12"/>
  <c r="T37" i="12" s="1"/>
  <c r="H37" i="12"/>
  <c r="S44" i="12"/>
  <c r="G45" i="12"/>
  <c r="S45" i="12" s="1"/>
  <c r="AE45" i="12" s="1"/>
  <c r="Y31" i="12"/>
  <c r="Y29" i="12"/>
  <c r="Y46" i="12" s="1"/>
  <c r="Y47" i="12" s="1"/>
  <c r="Z27" i="12"/>
  <c r="AF44" i="12"/>
  <c r="AF38" i="12"/>
  <c r="AJ46" i="12"/>
  <c r="AJ47" i="12" s="1"/>
  <c r="M25" i="12"/>
  <c r="M36" i="12" s="1"/>
  <c r="AL24" i="12"/>
  <c r="AK25" i="12"/>
  <c r="AK36" i="12" s="1"/>
  <c r="S38" i="12"/>
  <c r="AE42" i="12"/>
  <c r="Z24" i="12"/>
  <c r="Y25" i="12"/>
  <c r="Y36" i="12" s="1"/>
  <c r="N27" i="12"/>
  <c r="M31" i="12"/>
  <c r="T41" i="12"/>
  <c r="T39" i="12"/>
  <c r="E23" i="15"/>
  <c r="I23" i="15" s="1"/>
  <c r="X34" i="12"/>
  <c r="AK29" i="12"/>
  <c r="AK46" i="12" s="1"/>
  <c r="AK31" i="12"/>
  <c r="AL27" i="12"/>
  <c r="L42" i="12"/>
  <c r="L44" i="12" s="1"/>
  <c r="AJ42" i="12"/>
  <c r="AJ38" i="12" l="1"/>
  <c r="AJ41" i="12" s="1"/>
  <c r="V36" i="12"/>
  <c r="J42" i="12"/>
  <c r="K44" i="12"/>
  <c r="I43" i="12"/>
  <c r="U43" i="12" s="1"/>
  <c r="AG43" i="12" s="1"/>
  <c r="U42" i="12"/>
  <c r="I44" i="12"/>
  <c r="I37" i="12"/>
  <c r="J37" i="12" s="1"/>
  <c r="K37" i="12" s="1"/>
  <c r="L37" i="12" s="1"/>
  <c r="W39" i="12"/>
  <c r="D26" i="15"/>
  <c r="H26" i="15" s="1"/>
  <c r="W41" i="12"/>
  <c r="D27" i="15" s="1"/>
  <c r="H27" i="15" s="1"/>
  <c r="AI44" i="12"/>
  <c r="F29" i="15" s="1"/>
  <c r="J29" i="15" s="1"/>
  <c r="AI38" i="12"/>
  <c r="F28" i="15"/>
  <c r="J28" i="15" s="1"/>
  <c r="X38" i="12"/>
  <c r="X41" i="12" s="1"/>
  <c r="Y34" i="12"/>
  <c r="AK47" i="12"/>
  <c r="AJ44" i="12"/>
  <c r="AJ48" i="12" s="1"/>
  <c r="AJ49" i="12" s="1"/>
  <c r="AF41" i="12"/>
  <c r="AF39" i="12"/>
  <c r="AK42" i="12"/>
  <c r="Y42" i="12"/>
  <c r="AM24" i="12"/>
  <c r="AL25" i="12"/>
  <c r="AL36" i="12" s="1"/>
  <c r="AA24" i="12"/>
  <c r="Z25" i="12"/>
  <c r="Z36" i="12" s="1"/>
  <c r="M42" i="12"/>
  <c r="Z29" i="12"/>
  <c r="Z31" i="12"/>
  <c r="AA27" i="12"/>
  <c r="AE44" i="12"/>
  <c r="AE37" i="12"/>
  <c r="AF37" i="12" s="1"/>
  <c r="AE38" i="12"/>
  <c r="N25" i="12"/>
  <c r="N36" i="12" s="1"/>
  <c r="S39" i="12"/>
  <c r="S41" i="12"/>
  <c r="N31" i="12"/>
  <c r="O27" i="12"/>
  <c r="AL29" i="12"/>
  <c r="AL46" i="12" s="1"/>
  <c r="AL47" i="12" s="1"/>
  <c r="AM27" i="12"/>
  <c r="AL31" i="12"/>
  <c r="AK34" i="12"/>
  <c r="K45" i="12" l="1"/>
  <c r="W45" i="12" s="1"/>
  <c r="AI45" i="12" s="1"/>
  <c r="E29" i="15"/>
  <c r="I29" i="15" s="1"/>
  <c r="W44" i="12"/>
  <c r="D29" i="15" s="1"/>
  <c r="H29" i="15" s="1"/>
  <c r="J43" i="12"/>
  <c r="V43" i="12" s="1"/>
  <c r="AH43" i="12" s="1"/>
  <c r="J44" i="12"/>
  <c r="V42" i="12"/>
  <c r="U44" i="12"/>
  <c r="I45" i="12"/>
  <c r="U45" i="12" s="1"/>
  <c r="AG45" i="12" s="1"/>
  <c r="AG42" i="12"/>
  <c r="AG37" i="12" s="1"/>
  <c r="U38" i="12"/>
  <c r="U37" i="12"/>
  <c r="V37" i="12" s="1"/>
  <c r="W37" i="12" s="1"/>
  <c r="X37" i="12" s="1"/>
  <c r="Y37" i="12" s="1"/>
  <c r="M37" i="12"/>
  <c r="Y38" i="12"/>
  <c r="Y41" i="12" s="1"/>
  <c r="AI39" i="12"/>
  <c r="AI41" i="12"/>
  <c r="F26" i="15"/>
  <c r="J26" i="15" s="1"/>
  <c r="Y44" i="12"/>
  <c r="M44" i="12"/>
  <c r="AE39" i="12"/>
  <c r="AE41" i="12"/>
  <c r="AL42" i="12"/>
  <c r="AL44" i="12" s="1"/>
  <c r="N42" i="12"/>
  <c r="AM31" i="12"/>
  <c r="AN27" i="12"/>
  <c r="AM29" i="12"/>
  <c r="AL34" i="12"/>
  <c r="Z42" i="12"/>
  <c r="AN24" i="12"/>
  <c r="AM25" i="12"/>
  <c r="AM36" i="12" s="1"/>
  <c r="Z34" i="12"/>
  <c r="AK38" i="12"/>
  <c r="AK41" i="12" s="1"/>
  <c r="AA25" i="12"/>
  <c r="AA36" i="12" s="1"/>
  <c r="AB24" i="12"/>
  <c r="O25" i="12"/>
  <c r="O36" i="12" s="1"/>
  <c r="P27" i="12"/>
  <c r="O31" i="12"/>
  <c r="AB27" i="12"/>
  <c r="AA29" i="12"/>
  <c r="AA31" i="12"/>
  <c r="Z46" i="12"/>
  <c r="Z47" i="12" s="1"/>
  <c r="AK44" i="12"/>
  <c r="AH42" i="12" l="1"/>
  <c r="V38" i="12"/>
  <c r="V44" i="12"/>
  <c r="J45" i="12"/>
  <c r="V45" i="12" s="1"/>
  <c r="AH45" i="12" s="1"/>
  <c r="AH37" i="12"/>
  <c r="AI37" i="12" s="1"/>
  <c r="AJ37" i="12" s="1"/>
  <c r="AK37" i="12" s="1"/>
  <c r="AL37" i="12" s="1"/>
  <c r="Y48" i="12"/>
  <c r="Y49" i="12" s="1"/>
  <c r="U39" i="12"/>
  <c r="U41" i="12"/>
  <c r="AG44" i="12"/>
  <c r="AG38" i="12"/>
  <c r="N37" i="12"/>
  <c r="F27" i="15"/>
  <c r="J27" i="15" s="1"/>
  <c r="AA34" i="12"/>
  <c r="AM34" i="12"/>
  <c r="N44" i="12"/>
  <c r="Z38" i="12"/>
  <c r="Z41" i="12" s="1"/>
  <c r="AA46" i="12"/>
  <c r="AA47" i="12" s="1"/>
  <c r="AO27" i="12"/>
  <c r="AN29" i="12"/>
  <c r="AN46" i="12" s="1"/>
  <c r="AN31" i="12"/>
  <c r="AM42" i="12"/>
  <c r="AB29" i="12"/>
  <c r="AB31" i="12"/>
  <c r="AC27" i="12"/>
  <c r="O42" i="12"/>
  <c r="AO24" i="12"/>
  <c r="AO25" i="12" s="1"/>
  <c r="AO36" i="12" s="1"/>
  <c r="AO42" i="12" s="1"/>
  <c r="AN25" i="12"/>
  <c r="AN36" i="12" s="1"/>
  <c r="AC24" i="12"/>
  <c r="AC25" i="12" s="1"/>
  <c r="AC36" i="12" s="1"/>
  <c r="AC42" i="12" s="1"/>
  <c r="AB25" i="12"/>
  <c r="AB36" i="12" s="1"/>
  <c r="Z37" i="12"/>
  <c r="P25" i="12"/>
  <c r="P36" i="12" s="1"/>
  <c r="Q25" i="12"/>
  <c r="Q36" i="12" s="1"/>
  <c r="Q42" i="12" s="1"/>
  <c r="Q27" i="12"/>
  <c r="P31" i="12"/>
  <c r="AA42" i="12"/>
  <c r="Z44" i="12"/>
  <c r="AK48" i="12"/>
  <c r="AK49" i="12" s="1"/>
  <c r="AL38" i="12"/>
  <c r="AL41" i="12" s="1"/>
  <c r="AL48" i="12" s="1"/>
  <c r="AL49" i="12" s="1"/>
  <c r="AM46" i="12"/>
  <c r="AM47" i="12" s="1"/>
  <c r="V39" i="12" l="1"/>
  <c r="V41" i="12"/>
  <c r="AH38" i="12"/>
  <c r="AH44" i="12"/>
  <c r="AG41" i="12"/>
  <c r="AG39" i="12"/>
  <c r="O37" i="12"/>
  <c r="AA38" i="12"/>
  <c r="AA41" i="12" s="1"/>
  <c r="Z48" i="12"/>
  <c r="Z49" i="12" s="1"/>
  <c r="AM37" i="12"/>
  <c r="AB34" i="12"/>
  <c r="AM44" i="12"/>
  <c r="AN42" i="12"/>
  <c r="P42" i="12"/>
  <c r="AN47" i="12"/>
  <c r="AB42" i="12"/>
  <c r="O44" i="12"/>
  <c r="AA37" i="12"/>
  <c r="AB46" i="12"/>
  <c r="AB47" i="12" s="1"/>
  <c r="AN34" i="12"/>
  <c r="AO29" i="12"/>
  <c r="AO31" i="12"/>
  <c r="AA44" i="12"/>
  <c r="AM38" i="12"/>
  <c r="AM41" i="12" s="1"/>
  <c r="AC29" i="12"/>
  <c r="AC31" i="12"/>
  <c r="Q31" i="12"/>
  <c r="AH41" i="12" l="1"/>
  <c r="AH39" i="12"/>
  <c r="P37" i="12"/>
  <c r="Q37" i="12" s="1"/>
  <c r="AA48" i="12"/>
  <c r="AA49" i="12" s="1"/>
  <c r="AM48" i="12"/>
  <c r="AM49" i="12" s="1"/>
  <c r="AN37" i="12"/>
  <c r="AO37" i="12" s="1"/>
  <c r="AC34" i="12"/>
  <c r="AC38" i="12" s="1"/>
  <c r="AC41" i="12" s="1"/>
  <c r="AB38" i="12"/>
  <c r="AB41" i="12" s="1"/>
  <c r="AN44" i="12"/>
  <c r="AB44" i="12"/>
  <c r="AN38" i="12"/>
  <c r="AN41" i="12" s="1"/>
  <c r="AO34" i="12"/>
  <c r="AO38" i="12" s="1"/>
  <c r="AO41" i="12" s="1"/>
  <c r="AO46" i="12"/>
  <c r="AO47" i="12" s="1"/>
  <c r="AC46" i="12"/>
  <c r="AC47" i="12" s="1"/>
  <c r="AB37" i="12"/>
  <c r="AC37" i="12" s="1"/>
  <c r="P44" i="12"/>
  <c r="AB48" i="12" l="1"/>
  <c r="AB49" i="12" s="1"/>
  <c r="AC48" i="12"/>
  <c r="AN48" i="12"/>
  <c r="AN49" i="12" s="1"/>
  <c r="AO48" i="12"/>
  <c r="AO49" i="12" s="1"/>
  <c r="K30" i="12"/>
  <c r="K29" i="12" s="1"/>
  <c r="K46" i="12" l="1"/>
  <c r="E22" i="15"/>
  <c r="I22" i="15" s="1"/>
  <c r="K34" i="12"/>
  <c r="G30" i="12"/>
  <c r="L30" i="12"/>
  <c r="G29" i="12" l="1"/>
  <c r="H30" i="12"/>
  <c r="K35" i="12"/>
  <c r="K38" i="12"/>
  <c r="E24" i="15"/>
  <c r="I24" i="15" s="1"/>
  <c r="M30" i="12"/>
  <c r="L29" i="12"/>
  <c r="W46" i="12"/>
  <c r="E30" i="15"/>
  <c r="I30" i="15" s="1"/>
  <c r="X47" i="12" l="1"/>
  <c r="X48" i="12" s="1"/>
  <c r="X49" i="12" s="1"/>
  <c r="D30" i="15"/>
  <c r="H30" i="15" s="1"/>
  <c r="L46" i="12"/>
  <c r="L47" i="12" s="1"/>
  <c r="L34" i="12"/>
  <c r="L38" i="12" s="1"/>
  <c r="L41" i="12" s="1"/>
  <c r="M29" i="12"/>
  <c r="N30" i="12"/>
  <c r="K39" i="12"/>
  <c r="E26" i="15"/>
  <c r="I26" i="15" s="1"/>
  <c r="K41" i="12"/>
  <c r="I30" i="12"/>
  <c r="H29" i="12"/>
  <c r="G46" i="12"/>
  <c r="G34" i="12"/>
  <c r="L48" i="12" l="1"/>
  <c r="L49" i="12" s="1"/>
  <c r="N29" i="12"/>
  <c r="O30" i="12"/>
  <c r="E27" i="15"/>
  <c r="I27" i="15" s="1"/>
  <c r="G38" i="12"/>
  <c r="G35" i="12"/>
  <c r="M46" i="12"/>
  <c r="M47" i="12" s="1"/>
  <c r="M34" i="12"/>
  <c r="M38" i="12" s="1"/>
  <c r="M41" i="12" s="1"/>
  <c r="S46" i="12"/>
  <c r="G47" i="12"/>
  <c r="S47" i="12" s="1"/>
  <c r="H34" i="12"/>
  <c r="H46" i="12"/>
  <c r="I29" i="12"/>
  <c r="J30" i="12"/>
  <c r="J29" i="12" s="1"/>
  <c r="M48" i="12" l="1"/>
  <c r="M49" i="12" s="1"/>
  <c r="J46" i="12"/>
  <c r="J34" i="12"/>
  <c r="I34" i="12"/>
  <c r="I46" i="12"/>
  <c r="G41" i="12"/>
  <c r="G48" i="12" s="1"/>
  <c r="G49" i="12" s="1"/>
  <c r="G39" i="12"/>
  <c r="H47" i="12"/>
  <c r="T47" i="12" s="1"/>
  <c r="T46" i="12"/>
  <c r="O29" i="12"/>
  <c r="P30" i="12"/>
  <c r="H38" i="12"/>
  <c r="H35" i="12"/>
  <c r="S48" i="12"/>
  <c r="S49" i="12" s="1"/>
  <c r="AE47" i="12"/>
  <c r="AE48" i="12" s="1"/>
  <c r="AE49" i="12" s="1"/>
  <c r="N34" i="12"/>
  <c r="N38" i="12" s="1"/>
  <c r="N41" i="12" s="1"/>
  <c r="N46" i="12"/>
  <c r="N47" i="12" s="1"/>
  <c r="AF47" i="12" l="1"/>
  <c r="AF48" i="12" s="1"/>
  <c r="AF49" i="12" s="1"/>
  <c r="T48" i="12"/>
  <c r="T49" i="12" s="1"/>
  <c r="N48" i="12"/>
  <c r="N49" i="12" s="1"/>
  <c r="U46" i="12"/>
  <c r="I47" i="12"/>
  <c r="U47" i="12" s="1"/>
  <c r="H39" i="12"/>
  <c r="H41" i="12"/>
  <c r="H48" i="12" s="1"/>
  <c r="H49" i="12" s="1"/>
  <c r="I35" i="12"/>
  <c r="I38" i="12"/>
  <c r="Q30" i="12"/>
  <c r="Q29" i="12" s="1"/>
  <c r="P29" i="12"/>
  <c r="J35" i="12"/>
  <c r="J38" i="12"/>
  <c r="O46" i="12"/>
  <c r="O47" i="12" s="1"/>
  <c r="O34" i="12"/>
  <c r="O38" i="12" s="1"/>
  <c r="O41" i="12" s="1"/>
  <c r="J47" i="12"/>
  <c r="V47" i="12" s="1"/>
  <c r="V46" i="12"/>
  <c r="K47" i="12"/>
  <c r="AG47" i="12" l="1"/>
  <c r="AG48" i="12" s="1"/>
  <c r="AG49" i="12" s="1"/>
  <c r="U48" i="12"/>
  <c r="U49" i="12" s="1"/>
  <c r="W47" i="12"/>
  <c r="K48" i="12"/>
  <c r="Q34" i="12"/>
  <c r="Q38" i="12" s="1"/>
  <c r="Q41" i="12" s="1"/>
  <c r="Q46" i="12"/>
  <c r="Q47" i="12" s="1"/>
  <c r="AH47" i="12"/>
  <c r="AH48" i="12" s="1"/>
  <c r="AH49" i="12" s="1"/>
  <c r="V48" i="12"/>
  <c r="V49" i="12" s="1"/>
  <c r="I41" i="12"/>
  <c r="I48" i="12" s="1"/>
  <c r="I49" i="12" s="1"/>
  <c r="I39" i="12"/>
  <c r="P34" i="12"/>
  <c r="P38" i="12" s="1"/>
  <c r="P41" i="12" s="1"/>
  <c r="P46" i="12"/>
  <c r="P47" i="12" s="1"/>
  <c r="O48" i="12"/>
  <c r="O49" i="12" s="1"/>
  <c r="J39" i="12"/>
  <c r="J41" i="12"/>
  <c r="J48" i="12" s="1"/>
  <c r="J49" i="12" s="1"/>
  <c r="Q48" i="12" l="1"/>
  <c r="P48" i="12"/>
  <c r="P49" i="12" s="1"/>
  <c r="AI47" i="12"/>
  <c r="AI48" i="12" s="1"/>
  <c r="W48" i="12"/>
  <c r="K49" i="12"/>
  <c r="E31" i="15"/>
  <c r="I31" i="15" s="1"/>
  <c r="AI49" i="12" l="1"/>
  <c r="AE50" i="12" s="1"/>
  <c r="F31" i="15"/>
  <c r="J31" i="15" s="1"/>
  <c r="D31" i="15"/>
  <c r="H31" i="15" s="1"/>
  <c r="W49" i="12"/>
  <c r="AC49" i="12"/>
  <c r="Q49" i="12"/>
  <c r="E50" i="12" s="1"/>
  <c r="E51" i="12" l="1"/>
  <c r="E52" i="12" s="1"/>
  <c r="S50" i="12"/>
  <c r="E34" i="15"/>
  <c r="AE51" i="12"/>
  <c r="AE52" i="12" s="1"/>
  <c r="F34" i="15"/>
  <c r="F35" i="15" l="1"/>
  <c r="F36" i="15"/>
  <c r="E35" i="15"/>
  <c r="E36" i="15"/>
  <c r="D34" i="15"/>
  <c r="S51" i="12"/>
  <c r="S52" i="12" s="1"/>
  <c r="D35" i="15" l="1"/>
  <c r="D36" i="1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Aswath Damodaran</author>
  </authors>
  <commentList>
    <comment ref="S33" authorId="0" shapeId="0" xr:uid="{13C294C2-6195-4D85-92B3-6EC811665FF0}">
      <text>
        <r>
          <rPr>
            <b/>
            <sz val="9"/>
            <color indexed="81"/>
            <rFont val="Geneva"/>
          </rPr>
          <t>Aswath Damodaran:</t>
        </r>
        <r>
          <rPr>
            <sz val="9"/>
            <color indexed="81"/>
            <rFont val="Geneva"/>
          </rPr>
          <t xml:space="preserve">
This is the beta for your stock. It can be a regression beta or a bottom-up beta.</t>
        </r>
      </text>
    </comment>
    <comment ref="S34" authorId="0" shapeId="0" xr:uid="{BD4104B7-FCBD-4B96-BF22-9D64AA2993E6}">
      <text>
        <r>
          <rPr>
            <b/>
            <sz val="9"/>
            <color indexed="81"/>
            <rFont val="Geneva"/>
          </rPr>
          <t>Aswath Damodaran:</t>
        </r>
        <r>
          <rPr>
            <sz val="9"/>
            <color indexed="81"/>
            <rFont val="Geneva"/>
          </rPr>
          <t xml:space="preserve">
Enter the current long term government bond rate.</t>
        </r>
      </text>
    </comment>
    <comment ref="S35" authorId="0" shapeId="0" xr:uid="{C7C73D8A-44EC-4AE9-87D3-C8B7893F6888}">
      <text>
        <r>
          <rPr>
            <b/>
            <sz val="9"/>
            <color indexed="81"/>
            <rFont val="Geneva"/>
          </rPr>
          <t>Aswath Damodaran:</t>
        </r>
        <r>
          <rPr>
            <sz val="9"/>
            <color indexed="81"/>
            <rFont val="Geneva"/>
          </rPr>
          <t xml:space="preserve">
Enter the risk premium to use to compute your cost of equity.</t>
        </r>
      </text>
    </comment>
  </commentList>
</comments>
</file>

<file path=xl/sharedStrings.xml><?xml version="1.0" encoding="utf-8"?>
<sst xmlns="http://schemas.openxmlformats.org/spreadsheetml/2006/main" count="281" uniqueCount="242">
  <si>
    <t>Total assets</t>
  </si>
  <si>
    <t>Net working capital</t>
  </si>
  <si>
    <t xml:space="preserve">CAPEX </t>
  </si>
  <si>
    <t>EBITDA</t>
  </si>
  <si>
    <t>Total liabilities and stockholders' equity</t>
  </si>
  <si>
    <t>Total stockholders' equity</t>
  </si>
  <si>
    <t>Common stock</t>
  </si>
  <si>
    <t>Stockholders' equity</t>
  </si>
  <si>
    <t>Total liabilities</t>
  </si>
  <si>
    <t>Total non-current liabilities</t>
  </si>
  <si>
    <t>Long-term debt</t>
  </si>
  <si>
    <t>Non-current liabilities</t>
  </si>
  <si>
    <t>Total current liabilities</t>
  </si>
  <si>
    <t>Other current liabilities</t>
  </si>
  <si>
    <t>Current liabilities</t>
  </si>
  <si>
    <t>Liabilities and stockholders' equity</t>
  </si>
  <si>
    <t>Total non-current assets</t>
  </si>
  <si>
    <t>Intangible assets</t>
  </si>
  <si>
    <t>Net property, plant and equipment</t>
  </si>
  <si>
    <t>Accumulated Depreciation</t>
  </si>
  <si>
    <t>Total current assets</t>
  </si>
  <si>
    <t>Other current assets</t>
  </si>
  <si>
    <t>Prepaid expenses</t>
  </si>
  <si>
    <t>Inventories</t>
  </si>
  <si>
    <t>Receivables</t>
  </si>
  <si>
    <t>Total cash</t>
  </si>
  <si>
    <t>Short-term investments</t>
  </si>
  <si>
    <t>Cash and cash equivalents</t>
  </si>
  <si>
    <t>2019-08</t>
  </si>
  <si>
    <t>2018-08</t>
  </si>
  <si>
    <t>2017-08</t>
  </si>
  <si>
    <t>Deferred revenues</t>
  </si>
  <si>
    <t>GOODFOOD MARKET CORP  (FOOD)</t>
  </si>
  <si>
    <t>Active customers (000s)</t>
  </si>
  <si>
    <t>2020E</t>
  </si>
  <si>
    <t>Net Sales</t>
  </si>
  <si>
    <t>growth %</t>
  </si>
  <si>
    <t xml:space="preserve">Gross profit </t>
  </si>
  <si>
    <t xml:space="preserve">margin % </t>
  </si>
  <si>
    <t>NOPLAT</t>
  </si>
  <si>
    <t>in % of sales</t>
  </si>
  <si>
    <t xml:space="preserve">Capex </t>
  </si>
  <si>
    <t xml:space="preserve">in % of sales </t>
  </si>
  <si>
    <t>Change in NWC</t>
  </si>
  <si>
    <t xml:space="preserve">Free Cash Flow </t>
  </si>
  <si>
    <t>EBIT</t>
  </si>
  <si>
    <t xml:space="preserve">Indicative Valuation per </t>
  </si>
  <si>
    <t xml:space="preserve">EV </t>
  </si>
  <si>
    <t xml:space="preserve">% </t>
  </si>
  <si>
    <t>Short term 5 uears</t>
  </si>
  <si>
    <t>Short term 5 years</t>
  </si>
  <si>
    <t xml:space="preserve">Terminal Value </t>
  </si>
  <si>
    <t xml:space="preserve">Entrepreise value </t>
  </si>
  <si>
    <t xml:space="preserve">DCF multiples </t>
  </si>
  <si>
    <t xml:space="preserve">2019A </t>
  </si>
  <si>
    <t xml:space="preserve">2021E </t>
  </si>
  <si>
    <t>EV/sales</t>
  </si>
  <si>
    <t>EV/EBITDA</t>
  </si>
  <si>
    <t>EV/EBIT</t>
  </si>
  <si>
    <t>2020-05</t>
  </si>
  <si>
    <t xml:space="preserve">Gross sales </t>
  </si>
  <si>
    <t>Incentives &amp; Credits</t>
  </si>
  <si>
    <t xml:space="preserve"> Ac. Customers (00s)</t>
  </si>
  <si>
    <t xml:space="preserve">Meal Kit Delivery </t>
  </si>
  <si>
    <t>Fiscal year, end aug</t>
  </si>
  <si>
    <t xml:space="preserve">Grocery Industrie in Canada (M$) </t>
  </si>
  <si>
    <t>Online Traditional Grocery</t>
  </si>
  <si>
    <t xml:space="preserve">Online grocery ($) </t>
  </si>
  <si>
    <t>Target : Traditional online grocery will grow up to 7% of total grocery industrie</t>
  </si>
  <si>
    <t>Target : meal kit delivery grocery will grow up to 4 % of total grocery industrie</t>
  </si>
  <si>
    <t xml:space="preserve">Total online @ 11 % in 2025 </t>
  </si>
  <si>
    <t>CAGR</t>
  </si>
  <si>
    <t xml:space="preserve">Target 2025 : 62 % @meal kit </t>
  </si>
  <si>
    <t xml:space="preserve">in % of active subscribers </t>
  </si>
  <si>
    <t xml:space="preserve">Subscription WOW (84$/yr) </t>
  </si>
  <si>
    <t>Inputs for Discount Rate</t>
  </si>
  <si>
    <t>Beta of the stock =</t>
  </si>
  <si>
    <t>Riskfree rate=</t>
  </si>
  <si>
    <t>Risk Premium=</t>
  </si>
  <si>
    <t xml:space="preserve">Online grocery  (%) </t>
  </si>
  <si>
    <t>Meal Kit Market penetration</t>
  </si>
  <si>
    <t>Online grocery Market penetration</t>
  </si>
  <si>
    <t xml:space="preserve">Assumptions / Inputs used to model </t>
  </si>
  <si>
    <t xml:space="preserve">1. Total grocery industrie market is 124B$ (J. Ferrari) </t>
  </si>
  <si>
    <t xml:space="preserve">2. Online grocery was roughly 1% in 2019 </t>
  </si>
  <si>
    <t>3. Goodfood had around 40 % of the meal kit delivery market</t>
  </si>
  <si>
    <t xml:space="preserve">4. Meal Kit delivery market will represent 4 % of the grocery industrie in 5 years </t>
  </si>
  <si>
    <t xml:space="preserve">5. Online traditional grocery will grow yo to 7% of the grocery industry </t>
  </si>
  <si>
    <t xml:space="preserve">6. The grow of the overall market is linear over the year </t>
  </si>
  <si>
    <t>7. Active customers will keep an quarterly ARPU of 240$ on the meal kit delivery service, however they might add some traditional purchase within</t>
  </si>
  <si>
    <t xml:space="preserve">8. Growth in active customers will continue between 40-50% over a 3 yr period and then stabilize at 20%/yr </t>
  </si>
  <si>
    <t xml:space="preserve">9. Meal Kit Delivery represent 90% of Goodfood's sales in FY20 </t>
  </si>
  <si>
    <t>10. Mix would become 62%,38% over time a 5 yr period</t>
  </si>
  <si>
    <t xml:space="preserve">growth % </t>
  </si>
  <si>
    <t>Online traditional grocery  Market penetration</t>
  </si>
  <si>
    <t xml:space="preserve">12. OPEX will stabilize at 28% of net sales </t>
  </si>
  <si>
    <t xml:space="preserve">11. Gross profit will go up from 29% to 40% with economie of scales </t>
  </si>
  <si>
    <t xml:space="preserve">Management speak about LT goal as: </t>
  </si>
  <si>
    <t xml:space="preserve">EBITDA 15% </t>
  </si>
  <si>
    <t>Adj gross margin 45%+</t>
  </si>
  <si>
    <t>Net PP&amp;E</t>
  </si>
  <si>
    <t>Incremental depreciation (cumulative)</t>
  </si>
  <si>
    <t>2025 (Bull)</t>
  </si>
  <si>
    <t>2025 (Bear)</t>
  </si>
  <si>
    <t xml:space="preserve"> </t>
  </si>
  <si>
    <t xml:space="preserve">SG&amp;A </t>
  </si>
  <si>
    <t>Restricted cash</t>
  </si>
  <si>
    <t>Non-current deposits</t>
  </si>
  <si>
    <t xml:space="preserve">Fixed Assets </t>
  </si>
  <si>
    <t>Right of uset asset</t>
  </si>
  <si>
    <t>Account payables</t>
  </si>
  <si>
    <t>Line of credit</t>
  </si>
  <si>
    <t>Current portion LT debt</t>
  </si>
  <si>
    <t>Current portion lease obl</t>
  </si>
  <si>
    <t>Convertible debenture</t>
  </si>
  <si>
    <t>Lease obligations</t>
  </si>
  <si>
    <t>Contributed surplus</t>
  </si>
  <si>
    <t xml:space="preserve">Deficit </t>
  </si>
  <si>
    <t xml:space="preserve">Average # of box sold ( @ 90$) </t>
  </si>
  <si>
    <t xml:space="preserve">PP&amp;E </t>
  </si>
  <si>
    <t xml:space="preserve">9month FY20: GF produceed 202M sale / 90$ avg price = 2.24 M box w/ 45.5M PPE </t>
  </si>
  <si>
    <t xml:space="preserve">perbox </t>
  </si>
  <si>
    <t xml:space="preserve">FY19: GF produceed 161M sale / 90$ avg price = 1.8 M box w/ 27.3M PPE </t>
  </si>
  <si>
    <t>Average depreciation FY20</t>
  </si>
  <si>
    <t>Average depreciation FY19</t>
  </si>
  <si>
    <t>2021-08</t>
  </si>
  <si>
    <t>2022-08</t>
  </si>
  <si>
    <t>2023-08</t>
  </si>
  <si>
    <t>2024-08</t>
  </si>
  <si>
    <t>2025-08</t>
  </si>
  <si>
    <t>Incremental capex required equal change in net PPE + depreciation</t>
  </si>
  <si>
    <t>WORKING CAPITAL</t>
  </si>
  <si>
    <t>describe how many it takes for a company to convert its working capital into revenues</t>
  </si>
  <si>
    <t>Working capital FY20</t>
  </si>
  <si>
    <t>Working capital FY19</t>
  </si>
  <si>
    <t xml:space="preserve">Days Working Capital </t>
  </si>
  <si>
    <t xml:space="preserve">EBIT / EBITDA </t>
  </si>
  <si>
    <t xml:space="preserve">Tax </t>
  </si>
  <si>
    <t xml:space="preserve">Statutory rate </t>
  </si>
  <si>
    <t>Income tax expense (not profitable)</t>
  </si>
  <si>
    <t>Change in Net Working capital</t>
  </si>
  <si>
    <t>Tax on EBIT</t>
  </si>
  <si>
    <t>##</t>
  </si>
  <si>
    <t>Market Value Equity</t>
  </si>
  <si>
    <t>Market Value Debt</t>
  </si>
  <si>
    <t>We</t>
  </si>
  <si>
    <t xml:space="preserve">Wd </t>
  </si>
  <si>
    <t xml:space="preserve">Re </t>
  </si>
  <si>
    <t xml:space="preserve">Rd </t>
  </si>
  <si>
    <t>Tax rate</t>
  </si>
  <si>
    <t xml:space="preserve">WACC (Q3 FY20) </t>
  </si>
  <si>
    <t xml:space="preserve">Damadoran July 20 </t>
  </si>
  <si>
    <t>Government of Canada Benchmark Bond Yields - 10 Year</t>
  </si>
  <si>
    <t xml:space="preserve">PV of FCFF </t>
  </si>
  <si>
    <t xml:space="preserve">Value of the firm </t>
  </si>
  <si>
    <t>Value of equity</t>
  </si>
  <si>
    <t xml:space="preserve">Value of share </t>
  </si>
  <si>
    <t>IFRS 16, LEASES</t>
  </si>
  <si>
    <t>Effective September 1, 2018, the Company early adopted IFRS 16 using the modified retrospective</t>
  </si>
  <si>
    <t>approach. Accordingly, comparative figures as at and for the year ended August 31, 2018 have not been</t>
  </si>
  <si>
    <t>restated and continue to be reported under IAS 17, Leases ("IAS 17") and IFRIC 4, Determining whether</t>
  </si>
  <si>
    <t>an arrangement contains a lease ("IFRIC 4"). Refer to Note 25.6 for further information on accounting policy</t>
  </si>
  <si>
    <t>effective before and after September 1, 2018.</t>
  </si>
  <si>
    <t>On initial application, for leases previously classified as operating leases under IAS 17, the Company has</t>
  </si>
  <si>
    <t>elected to record right-of-use assets based on the corresponding lease liability of $7,456, adjusted for any</t>
  </si>
  <si>
    <t>deferred lease inducements and any lease payments made at or before the commencement date that were</t>
  </si>
  <si>
    <t>recorded in other non-current liabilities and other current assets and other assets, on the statement of</t>
  </si>
  <si>
    <t>financial position as at August 31, 2018. For leases previously classified as finance leases under IAS 17,</t>
  </si>
  <si>
    <t>the Company measured the right-of-use asset and lease liability at the previous carrying amount of the</t>
  </si>
  <si>
    <t>finance lease asset of $100 and finance lease liability of $100, respectively.</t>
  </si>
  <si>
    <t>As such, as at September 1, 2018, the Company recorded lease obligations of $7,556 and right-of-use</t>
  </si>
  <si>
    <t>assets of $6,173, which are net of the deferred lease inducements and lease payments made at or before</t>
  </si>
  <si>
    <t>the commencement of the lease of $1,396 and $13, respectively, with no net impact on deficit.</t>
  </si>
  <si>
    <t>When measuring lease liabilities for those leases previously classified as operating leases under IAS 17,</t>
  </si>
  <si>
    <t>the Company discounted future lease payments using its incremental borrowing rate as at</t>
  </si>
  <si>
    <t>September 1, 2018. The weighted-average rate applied is 5.53%.</t>
  </si>
  <si>
    <t>The Company has elected to apply the practical expedient to grandfather the assessment of which</t>
  </si>
  <si>
    <t>transactions are leases on the date of initial application, as previously assessed under IAS 17 and</t>
  </si>
  <si>
    <t>IFRIC 4. The Company applied the definition of a lease under IFRS 16 to contracts entered into or changed</t>
  </si>
  <si>
    <t>on or after September 1, 2018. The Company has also elected to apply the practical expedient on facility</t>
  </si>
  <si>
    <t>leases, not to separate non-lease components from lease components, and instead account for each lease</t>
  </si>
  <si>
    <t>component and any associated non-lease components as a single lease component. Additionally, the</t>
  </si>
  <si>
    <t>Company applied the practical expedient to rely on its assessment if leases were onerous under IAS 37,</t>
  </si>
  <si>
    <t>Current</t>
  </si>
  <si>
    <t>Online grocery %</t>
  </si>
  <si>
    <t>Depreciation tangibles</t>
  </si>
  <si>
    <t xml:space="preserve">Current </t>
  </si>
  <si>
    <t>Incentive &amp; credits</t>
  </si>
  <si>
    <t>Comments</t>
  </si>
  <si>
    <t xml:space="preserve">Input your view of the online grocery market in five year. </t>
  </si>
  <si>
    <t>Do you see over big players coming in ? Do you consolidation and acquisition by GF ?</t>
  </si>
  <si>
    <t>How do you see goodfood being able to compte Metro, IGA and .. Amazon ?</t>
  </si>
  <si>
    <t>-----------------------------</t>
  </si>
  <si>
    <t xml:space="preserve">Normal custosmers </t>
  </si>
  <si>
    <t>WOW customers</t>
  </si>
  <si>
    <t>ARPU WOW</t>
  </si>
  <si>
    <t>ARPU normal</t>
  </si>
  <si>
    <t>ARPU meal kit customers</t>
  </si>
  <si>
    <t>Choose if you see a price decrease , same ARPU adj w inflation or a price increase</t>
  </si>
  <si>
    <t>Goodfood potential trajectory during next 5 years</t>
  </si>
  <si>
    <t>ARPU WOW/ ARPU other</t>
  </si>
  <si>
    <t>How much more does WOW subscribers spend ? In 2020, prime number on amazon spend 2.3 times what non-prime members</t>
  </si>
  <si>
    <t>Subscription WOW</t>
  </si>
  <si>
    <t xml:space="preserve">  </t>
  </si>
  <si>
    <t>Growth margin (%)</t>
  </si>
  <si>
    <t>SGA (% of sales)</t>
  </si>
  <si>
    <t>2025 (Current)</t>
  </si>
  <si>
    <t>Meal Kit Delivery mkt</t>
  </si>
  <si>
    <t>Online traditional grocery mkt</t>
  </si>
  <si>
    <t>Bull</t>
  </si>
  <si>
    <t>Bear</t>
  </si>
  <si>
    <t>CAGR Bull</t>
  </si>
  <si>
    <t>CAGR Bear</t>
  </si>
  <si>
    <t xml:space="preserve">NA </t>
  </si>
  <si>
    <t>CAGR cur</t>
  </si>
  <si>
    <t>TV</t>
  </si>
  <si>
    <t>as a % of sale</t>
  </si>
  <si>
    <t>GF Meal Kit penetration</t>
  </si>
  <si>
    <t>GF Online Grocery penetration</t>
  </si>
  <si>
    <t xml:space="preserve">BlueApron </t>
  </si>
  <si>
    <t>HelloFresh</t>
  </si>
  <si>
    <t>Goodfood</t>
  </si>
  <si>
    <t xml:space="preserve">Share price </t>
  </si>
  <si>
    <t xml:space="preserve">Market cap </t>
  </si>
  <si>
    <t xml:space="preserve">1 yr beta </t>
  </si>
  <si>
    <t># of employees (Ks)</t>
  </si>
  <si>
    <t>FCF (TTM)</t>
  </si>
  <si>
    <t>EBITDA (TTM)</t>
  </si>
  <si>
    <t>Gross profit (FY)</t>
  </si>
  <si>
    <t>Gross Margin (TTM)</t>
  </si>
  <si>
    <t>total Debt (MRQ)</t>
  </si>
  <si>
    <t>D/E ratio (MRQ)</t>
  </si>
  <si>
    <t>Current ratio (MRQ)</t>
  </si>
  <si>
    <t>P/S (TTM)</t>
  </si>
  <si>
    <t>P/B  (TTM)</t>
  </si>
  <si>
    <t>Net sales (FY)</t>
  </si>
  <si>
    <t>Opx Margin (TTM)</t>
  </si>
  <si>
    <t>Hellofresh breakdown its COGS into procurement expenses and fulfilment expense</t>
  </si>
  <si>
    <t xml:space="preserve">Goodfood 18M$ fixed asset (6.2M$ in machinery and equipement, 10.1 in leasehold improvments),  </t>
  </si>
  <si>
    <t>HF 46.5M PP&amp;E (42.5 plant and machinery whichi include leasehold improvements, none in right of use asset)</t>
  </si>
  <si>
    <t>Marketing expense at HF are 70% of SG&amp;A and are going down</t>
  </si>
  <si>
    <t xml:space="preserve">Notes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</si>
</sst>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  <numFmt numFmtId="170" formatCode="0.0"/>
    <numFmt numFmtId="172" formatCode="0.0%"/>
    <numFmt numFmtId="175" formatCode="_-* #,##0.00_-;\-* #,##0.00_-;_-* &quot;-&quot;??_-;_-@_-"/>
    <numFmt numFmtId="177" formatCode="_-&quot;$&quot;* #,##0.00_-;\-&quot;$&quot;* #,##0.00_-;_-&quot;$&quot;* &quot;-&quot;??_-;_-@_-"/>
  </numFmts>
  <fonts count="2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i/>
      <sz val="9"/>
      <color theme="1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sz val="10"/>
      <color theme="0"/>
      <name val="Arial"/>
      <family val="2"/>
    </font>
    <font>
      <b/>
      <sz val="11"/>
      <color theme="1"/>
      <name val="Calibri"/>
      <family val="2"/>
      <scheme val="minor"/>
    </font>
    <font>
      <sz val="9"/>
      <color theme="0"/>
      <name val="Arial"/>
      <family val="2"/>
    </font>
    <font>
      <sz val="11"/>
      <color theme="0"/>
      <name val="Calibri"/>
      <family val="2"/>
      <scheme val="minor"/>
    </font>
    <font>
      <sz val="8"/>
      <color theme="1"/>
      <name val="Arial"/>
      <family val="2"/>
    </font>
    <font>
      <sz val="11"/>
      <color theme="3"/>
      <name val="Calibri"/>
      <family val="2"/>
      <scheme val="minor"/>
    </font>
    <font>
      <b/>
      <sz val="9"/>
      <color indexed="81"/>
      <name val="Geneva"/>
    </font>
    <font>
      <sz val="9"/>
      <color indexed="81"/>
      <name val="Geneva"/>
    </font>
    <font>
      <i/>
      <sz val="9"/>
      <name val="Arial"/>
      <family val="2"/>
    </font>
    <font>
      <sz val="9"/>
      <name val="Arial"/>
      <family val="2"/>
    </font>
    <font>
      <b/>
      <sz val="9"/>
      <color theme="0"/>
      <name val="Arial"/>
      <family val="2"/>
    </font>
    <font>
      <b/>
      <sz val="8"/>
      <color theme="1"/>
      <name val="Arial"/>
      <family val="2"/>
    </font>
    <font>
      <b/>
      <sz val="9"/>
      <color theme="3"/>
      <name val="Arial"/>
      <family val="2"/>
    </font>
    <font>
      <sz val="8"/>
      <color theme="3"/>
      <name val="Arial"/>
      <family val="2"/>
    </font>
    <font>
      <sz val="12"/>
      <color indexed="8"/>
      <name val="Verdana"/>
      <family val="2"/>
    </font>
    <font>
      <sz val="9"/>
      <color theme="3"/>
      <name val="Arial"/>
      <family val="2"/>
    </font>
    <font>
      <b/>
      <sz val="9"/>
      <color rgb="FFC00000"/>
      <name val="Arial"/>
      <family val="2"/>
    </font>
    <font>
      <b/>
      <sz val="8"/>
      <color rgb="FFC00000"/>
      <name val="Arial"/>
      <family val="2"/>
    </font>
    <font>
      <sz val="9"/>
      <color theme="1"/>
      <name val="HGSMinchoE"/>
      <family val="1"/>
      <charset val="128"/>
    </font>
    <font>
      <b/>
      <sz val="8"/>
      <color theme="0"/>
      <name val="Arial"/>
      <family val="2"/>
    </font>
    <font>
      <b/>
      <u/>
      <sz val="10"/>
      <color theme="1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 tint="0.79998168889431442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auto="1"/>
      </left>
      <right/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thin">
        <color auto="1"/>
      </right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0" fillId="0" borderId="0" applyNumberFormat="0" applyFill="0" applyBorder="0" applyProtection="0">
      <alignment vertical="top" wrapText="1"/>
    </xf>
    <xf numFmtId="175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177" fontId="20" fillId="0" borderId="0" applyFont="0" applyFill="0" applyBorder="0" applyAlignment="0" applyProtection="0"/>
  </cellStyleXfs>
  <cellXfs count="219">
    <xf numFmtId="0" fontId="0" fillId="0" borderId="0" xfId="0"/>
    <xf numFmtId="0" fontId="2" fillId="0" borderId="0" xfId="0" applyFont="1"/>
    <xf numFmtId="0" fontId="4" fillId="0" borderId="0" xfId="0" applyFont="1"/>
    <xf numFmtId="0" fontId="5" fillId="0" borderId="0" xfId="0" applyFont="1"/>
    <xf numFmtId="164" fontId="4" fillId="0" borderId="0" xfId="1" applyNumberFormat="1" applyFont="1"/>
    <xf numFmtId="0" fontId="6" fillId="2" borderId="0" xfId="0" applyFont="1" applyFill="1"/>
    <xf numFmtId="0" fontId="7" fillId="0" borderId="0" xfId="0" applyFont="1"/>
    <xf numFmtId="165" fontId="4" fillId="0" borderId="0" xfId="1" applyNumberFormat="1" applyFont="1"/>
    <xf numFmtId="43" fontId="4" fillId="0" borderId="0" xfId="0" applyNumberFormat="1" applyFont="1"/>
    <xf numFmtId="9" fontId="4" fillId="0" borderId="0" xfId="2" applyFont="1"/>
    <xf numFmtId="43" fontId="4" fillId="0" borderId="0" xfId="1" applyFont="1"/>
    <xf numFmtId="43" fontId="0" fillId="0" borderId="0" xfId="0" applyNumberFormat="1"/>
    <xf numFmtId="9" fontId="0" fillId="0" borderId="0" xfId="2" applyFont="1"/>
    <xf numFmtId="9" fontId="4" fillId="0" borderId="0" xfId="0" applyNumberFormat="1" applyFont="1"/>
    <xf numFmtId="164" fontId="0" fillId="0" borderId="0" xfId="0" applyNumberFormat="1"/>
    <xf numFmtId="165" fontId="4" fillId="0" borderId="0" xfId="1" applyNumberFormat="1" applyFont="1" applyBorder="1"/>
    <xf numFmtId="170" fontId="4" fillId="0" borderId="0" xfId="0" applyNumberFormat="1" applyFont="1"/>
    <xf numFmtId="0" fontId="4" fillId="0" borderId="0" xfId="0" applyFont="1" applyAlignment="1">
      <alignment horizontal="center"/>
    </xf>
    <xf numFmtId="0" fontId="10" fillId="0" borderId="0" xfId="0" applyFont="1"/>
    <xf numFmtId="9" fontId="4" fillId="0" borderId="0" xfId="2" applyNumberFormat="1" applyFont="1"/>
    <xf numFmtId="0" fontId="14" fillId="0" borderId="0" xfId="0" applyFont="1"/>
    <xf numFmtId="0" fontId="15" fillId="0" borderId="0" xfId="0" applyFont="1"/>
    <xf numFmtId="0" fontId="15" fillId="4" borderId="1" xfId="0" applyFont="1" applyFill="1" applyBorder="1" applyAlignment="1">
      <alignment horizontal="center"/>
    </xf>
    <xf numFmtId="10" fontId="15" fillId="4" borderId="1" xfId="0" applyNumberFormat="1" applyFont="1" applyFill="1" applyBorder="1" applyAlignment="1">
      <alignment horizontal="center"/>
    </xf>
    <xf numFmtId="164" fontId="4" fillId="0" borderId="0" xfId="0" applyNumberFormat="1" applyFont="1" applyBorder="1"/>
    <xf numFmtId="9" fontId="4" fillId="0" borderId="0" xfId="2" applyFont="1" applyBorder="1"/>
    <xf numFmtId="0" fontId="4" fillId="0" borderId="10" xfId="0" applyFont="1" applyBorder="1"/>
    <xf numFmtId="0" fontId="4" fillId="7" borderId="10" xfId="0" applyFont="1" applyFill="1" applyBorder="1"/>
    <xf numFmtId="164" fontId="4" fillId="7" borderId="10" xfId="0" applyNumberFormat="1" applyFont="1" applyFill="1" applyBorder="1"/>
    <xf numFmtId="164" fontId="10" fillId="0" borderId="0" xfId="0" applyNumberFormat="1" applyFont="1" applyBorder="1"/>
    <xf numFmtId="9" fontId="10" fillId="0" borderId="0" xfId="2" applyFont="1" applyBorder="1"/>
    <xf numFmtId="9" fontId="19" fillId="0" borderId="0" xfId="2" applyFont="1" applyBorder="1"/>
    <xf numFmtId="0" fontId="4" fillId="0" borderId="0" xfId="0" applyFont="1" applyBorder="1"/>
    <xf numFmtId="0" fontId="3" fillId="0" borderId="2" xfId="0" applyFont="1" applyBorder="1"/>
    <xf numFmtId="0" fontId="16" fillId="2" borderId="3" xfId="0" applyFont="1" applyFill="1" applyBorder="1"/>
    <xf numFmtId="0" fontId="4" fillId="0" borderId="5" xfId="0" applyFont="1" applyBorder="1"/>
    <xf numFmtId="0" fontId="4" fillId="0" borderId="6" xfId="0" applyFont="1" applyBorder="1"/>
    <xf numFmtId="164" fontId="4" fillId="0" borderId="0" xfId="1" applyNumberFormat="1" applyFont="1" applyBorder="1"/>
    <xf numFmtId="9" fontId="4" fillId="0" borderId="6" xfId="2" applyFont="1" applyBorder="1"/>
    <xf numFmtId="0" fontId="5" fillId="0" borderId="0" xfId="0" applyFont="1" applyBorder="1"/>
    <xf numFmtId="164" fontId="18" fillId="0" borderId="0" xfId="0" applyNumberFormat="1" applyFont="1" applyBorder="1"/>
    <xf numFmtId="0" fontId="17" fillId="0" borderId="0" xfId="0" applyFont="1" applyBorder="1"/>
    <xf numFmtId="0" fontId="10" fillId="0" borderId="0" xfId="0" applyFont="1" applyBorder="1"/>
    <xf numFmtId="164" fontId="10" fillId="0" borderId="0" xfId="1" applyNumberFormat="1" applyFont="1" applyBorder="1"/>
    <xf numFmtId="165" fontId="4" fillId="0" borderId="6" xfId="1" applyNumberFormat="1" applyFont="1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5" fillId="0" borderId="2" xfId="0" applyFont="1" applyBorder="1"/>
    <xf numFmtId="0" fontId="5" fillId="0" borderId="3" xfId="0" applyFont="1" applyBorder="1"/>
    <xf numFmtId="0" fontId="5" fillId="0" borderId="4" xfId="0" applyFont="1" applyBorder="1"/>
    <xf numFmtId="0" fontId="4" fillId="7" borderId="12" xfId="0" applyFont="1" applyFill="1" applyBorder="1"/>
    <xf numFmtId="0" fontId="4" fillId="7" borderId="13" xfId="0" applyFont="1" applyFill="1" applyBorder="1"/>
    <xf numFmtId="0" fontId="4" fillId="7" borderId="14" xfId="0" applyFont="1" applyFill="1" applyBorder="1"/>
    <xf numFmtId="0" fontId="4" fillId="0" borderId="3" xfId="0" applyFont="1" applyBorder="1"/>
    <xf numFmtId="164" fontId="4" fillId="7" borderId="10" xfId="1" applyNumberFormat="1" applyFont="1" applyFill="1" applyBorder="1"/>
    <xf numFmtId="0" fontId="5" fillId="0" borderId="11" xfId="0" applyFont="1" applyBorder="1"/>
    <xf numFmtId="164" fontId="5" fillId="0" borderId="10" xfId="0" applyNumberFormat="1" applyFont="1" applyBorder="1"/>
    <xf numFmtId="0" fontId="5" fillId="7" borderId="11" xfId="0" applyFont="1" applyFill="1" applyBorder="1"/>
    <xf numFmtId="0" fontId="5" fillId="7" borderId="10" xfId="0" applyFont="1" applyFill="1" applyBorder="1"/>
    <xf numFmtId="0" fontId="9" fillId="2" borderId="0" xfId="0" applyFont="1" applyFill="1"/>
    <xf numFmtId="165" fontId="5" fillId="0" borderId="10" xfId="0" applyNumberFormat="1" applyFont="1" applyBorder="1"/>
    <xf numFmtId="170" fontId="2" fillId="0" borderId="0" xfId="0" applyNumberFormat="1" applyFont="1"/>
    <xf numFmtId="165" fontId="5" fillId="7" borderId="10" xfId="0" applyNumberFormat="1" applyFont="1" applyFill="1" applyBorder="1"/>
    <xf numFmtId="170" fontId="5" fillId="7" borderId="10" xfId="0" applyNumberFormat="1" applyFont="1" applyFill="1" applyBorder="1"/>
    <xf numFmtId="165" fontId="2" fillId="0" borderId="0" xfId="0" applyNumberFormat="1" applyFont="1"/>
    <xf numFmtId="44" fontId="4" fillId="0" borderId="0" xfId="3" applyFont="1"/>
    <xf numFmtId="44" fontId="4" fillId="0" borderId="10" xfId="0" applyNumberFormat="1" applyFont="1" applyBorder="1"/>
    <xf numFmtId="9" fontId="4" fillId="0" borderId="10" xfId="0" applyNumberFormat="1" applyFont="1" applyBorder="1"/>
    <xf numFmtId="0" fontId="9" fillId="6" borderId="0" xfId="0" applyFont="1" applyFill="1"/>
    <xf numFmtId="0" fontId="0" fillId="0" borderId="19" xfId="0" applyBorder="1"/>
    <xf numFmtId="164" fontId="11" fillId="0" borderId="19" xfId="1" applyNumberFormat="1" applyFont="1" applyBorder="1"/>
    <xf numFmtId="0" fontId="11" fillId="0" borderId="0" xfId="0" applyFont="1"/>
    <xf numFmtId="0" fontId="0" fillId="5" borderId="0" xfId="0" applyFill="1" applyProtection="1">
      <protection hidden="1"/>
    </xf>
    <xf numFmtId="1" fontId="0" fillId="0" borderId="19" xfId="0" applyNumberFormat="1" applyBorder="1"/>
    <xf numFmtId="164" fontId="4" fillId="0" borderId="6" xfId="1" applyNumberFormat="1" applyFont="1" applyBorder="1"/>
    <xf numFmtId="43" fontId="4" fillId="0" borderId="10" xfId="1" applyNumberFormat="1" applyFont="1" applyBorder="1"/>
    <xf numFmtId="10" fontId="4" fillId="0" borderId="0" xfId="2" applyNumberFormat="1" applyFont="1"/>
    <xf numFmtId="164" fontId="4" fillId="0" borderId="10" xfId="1" applyNumberFormat="1" applyFont="1" applyBorder="1"/>
    <xf numFmtId="9" fontId="4" fillId="0" borderId="10" xfId="1" applyNumberFormat="1" applyFont="1" applyBorder="1"/>
    <xf numFmtId="172" fontId="10" fillId="0" borderId="0" xfId="2" applyNumberFormat="1" applyFont="1" applyBorder="1"/>
    <xf numFmtId="0" fontId="4" fillId="7" borderId="20" xfId="0" applyFont="1" applyFill="1" applyBorder="1"/>
    <xf numFmtId="9" fontId="4" fillId="0" borderId="0" xfId="0" applyNumberFormat="1" applyFont="1" applyBorder="1"/>
    <xf numFmtId="10" fontId="4" fillId="0" borderId="0" xfId="0" applyNumberFormat="1" applyFont="1" applyBorder="1"/>
    <xf numFmtId="172" fontId="4" fillId="0" borderId="0" xfId="0" applyNumberFormat="1" applyFont="1" applyBorder="1"/>
    <xf numFmtId="172" fontId="4" fillId="7" borderId="21" xfId="2" applyNumberFormat="1" applyFont="1" applyFill="1" applyBorder="1"/>
    <xf numFmtId="9" fontId="4" fillId="0" borderId="6" xfId="0" applyNumberFormat="1" applyFont="1" applyBorder="1"/>
    <xf numFmtId="172" fontId="4" fillId="0" borderId="6" xfId="0" applyNumberFormat="1" applyFont="1" applyBorder="1"/>
    <xf numFmtId="10" fontId="4" fillId="0" borderId="6" xfId="0" applyNumberFormat="1" applyFont="1" applyBorder="1"/>
    <xf numFmtId="10" fontId="4" fillId="0" borderId="9" xfId="0" applyNumberFormat="1" applyFont="1" applyBorder="1"/>
    <xf numFmtId="0" fontId="16" fillId="2" borderId="22" xfId="0" applyFont="1" applyFill="1" applyBorder="1"/>
    <xf numFmtId="164" fontId="4" fillId="0" borderId="17" xfId="0" applyNumberFormat="1" applyFont="1" applyBorder="1"/>
    <xf numFmtId="9" fontId="4" fillId="0" borderId="17" xfId="2" applyFont="1" applyBorder="1"/>
    <xf numFmtId="9" fontId="10" fillId="0" borderId="17" xfId="2" applyFont="1" applyBorder="1"/>
    <xf numFmtId="164" fontId="4" fillId="7" borderId="23" xfId="1" applyNumberFormat="1" applyFont="1" applyFill="1" applyBorder="1"/>
    <xf numFmtId="164" fontId="10" fillId="0" borderId="17" xfId="1" applyNumberFormat="1" applyFont="1" applyBorder="1"/>
    <xf numFmtId="165" fontId="4" fillId="0" borderId="17" xfId="1" applyNumberFormat="1" applyFont="1" applyBorder="1"/>
    <xf numFmtId="0" fontId="4" fillId="0" borderId="17" xfId="0" applyFont="1" applyBorder="1"/>
    <xf numFmtId="164" fontId="4" fillId="7" borderId="23" xfId="0" applyNumberFormat="1" applyFont="1" applyFill="1" applyBorder="1"/>
    <xf numFmtId="164" fontId="4" fillId="0" borderId="23" xfId="1" applyNumberFormat="1" applyFont="1" applyBorder="1"/>
    <xf numFmtId="9" fontId="10" fillId="0" borderId="0" xfId="2" applyFont="1"/>
    <xf numFmtId="0" fontId="16" fillId="2" borderId="3" xfId="0" applyFont="1" applyFill="1" applyBorder="1" applyAlignment="1">
      <alignment horizontal="center"/>
    </xf>
    <xf numFmtId="9" fontId="21" fillId="9" borderId="1" xfId="2" applyFont="1" applyFill="1" applyBorder="1" applyAlignment="1">
      <alignment horizontal="center"/>
    </xf>
    <xf numFmtId="0" fontId="16" fillId="2" borderId="22" xfId="0" applyFont="1" applyFill="1" applyBorder="1" applyAlignment="1">
      <alignment horizontal="center"/>
    </xf>
    <xf numFmtId="164" fontId="4" fillId="0" borderId="17" xfId="1" applyNumberFormat="1" applyFont="1" applyBorder="1"/>
    <xf numFmtId="0" fontId="16" fillId="2" borderId="4" xfId="0" applyFont="1" applyFill="1" applyBorder="1" applyAlignment="1">
      <alignment horizontal="center"/>
    </xf>
    <xf numFmtId="0" fontId="4" fillId="7" borderId="5" xfId="0" applyFont="1" applyFill="1" applyBorder="1"/>
    <xf numFmtId="164" fontId="4" fillId="7" borderId="17" xfId="1" applyNumberFormat="1" applyFont="1" applyFill="1" applyBorder="1"/>
    <xf numFmtId="0" fontId="4" fillId="0" borderId="5" xfId="0" applyFont="1" applyFill="1" applyBorder="1"/>
    <xf numFmtId="0" fontId="24" fillId="0" borderId="0" xfId="0" applyFont="1" applyAlignment="1">
      <alignment horizontal="center" vertical="center"/>
    </xf>
    <xf numFmtId="1" fontId="10" fillId="0" borderId="0" xfId="1" applyNumberFormat="1" applyFont="1" applyBorder="1"/>
    <xf numFmtId="0" fontId="4" fillId="0" borderId="0" xfId="3" applyNumberFormat="1" applyFont="1"/>
    <xf numFmtId="0" fontId="21" fillId="9" borderId="1" xfId="2" applyNumberFormat="1" applyFont="1" applyFill="1" applyBorder="1" applyAlignment="1">
      <alignment horizontal="center"/>
    </xf>
    <xf numFmtId="0" fontId="4" fillId="0" borderId="0" xfId="3" applyNumberFormat="1" applyFont="1" applyAlignment="1">
      <alignment horizontal="right"/>
    </xf>
    <xf numFmtId="0" fontId="24" fillId="0" borderId="0" xfId="0" applyFont="1" applyAlignment="1">
      <alignment horizontal="left" vertical="center"/>
    </xf>
    <xf numFmtId="0" fontId="24" fillId="0" borderId="0" xfId="0" quotePrefix="1" applyFont="1" applyAlignment="1">
      <alignment horizontal="left" vertical="center"/>
    </xf>
    <xf numFmtId="164" fontId="4" fillId="7" borderId="0" xfId="1" applyNumberFormat="1" applyFont="1" applyFill="1" applyBorder="1"/>
    <xf numFmtId="164" fontId="4" fillId="7" borderId="6" xfId="1" applyNumberFormat="1" applyFont="1" applyFill="1" applyBorder="1"/>
    <xf numFmtId="0" fontId="16" fillId="8" borderId="0" xfId="0" applyFont="1" applyFill="1" applyBorder="1" applyAlignment="1">
      <alignment horizontal="center"/>
    </xf>
    <xf numFmtId="0" fontId="4" fillId="8" borderId="0" xfId="0" applyFont="1" applyFill="1" applyBorder="1"/>
    <xf numFmtId="9" fontId="21" fillId="8" borderId="0" xfId="2" applyFont="1" applyFill="1" applyBorder="1" applyAlignment="1">
      <alignment horizontal="center"/>
    </xf>
    <xf numFmtId="0" fontId="21" fillId="8" borderId="0" xfId="2" applyNumberFormat="1" applyFont="1" applyFill="1" applyBorder="1" applyAlignment="1">
      <alignment horizontal="center"/>
    </xf>
    <xf numFmtId="0" fontId="16" fillId="2" borderId="0" xfId="0" applyFont="1" applyFill="1" applyBorder="1" applyAlignment="1">
      <alignment horizontal="center"/>
    </xf>
    <xf numFmtId="9" fontId="4" fillId="0" borderId="0" xfId="2" applyFont="1" applyAlignment="1">
      <alignment horizontal="center"/>
    </xf>
    <xf numFmtId="0" fontId="25" fillId="2" borderId="3" xfId="0" applyFont="1" applyFill="1" applyBorder="1" applyAlignment="1">
      <alignment horizontal="center"/>
    </xf>
    <xf numFmtId="0" fontId="25" fillId="2" borderId="4" xfId="0" applyFont="1" applyFill="1" applyBorder="1" applyAlignment="1">
      <alignment horizontal="center"/>
    </xf>
    <xf numFmtId="9" fontId="10" fillId="0" borderId="0" xfId="2" applyFont="1" applyBorder="1" applyAlignment="1">
      <alignment horizontal="right"/>
    </xf>
    <xf numFmtId="9" fontId="10" fillId="7" borderId="0" xfId="2" applyFont="1" applyFill="1" applyBorder="1"/>
    <xf numFmtId="9" fontId="22" fillId="0" borderId="0" xfId="2" applyFont="1" applyBorder="1"/>
    <xf numFmtId="9" fontId="23" fillId="0" borderId="0" xfId="2" applyFont="1" applyBorder="1"/>
    <xf numFmtId="164" fontId="23" fillId="0" borderId="0" xfId="1" applyNumberFormat="1" applyFont="1" applyBorder="1"/>
    <xf numFmtId="172" fontId="10" fillId="0" borderId="0" xfId="2" applyNumberFormat="1" applyFont="1" applyBorder="1" applyAlignment="1">
      <alignment horizontal="right"/>
    </xf>
    <xf numFmtId="164" fontId="4" fillId="3" borderId="0" xfId="1" applyNumberFormat="1" applyFont="1" applyFill="1" applyBorder="1"/>
    <xf numFmtId="0" fontId="4" fillId="4" borderId="7" xfId="0" applyFont="1" applyFill="1" applyBorder="1"/>
    <xf numFmtId="164" fontId="4" fillId="4" borderId="24" xfId="1" applyNumberFormat="1" applyFont="1" applyFill="1" applyBorder="1"/>
    <xf numFmtId="164" fontId="4" fillId="4" borderId="8" xfId="1" applyNumberFormat="1" applyFont="1" applyFill="1" applyBorder="1"/>
    <xf numFmtId="9" fontId="21" fillId="9" borderId="18" xfId="2" applyFont="1" applyFill="1" applyBorder="1" applyAlignment="1">
      <alignment horizontal="center"/>
    </xf>
    <xf numFmtId="9" fontId="21" fillId="9" borderId="15" xfId="2" applyFont="1" applyFill="1" applyBorder="1" applyAlignment="1">
      <alignment horizontal="center"/>
    </xf>
    <xf numFmtId="9" fontId="21" fillId="0" borderId="0" xfId="2" applyFont="1" applyFill="1" applyBorder="1" applyAlignment="1">
      <alignment horizontal="center"/>
    </xf>
    <xf numFmtId="164" fontId="4" fillId="0" borderId="0" xfId="0" applyNumberFormat="1" applyFont="1" applyFill="1" applyBorder="1"/>
    <xf numFmtId="9" fontId="22" fillId="0" borderId="0" xfId="2" applyFont="1" applyFill="1" applyBorder="1"/>
    <xf numFmtId="172" fontId="10" fillId="0" borderId="0" xfId="2" applyNumberFormat="1" applyFont="1" applyFill="1" applyBorder="1" applyAlignment="1">
      <alignment horizontal="right"/>
    </xf>
    <xf numFmtId="9" fontId="19" fillId="0" borderId="0" xfId="2" applyFont="1" applyFill="1" applyBorder="1"/>
    <xf numFmtId="9" fontId="23" fillId="0" borderId="0" xfId="2" applyFont="1" applyFill="1" applyBorder="1"/>
    <xf numFmtId="9" fontId="10" fillId="0" borderId="0" xfId="2" applyFont="1" applyFill="1" applyBorder="1"/>
    <xf numFmtId="1" fontId="10" fillId="0" borderId="0" xfId="1" applyNumberFormat="1" applyFont="1" applyFill="1" applyBorder="1"/>
    <xf numFmtId="164" fontId="23" fillId="0" borderId="0" xfId="1" applyNumberFormat="1" applyFont="1" applyFill="1" applyBorder="1"/>
    <xf numFmtId="165" fontId="4" fillId="0" borderId="0" xfId="1" applyNumberFormat="1" applyFont="1" applyFill="1" applyBorder="1"/>
    <xf numFmtId="164" fontId="4" fillId="0" borderId="0" xfId="1" applyNumberFormat="1" applyFont="1" applyFill="1" applyBorder="1"/>
    <xf numFmtId="172" fontId="10" fillId="0" borderId="0" xfId="2" applyNumberFormat="1" applyFont="1" applyFill="1" applyBorder="1"/>
    <xf numFmtId="164" fontId="10" fillId="0" borderId="0" xfId="1" applyNumberFormat="1" applyFont="1" applyFill="1" applyBorder="1"/>
    <xf numFmtId="0" fontId="4" fillId="0" borderId="0" xfId="0" applyFont="1" applyFill="1" applyBorder="1"/>
    <xf numFmtId="0" fontId="8" fillId="0" borderId="0" xfId="0" applyFont="1" applyFill="1" applyBorder="1" applyAlignment="1">
      <alignment horizontal="center" wrapText="1"/>
    </xf>
    <xf numFmtId="0" fontId="16" fillId="0" borderId="0" xfId="0" applyFont="1" applyFill="1" applyBorder="1" applyAlignment="1">
      <alignment horizontal="center"/>
    </xf>
    <xf numFmtId="0" fontId="16" fillId="2" borderId="0" xfId="0" applyFont="1" applyFill="1" applyBorder="1"/>
    <xf numFmtId="172" fontId="4" fillId="0" borderId="0" xfId="2" applyNumberFormat="1" applyFont="1" applyBorder="1"/>
    <xf numFmtId="0" fontId="0" fillId="0" borderId="0" xfId="0" applyBorder="1"/>
    <xf numFmtId="164" fontId="4" fillId="7" borderId="26" xfId="0" applyNumberFormat="1" applyFont="1" applyFill="1" applyBorder="1"/>
    <xf numFmtId="164" fontId="4" fillId="0" borderId="27" xfId="0" applyNumberFormat="1" applyFont="1" applyBorder="1"/>
    <xf numFmtId="0" fontId="16" fillId="2" borderId="16" xfId="0" applyFont="1" applyFill="1" applyBorder="1"/>
    <xf numFmtId="164" fontId="4" fillId="0" borderId="16" xfId="0" applyNumberFormat="1" applyFont="1" applyBorder="1"/>
    <xf numFmtId="9" fontId="4" fillId="0" borderId="16" xfId="2" applyFont="1" applyBorder="1"/>
    <xf numFmtId="9" fontId="10" fillId="0" borderId="16" xfId="2" applyFont="1" applyBorder="1"/>
    <xf numFmtId="9" fontId="19" fillId="0" borderId="16" xfId="2" applyFont="1" applyBorder="1"/>
    <xf numFmtId="164" fontId="4" fillId="7" borderId="28" xfId="0" applyNumberFormat="1" applyFont="1" applyFill="1" applyBorder="1"/>
    <xf numFmtId="1" fontId="10" fillId="0" borderId="16" xfId="1" applyNumberFormat="1" applyFont="1" applyBorder="1"/>
    <xf numFmtId="164" fontId="10" fillId="0" borderId="16" xfId="1" applyNumberFormat="1" applyFont="1" applyBorder="1"/>
    <xf numFmtId="165" fontId="4" fillId="0" borderId="16" xfId="1" applyNumberFormat="1" applyFont="1" applyBorder="1"/>
    <xf numFmtId="172" fontId="10" fillId="0" borderId="16" xfId="2" applyNumberFormat="1" applyFont="1" applyBorder="1"/>
    <xf numFmtId="164" fontId="4" fillId="0" borderId="16" xfId="1" applyNumberFormat="1" applyFont="1" applyBorder="1"/>
    <xf numFmtId="164" fontId="4" fillId="7" borderId="29" xfId="0" applyNumberFormat="1" applyFont="1" applyFill="1" applyBorder="1"/>
    <xf numFmtId="164" fontId="4" fillId="0" borderId="30" xfId="0" applyNumberFormat="1" applyFont="1" applyBorder="1"/>
    <xf numFmtId="164" fontId="4" fillId="0" borderId="31" xfId="0" applyNumberFormat="1" applyFont="1" applyBorder="1"/>
    <xf numFmtId="0" fontId="3" fillId="0" borderId="32" xfId="0" applyFont="1" applyBorder="1"/>
    <xf numFmtId="0" fontId="4" fillId="0" borderId="33" xfId="0" applyFont="1" applyBorder="1"/>
    <xf numFmtId="0" fontId="4" fillId="0" borderId="33" xfId="0" applyFont="1" applyBorder="1" applyAlignment="1">
      <alignment horizontal="left" indent="2"/>
    </xf>
    <xf numFmtId="0" fontId="10" fillId="0" borderId="33" xfId="0" applyFont="1" applyBorder="1" applyAlignment="1">
      <alignment horizontal="left" indent="2"/>
    </xf>
    <xf numFmtId="0" fontId="10" fillId="0" borderId="33" xfId="0" applyFont="1" applyBorder="1"/>
    <xf numFmtId="0" fontId="4" fillId="7" borderId="34" xfId="0" applyFont="1" applyFill="1" applyBorder="1"/>
    <xf numFmtId="0" fontId="4" fillId="0" borderId="34" xfId="0" applyFont="1" applyBorder="1"/>
    <xf numFmtId="0" fontId="4" fillId="7" borderId="35" xfId="0" applyFont="1" applyFill="1" applyBorder="1"/>
    <xf numFmtId="0" fontId="4" fillId="7" borderId="36" xfId="0" applyFont="1" applyFill="1" applyBorder="1"/>
    <xf numFmtId="172" fontId="18" fillId="0" borderId="0" xfId="2" applyNumberFormat="1" applyFont="1" applyBorder="1"/>
    <xf numFmtId="0" fontId="4" fillId="12" borderId="33" xfId="0" applyFont="1" applyFill="1" applyBorder="1"/>
    <xf numFmtId="164" fontId="4" fillId="12" borderId="0" xfId="0" applyNumberFormat="1" applyFont="1" applyFill="1" applyBorder="1"/>
    <xf numFmtId="164" fontId="4" fillId="12" borderId="17" xfId="0" applyNumberFormat="1" applyFont="1" applyFill="1" applyBorder="1"/>
    <xf numFmtId="164" fontId="4" fillId="12" borderId="16" xfId="0" applyNumberFormat="1" applyFont="1" applyFill="1" applyBorder="1"/>
    <xf numFmtId="165" fontId="4" fillId="12" borderId="0" xfId="1" applyNumberFormat="1" applyFont="1" applyFill="1" applyBorder="1"/>
    <xf numFmtId="165" fontId="4" fillId="12" borderId="16" xfId="1" applyNumberFormat="1" applyFont="1" applyFill="1" applyBorder="1"/>
    <xf numFmtId="165" fontId="4" fillId="4" borderId="9" xfId="1" applyNumberFormat="1" applyFont="1" applyFill="1" applyBorder="1"/>
    <xf numFmtId="0" fontId="4" fillId="0" borderId="2" xfId="0" applyFont="1" applyBorder="1"/>
    <xf numFmtId="164" fontId="4" fillId="0" borderId="6" xfId="0" applyNumberFormat="1" applyFont="1" applyBorder="1"/>
    <xf numFmtId="9" fontId="22" fillId="0" borderId="6" xfId="2" applyFont="1" applyBorder="1"/>
    <xf numFmtId="172" fontId="10" fillId="0" borderId="6" xfId="2" applyNumberFormat="1" applyFont="1" applyBorder="1" applyAlignment="1">
      <alignment horizontal="right"/>
    </xf>
    <xf numFmtId="9" fontId="19" fillId="0" borderId="6" xfId="2" applyFont="1" applyBorder="1"/>
    <xf numFmtId="9" fontId="23" fillId="0" borderId="6" xfId="2" applyFont="1" applyBorder="1"/>
    <xf numFmtId="164" fontId="4" fillId="7" borderId="37" xfId="0" applyNumberFormat="1" applyFont="1" applyFill="1" applyBorder="1"/>
    <xf numFmtId="9" fontId="10" fillId="0" borderId="6" xfId="2" applyFont="1" applyBorder="1"/>
    <xf numFmtId="1" fontId="10" fillId="0" borderId="6" xfId="1" applyNumberFormat="1" applyFont="1" applyBorder="1"/>
    <xf numFmtId="164" fontId="23" fillId="0" borderId="6" xfId="1" applyNumberFormat="1" applyFont="1" applyBorder="1"/>
    <xf numFmtId="164" fontId="4" fillId="12" borderId="6" xfId="0" applyNumberFormat="1" applyFont="1" applyFill="1" applyBorder="1"/>
    <xf numFmtId="165" fontId="4" fillId="12" borderId="6" xfId="1" applyNumberFormat="1" applyFont="1" applyFill="1" applyBorder="1"/>
    <xf numFmtId="172" fontId="10" fillId="0" borderId="6" xfId="2" applyNumberFormat="1" applyFont="1" applyBorder="1"/>
    <xf numFmtId="164" fontId="4" fillId="0" borderId="6" xfId="1" applyNumberFormat="1" applyFont="1" applyFill="1" applyBorder="1"/>
    <xf numFmtId="164" fontId="10" fillId="0" borderId="6" xfId="1" applyNumberFormat="1" applyFont="1" applyBorder="1"/>
    <xf numFmtId="0" fontId="4" fillId="0" borderId="38" xfId="0" applyFont="1" applyBorder="1"/>
    <xf numFmtId="0" fontId="4" fillId="0" borderId="39" xfId="0" applyFont="1" applyBorder="1"/>
    <xf numFmtId="43" fontId="4" fillId="0" borderId="39" xfId="0" applyNumberFormat="1" applyFont="1" applyBorder="1"/>
    <xf numFmtId="164" fontId="4" fillId="0" borderId="39" xfId="0" applyNumberFormat="1" applyFont="1" applyBorder="1"/>
    <xf numFmtId="164" fontId="4" fillId="0" borderId="40" xfId="0" applyNumberFormat="1" applyFont="1" applyBorder="1"/>
    <xf numFmtId="164" fontId="4" fillId="0" borderId="41" xfId="0" applyNumberFormat="1" applyFont="1" applyBorder="1"/>
    <xf numFmtId="172" fontId="4" fillId="0" borderId="0" xfId="2" applyNumberFormat="1" applyFont="1"/>
    <xf numFmtId="0" fontId="16" fillId="2" borderId="42" xfId="0" applyFont="1" applyFill="1" applyBorder="1"/>
    <xf numFmtId="0" fontId="16" fillId="2" borderId="42" xfId="0" applyFont="1" applyFill="1" applyBorder="1" applyAlignment="1">
      <alignment horizontal="center"/>
    </xf>
    <xf numFmtId="0" fontId="8" fillId="11" borderId="0" xfId="0" applyFont="1" applyFill="1" applyBorder="1" applyAlignment="1">
      <alignment horizontal="center" wrapText="1"/>
    </xf>
    <xf numFmtId="0" fontId="8" fillId="6" borderId="0" xfId="0" applyFont="1" applyFill="1" applyBorder="1" applyAlignment="1">
      <alignment horizontal="center" wrapText="1"/>
    </xf>
    <xf numFmtId="0" fontId="8" fillId="10" borderId="25" xfId="0" applyFont="1" applyFill="1" applyBorder="1" applyAlignment="1">
      <alignment horizontal="center" wrapText="1"/>
    </xf>
    <xf numFmtId="0" fontId="8" fillId="10" borderId="21" xfId="0" applyFont="1" applyFill="1" applyBorder="1" applyAlignment="1">
      <alignment horizontal="center" wrapText="1"/>
    </xf>
    <xf numFmtId="0" fontId="26" fillId="0" borderId="0" xfId="0" applyFont="1"/>
  </cellXfs>
  <cellStyles count="8">
    <cellStyle name="Comma" xfId="1" builtinId="3"/>
    <cellStyle name="Comma 3" xfId="5" xr:uid="{31CE0EA1-F486-47C7-803E-A628666E39E6}"/>
    <cellStyle name="Currency" xfId="3" builtinId="4"/>
    <cellStyle name="Currency 3" xfId="7" xr:uid="{B3014B61-FE7C-46CA-88C4-5C88393BC0BB}"/>
    <cellStyle name="Normal" xfId="0" builtinId="0"/>
    <cellStyle name="Normal 3" xfId="4" xr:uid="{20B40F11-5505-4878-BD92-5134B6594A06}"/>
    <cellStyle name="Percent" xfId="2" builtinId="5"/>
    <cellStyle name="Percent 3" xfId="6" xr:uid="{13001386-8900-4C6C-8C94-305119C01C7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4714E-1005-4E7F-AC0C-80427122D50F}">
  <dimension ref="B2:P54"/>
  <sheetViews>
    <sheetView showGridLines="0" zoomScale="90" zoomScaleNormal="90" workbookViewId="0">
      <selection activeCell="F36" sqref="F36"/>
    </sheetView>
  </sheetViews>
  <sheetFormatPr defaultRowHeight="11.5"/>
  <cols>
    <col min="1" max="1" width="8.7265625" style="2"/>
    <col min="2" max="2" width="20.08984375" style="2" customWidth="1"/>
    <col min="3" max="3" width="10.453125" style="2" customWidth="1"/>
    <col min="4" max="6" width="12.90625" style="2" customWidth="1"/>
    <col min="7" max="7" width="3.81640625" style="2" customWidth="1"/>
    <col min="8" max="8" width="8.08984375" style="2" customWidth="1"/>
    <col min="9" max="10" width="8.81640625" style="2" customWidth="1"/>
    <col min="11" max="11" width="94.6328125" style="2" customWidth="1"/>
    <col min="12" max="12" width="25.1796875" style="2" customWidth="1"/>
    <col min="13" max="13" width="9.90625" style="2" customWidth="1"/>
    <col min="14" max="14" width="8.7265625" style="2"/>
    <col min="15" max="15" width="9.7265625" style="2" customWidth="1"/>
    <col min="16" max="16384" width="8.7265625" style="2"/>
  </cols>
  <sheetData>
    <row r="2" spans="2:11">
      <c r="B2" s="3" t="s">
        <v>199</v>
      </c>
    </row>
    <row r="3" spans="2:11" ht="12" thickBot="1"/>
    <row r="4" spans="2:11">
      <c r="C4" s="34">
        <v>2020</v>
      </c>
      <c r="D4" s="101" t="s">
        <v>102</v>
      </c>
      <c r="E4" s="101" t="s">
        <v>206</v>
      </c>
      <c r="F4" s="101" t="s">
        <v>103</v>
      </c>
      <c r="H4" s="114" t="s">
        <v>188</v>
      </c>
      <c r="I4" s="118"/>
      <c r="J4" s="118"/>
    </row>
    <row r="5" spans="2:11">
      <c r="F5" s="2" t="s">
        <v>104</v>
      </c>
      <c r="H5" s="109"/>
      <c r="I5" s="119"/>
      <c r="J5" s="119"/>
    </row>
    <row r="6" spans="2:11">
      <c r="B6" s="2" t="s">
        <v>184</v>
      </c>
      <c r="C6" s="13">
        <f>Model!F4</f>
        <v>1.6E-2</v>
      </c>
      <c r="D6" s="123">
        <v>0.13</v>
      </c>
      <c r="E6" s="123">
        <v>0.1</v>
      </c>
      <c r="F6" s="123">
        <v>7.0000000000000007E-2</v>
      </c>
      <c r="H6" s="114" t="s">
        <v>189</v>
      </c>
      <c r="I6" s="120"/>
      <c r="J6" s="120"/>
    </row>
    <row r="7" spans="2:11">
      <c r="B7" s="2" t="s">
        <v>217</v>
      </c>
      <c r="C7" s="13">
        <f>Model!F10</f>
        <v>0.4002732830283755</v>
      </c>
      <c r="D7" s="136">
        <v>0.5</v>
      </c>
      <c r="E7" s="136">
        <v>0.4</v>
      </c>
      <c r="F7" s="137">
        <v>0.4</v>
      </c>
      <c r="H7" s="114" t="s">
        <v>190</v>
      </c>
      <c r="I7" s="120"/>
      <c r="J7" s="120"/>
    </row>
    <row r="8" spans="2:11">
      <c r="B8" s="2" t="s">
        <v>218</v>
      </c>
      <c r="C8" s="13">
        <f>Model!F11</f>
        <v>3.0050546773902072E-2</v>
      </c>
      <c r="D8" s="102">
        <v>0.1</v>
      </c>
      <c r="E8" s="102">
        <v>7.0000000000000007E-2</v>
      </c>
      <c r="F8" s="102">
        <v>0.04</v>
      </c>
      <c r="H8" s="114" t="s">
        <v>191</v>
      </c>
      <c r="I8" s="120"/>
      <c r="J8" s="120"/>
    </row>
    <row r="9" spans="2:11">
      <c r="B9" s="2" t="s">
        <v>187</v>
      </c>
      <c r="C9" s="13">
        <f>Model!F26</f>
        <v>0.15</v>
      </c>
      <c r="D9" s="102">
        <v>0.1</v>
      </c>
      <c r="E9" s="102">
        <v>0.15</v>
      </c>
      <c r="F9" s="102">
        <v>0.15</v>
      </c>
      <c r="H9" s="115" t="s">
        <v>192</v>
      </c>
      <c r="I9" s="120"/>
      <c r="J9" s="120"/>
    </row>
    <row r="10" spans="2:11">
      <c r="B10" s="2" t="s">
        <v>197</v>
      </c>
      <c r="C10" s="111">
        <v>240</v>
      </c>
      <c r="D10" s="112">
        <v>280</v>
      </c>
      <c r="E10" s="112">
        <f>C10</f>
        <v>240</v>
      </c>
      <c r="F10" s="112">
        <v>200</v>
      </c>
      <c r="H10" s="115" t="s">
        <v>198</v>
      </c>
      <c r="I10" s="121"/>
      <c r="J10" s="121"/>
    </row>
    <row r="11" spans="2:11">
      <c r="B11" s="2" t="s">
        <v>200</v>
      </c>
      <c r="C11" s="113">
        <f>1</f>
        <v>1</v>
      </c>
      <c r="D11" s="112">
        <v>1.6</v>
      </c>
      <c r="E11" s="112">
        <v>1.4</v>
      </c>
      <c r="F11" s="112">
        <v>1.2</v>
      </c>
      <c r="H11" s="114" t="s">
        <v>201</v>
      </c>
      <c r="I11" s="121"/>
      <c r="J11" s="121"/>
    </row>
    <row r="12" spans="2:11">
      <c r="B12" s="2" t="s">
        <v>204</v>
      </c>
      <c r="C12" s="13">
        <f>Model!F30</f>
        <v>0.2908793850444531</v>
      </c>
      <c r="D12" s="102">
        <v>0.45</v>
      </c>
      <c r="E12" s="102">
        <v>0.4</v>
      </c>
      <c r="F12" s="102">
        <v>0.35</v>
      </c>
      <c r="H12" s="120"/>
      <c r="I12" s="120"/>
      <c r="J12" s="120"/>
      <c r="K12" s="109"/>
    </row>
    <row r="13" spans="2:11">
      <c r="B13" s="2" t="s">
        <v>205</v>
      </c>
      <c r="C13" s="13">
        <f>Model!F33</f>
        <v>0.30178887960011247</v>
      </c>
      <c r="D13" s="138">
        <v>0.25</v>
      </c>
      <c r="E13" s="138">
        <v>0.3</v>
      </c>
      <c r="F13" s="138">
        <v>0.3</v>
      </c>
      <c r="G13" s="120"/>
      <c r="H13" s="120"/>
      <c r="I13" s="120"/>
      <c r="J13" s="120"/>
      <c r="K13" s="109"/>
    </row>
    <row r="14" spans="2:11">
      <c r="C14" s="3"/>
      <c r="D14" s="3"/>
      <c r="E14" s="3"/>
      <c r="F14" s="3"/>
      <c r="G14" s="3"/>
      <c r="H14" s="3"/>
      <c r="I14" s="3"/>
      <c r="J14" s="3"/>
      <c r="K14" s="109"/>
    </row>
    <row r="15" spans="2:11" ht="12" thickBot="1">
      <c r="B15" s="3"/>
      <c r="C15" s="3"/>
      <c r="D15" s="3"/>
      <c r="E15" s="3"/>
      <c r="F15" s="3"/>
      <c r="G15" s="3"/>
      <c r="H15" s="3"/>
      <c r="I15" s="3"/>
      <c r="J15" s="3"/>
      <c r="K15" s="109"/>
    </row>
    <row r="16" spans="2:11" ht="12">
      <c r="B16" s="33" t="s">
        <v>64</v>
      </c>
      <c r="C16" s="103">
        <v>2020</v>
      </c>
      <c r="D16" s="101" t="s">
        <v>102</v>
      </c>
      <c r="E16" s="101" t="s">
        <v>183</v>
      </c>
      <c r="F16" s="105" t="s">
        <v>103</v>
      </c>
      <c r="H16" s="124" t="s">
        <v>211</v>
      </c>
      <c r="I16" s="124" t="s">
        <v>214</v>
      </c>
      <c r="J16" s="125" t="s">
        <v>212</v>
      </c>
      <c r="K16" s="109"/>
    </row>
    <row r="17" spans="2:11">
      <c r="B17" s="35" t="s">
        <v>63</v>
      </c>
      <c r="C17" s="104">
        <f>INDEX(Model!F:F,MATCH('Bull-Bear'!$B17,Model!$B:$B,0))</f>
        <v>320.21862642270042</v>
      </c>
      <c r="D17" s="37">
        <f>INDEX(Model!W:W,MATCH('Bull-Bear'!$B17,Model!$B:$B,0))</f>
        <v>2901.6</v>
      </c>
      <c r="E17" s="37">
        <f>INDEX(Model!K:K,MATCH('Bull-Bear'!$B17,Model!$B:$B,0))</f>
        <v>1785.6000000000001</v>
      </c>
      <c r="F17" s="75">
        <f>INDEX(Model!AI:AI,MATCH('Bull-Bear'!$B17,Model!$B:$B,0))</f>
        <v>1249.92</v>
      </c>
      <c r="H17" s="30">
        <f t="shared" ref="H17:J18" si="0">(D17/$C17)^0.2-1</f>
        <v>0.5539541135925965</v>
      </c>
      <c r="I17" s="30">
        <f t="shared" si="0"/>
        <v>0.41015716176099803</v>
      </c>
      <c r="J17" s="30">
        <f t="shared" si="0"/>
        <v>0.31306772144413064</v>
      </c>
      <c r="K17" s="109"/>
    </row>
    <row r="18" spans="2:11">
      <c r="B18" s="35" t="s">
        <v>66</v>
      </c>
      <c r="C18" s="104">
        <f>INDEX(Model!F:F,MATCH('Bull-Bear'!B18,Model!B:B,0))</f>
        <v>35.579847380300052</v>
      </c>
      <c r="D18" s="37">
        <f>INDEX(Model!W:W,MATCH('Bull-Bear'!$B18,Model!$B:$B,0))</f>
        <v>1031.68</v>
      </c>
      <c r="E18" s="37">
        <f>INDEX(Model!K:K,MATCH('Bull-Bear'!$B18,Model!$B:$B,0))</f>
        <v>555.5200000000001</v>
      </c>
      <c r="F18" s="75">
        <f>INDEX(Model!AI:AI,MATCH('Bull-Bear'!$B18,Model!$B:$B,0))</f>
        <v>222.20800000000003</v>
      </c>
      <c r="H18" s="30">
        <f t="shared" si="0"/>
        <v>0.96095752191291428</v>
      </c>
      <c r="I18" s="30">
        <f t="shared" si="0"/>
        <v>0.73260324582606962</v>
      </c>
      <c r="J18" s="30">
        <f t="shared" si="0"/>
        <v>0.44248438946739022</v>
      </c>
      <c r="K18" s="109"/>
    </row>
    <row r="19" spans="2:11">
      <c r="B19" s="35" t="s">
        <v>202</v>
      </c>
      <c r="C19" s="104">
        <f>INDEX(Model!F:F,MATCH('Bull-Bear'!B19,Model!B:B,0))</f>
        <v>0</v>
      </c>
      <c r="D19" s="37">
        <f>INDEX(Model!W:W,MATCH('Bull-Bear'!$B19,Model!$B:$B,0))</f>
        <v>56.420000000000009</v>
      </c>
      <c r="E19" s="37">
        <f>INDEX(Model!K:K,MATCH('Bull-Bear'!$B19,Model!$B:$B,0))</f>
        <v>34.720000000000006</v>
      </c>
      <c r="F19" s="75">
        <f>INDEX(Model!AI:AI,MATCH('Bull-Bear'!$B19,Model!$B:$B,0))</f>
        <v>16.202666666666669</v>
      </c>
      <c r="H19" s="126" t="s">
        <v>213</v>
      </c>
      <c r="I19" s="126" t="s">
        <v>213</v>
      </c>
      <c r="J19" s="126" t="s">
        <v>213</v>
      </c>
      <c r="K19" s="109"/>
    </row>
    <row r="20" spans="2:11">
      <c r="B20" s="106" t="s">
        <v>60</v>
      </c>
      <c r="C20" s="107">
        <f>INDEX(Model!F:F,MATCH('Bull-Bear'!B20,Model!B:B,0))</f>
        <v>355.79847380300049</v>
      </c>
      <c r="D20" s="116">
        <f>INDEX(Model!W:W,MATCH('Bull-Bear'!$B20,Model!$B:$B,0))</f>
        <v>3989.7</v>
      </c>
      <c r="E20" s="116">
        <f>INDEX(Model!K:K,MATCH('Bull-Bear'!$B20,Model!$B:$B,0))</f>
        <v>2375.84</v>
      </c>
      <c r="F20" s="117">
        <f>INDEX(Model!AI:AI,MATCH('Bull-Bear'!$B20,Model!$B:$B,0))</f>
        <v>1488.3306666666667</v>
      </c>
      <c r="H20" s="127">
        <f t="shared" ref="H20:H32" si="1">(D20/$C20)^0.2-1</f>
        <v>0.62161305476490614</v>
      </c>
      <c r="I20" s="127">
        <f t="shared" ref="I20:I32" si="2">(E20/$C20)^0.2-1</f>
        <v>0.46191668175657741</v>
      </c>
      <c r="J20" s="127">
        <f t="shared" ref="J20:J32" si="3">(F20/$C20)^0.2-1</f>
        <v>0.33137092953461589</v>
      </c>
      <c r="K20" s="109"/>
    </row>
    <row r="21" spans="2:11">
      <c r="B21" s="106" t="s">
        <v>35</v>
      </c>
      <c r="C21" s="107">
        <f>INDEX(Model!F:F,MATCH('Bull-Bear'!B21,Model!B:B,0))</f>
        <v>288.28099999999995</v>
      </c>
      <c r="D21" s="116">
        <f>INDEX(Model!W:W,MATCH('Bull-Bear'!$B21,Model!$B:$B,0))</f>
        <v>3590.73</v>
      </c>
      <c r="E21" s="116">
        <f>INDEX(Model!K:K,MATCH('Bull-Bear'!$B21,Model!$B:$B,0))</f>
        <v>2019.4640000000002</v>
      </c>
      <c r="F21" s="117">
        <f>INDEX(Model!AI:AI,MATCH('Bull-Bear'!$B21,Model!$B:$B,0))</f>
        <v>1265.0810666666666</v>
      </c>
      <c r="H21" s="127">
        <f t="shared" si="1"/>
        <v>0.65604962268877931</v>
      </c>
      <c r="I21" s="127">
        <f t="shared" si="2"/>
        <v>0.47599205290045909</v>
      </c>
      <c r="J21" s="127">
        <f t="shared" si="3"/>
        <v>0.34418940284245014</v>
      </c>
      <c r="K21" s="109"/>
    </row>
    <row r="22" spans="2:11">
      <c r="B22" s="35" t="s">
        <v>37</v>
      </c>
      <c r="C22" s="104">
        <f>INDEX(Model!F:F,MATCH('Bull-Bear'!B22,Model!B:B,0))</f>
        <v>83.854999999999961</v>
      </c>
      <c r="D22" s="37">
        <f>INDEX(Model!W:W,MATCH('Bull-Bear'!$B22,Model!$B:$B,0))</f>
        <v>1615.8285000000001</v>
      </c>
      <c r="E22" s="37">
        <f>INDEX(Model!K:K,MATCH('Bull-Bear'!$B22,Model!$B:$B,0))</f>
        <v>807.78560000000016</v>
      </c>
      <c r="F22" s="75">
        <f>INDEX(Model!AI:AI,MATCH('Bull-Bear'!$B22,Model!$B:$B,0))</f>
        <v>442.77837333333332</v>
      </c>
      <c r="H22" s="30">
        <f t="shared" si="1"/>
        <v>0.80706286025459506</v>
      </c>
      <c r="I22" s="30">
        <f t="shared" si="2"/>
        <v>0.57308948724713416</v>
      </c>
      <c r="J22" s="30">
        <f t="shared" si="3"/>
        <v>0.39486278500167682</v>
      </c>
      <c r="K22" s="109"/>
    </row>
    <row r="23" spans="2:11">
      <c r="B23" s="35" t="s">
        <v>105</v>
      </c>
      <c r="C23" s="104">
        <f>INDEX(Model!F:F,MATCH('Bull-Bear'!B23,Model!B:B,0))</f>
        <v>87</v>
      </c>
      <c r="D23" s="37">
        <f>INDEX(Model!W:W,MATCH('Bull-Bear'!$B23,Model!$B:$B,0))</f>
        <v>932.1276776451881</v>
      </c>
      <c r="E23" s="37">
        <f>INDEX(Model!K:K,MATCH('Bull-Bear'!$B23,Model!$B:$B,0))</f>
        <v>606.55999840603852</v>
      </c>
      <c r="F23" s="75">
        <f>INDEX(Model!AI:AI,MATCH('Bull-Bear'!$B23,Model!$B:$B,0))</f>
        <v>379.97585982262751</v>
      </c>
      <c r="H23" s="30">
        <f t="shared" si="1"/>
        <v>0.60690880406916414</v>
      </c>
      <c r="I23" s="30">
        <f t="shared" si="2"/>
        <v>0.47458870390491614</v>
      </c>
      <c r="J23" s="30">
        <f t="shared" si="3"/>
        <v>0.34291136964126068</v>
      </c>
      <c r="K23" s="109"/>
    </row>
    <row r="24" spans="2:11">
      <c r="B24" s="106" t="s">
        <v>3</v>
      </c>
      <c r="C24" s="107">
        <f>INDEX(Model!F:F,MATCH('Bull-Bear'!B24,Model!B:B,0))</f>
        <v>-3.1450000000000387</v>
      </c>
      <c r="D24" s="116">
        <f>INDEX(Model!W:W,MATCH('Bull-Bear'!$B24,Model!$B:$B,0))</f>
        <v>683.70082235481198</v>
      </c>
      <c r="E24" s="116">
        <f>INDEX(Model!K:K,MATCH('Bull-Bear'!$B24,Model!$B:$B,0))</f>
        <v>201.22560159396164</v>
      </c>
      <c r="F24" s="117">
        <f>INDEX(Model!AI:AI,MATCH('Bull-Bear'!$B24,Model!$B:$B,0))</f>
        <v>62.802513510705808</v>
      </c>
      <c r="H24" s="127">
        <f t="shared" si="1"/>
        <v>-3.9339255588880482</v>
      </c>
      <c r="I24" s="127">
        <f t="shared" si="2"/>
        <v>-3.2972725166001484</v>
      </c>
      <c r="J24" s="127">
        <f t="shared" si="3"/>
        <v>-2.8199995272125102</v>
      </c>
      <c r="K24" s="109"/>
    </row>
    <row r="25" spans="2:11">
      <c r="B25" s="35" t="s">
        <v>100</v>
      </c>
      <c r="C25" s="104">
        <f>INDEX(Model!F:F,MATCH('Bull-Bear'!B25,Model!B:B,0))</f>
        <v>39.979999999999997</v>
      </c>
      <c r="D25" s="37">
        <f>INDEX(Model!W:W,MATCH('Bull-Bear'!$B25,Model!$B:$B,0))</f>
        <v>417.15231937937881</v>
      </c>
      <c r="E25" s="37">
        <f>INDEX(Model!K:K,MATCH('Bull-Bear'!$B25,Model!$B:$B,0))</f>
        <v>417.15231937937881</v>
      </c>
      <c r="F25" s="75">
        <f>INDEX(Model!AI:AI,MATCH('Bull-Bear'!$B25,Model!$B:$B,0))</f>
        <v>261.32255943306666</v>
      </c>
      <c r="H25" s="30">
        <f t="shared" si="1"/>
        <v>0.59841804787939146</v>
      </c>
      <c r="I25" s="30">
        <f t="shared" si="2"/>
        <v>0.59841804787939146</v>
      </c>
      <c r="J25" s="30">
        <f t="shared" si="3"/>
        <v>0.45568304182224084</v>
      </c>
      <c r="K25" s="109"/>
    </row>
    <row r="26" spans="2:11">
      <c r="B26" s="106" t="s">
        <v>45</v>
      </c>
      <c r="C26" s="107">
        <f>INDEX(Model!F:F,MATCH('Bull-Bear'!B26,Model!B:B,0))</f>
        <v>-8.6450000000000387</v>
      </c>
      <c r="D26" s="116">
        <f>INDEX(Model!W:W,MATCH('Bull-Bear'!$B26,Model!$B:$B,0))</f>
        <v>633.14892480297385</v>
      </c>
      <c r="E26" s="116">
        <f>INDEX(Model!K:K,MATCH('Bull-Bear'!$B26,Model!$B:$B,0))</f>
        <v>150.67370404212357</v>
      </c>
      <c r="F26" s="117">
        <f>INDEX(Model!AI:AI,MATCH('Bull-Bear'!$B26,Model!$B:$B,0))</f>
        <v>12.250615958867726</v>
      </c>
      <c r="H26" s="127">
        <f t="shared" si="1"/>
        <v>-3.3601965718314708</v>
      </c>
      <c r="I26" s="127">
        <f t="shared" si="2"/>
        <v>-2.7711465333521037</v>
      </c>
      <c r="J26" s="127">
        <f t="shared" si="3"/>
        <v>-2.0722068700130034</v>
      </c>
      <c r="K26" s="109"/>
    </row>
    <row r="27" spans="2:11">
      <c r="B27" s="35" t="s">
        <v>39</v>
      </c>
      <c r="C27" s="104">
        <f>INDEX(Model!F:F,MATCH('Bull-Bear'!B27,Model!B:B,0))</f>
        <v>-8.6450000000000387</v>
      </c>
      <c r="D27" s="37">
        <f>INDEX(Model!W:W,MATCH('Bull-Bear'!$B27,Model!$B:$B,0))</f>
        <v>464.7313108053828</v>
      </c>
      <c r="E27" s="37">
        <f>INDEX(Model!K:K,MATCH('Bull-Bear'!$B27,Model!$B:$B,0))</f>
        <v>110.5944987669187</v>
      </c>
      <c r="F27" s="75">
        <f>INDEX(Model!AI:AI,MATCH('Bull-Bear'!$B27,Model!$B:$B,0))</f>
        <v>8.9919521138089102</v>
      </c>
      <c r="H27" s="30">
        <f t="shared" si="1"/>
        <v>-3.2186428023580644</v>
      </c>
      <c r="I27" s="30">
        <f t="shared" si="2"/>
        <v>-2.6649212845410699</v>
      </c>
      <c r="J27" s="30">
        <f t="shared" si="3"/>
        <v>-2.0079008177472595</v>
      </c>
    </row>
    <row r="28" spans="2:11">
      <c r="B28" s="35" t="s">
        <v>185</v>
      </c>
      <c r="C28" s="104">
        <f>INDEX(Model!F:F,MATCH('Bull-Bear'!B28,Model!B:B,0))</f>
        <v>5.5</v>
      </c>
      <c r="D28" s="37">
        <f>INDEX(Model!W:W,MATCH('Bull-Bear'!$B28,Model!$B:$B,0))</f>
        <v>50.551897551838081</v>
      </c>
      <c r="E28" s="37">
        <f>INDEX(Model!K:K,MATCH('Bull-Bear'!$B28,Model!$B:$B,0))</f>
        <v>50.551897551838081</v>
      </c>
      <c r="F28" s="75">
        <f>INDEX(Model!AI:AI,MATCH('Bull-Bear'!$B28,Model!$B:$B,0))</f>
        <v>50.551897551838081</v>
      </c>
      <c r="H28" s="30">
        <f t="shared" si="1"/>
        <v>0.55838570053326886</v>
      </c>
      <c r="I28" s="30">
        <f t="shared" si="2"/>
        <v>0.55838570053326886</v>
      </c>
      <c r="J28" s="30">
        <f t="shared" si="3"/>
        <v>0.55838570053326886</v>
      </c>
    </row>
    <row r="29" spans="2:11">
      <c r="B29" s="35" t="s">
        <v>41</v>
      </c>
      <c r="C29" s="104">
        <f>INDEX(Model!F:F,MATCH('Bull-Bear'!B29,Model!B:B,0))</f>
        <v>20.779999999999998</v>
      </c>
      <c r="D29" s="37">
        <f>INDEX(Model!W:W,MATCH('Bull-Bear'!$B29,Model!$B:$B,0))</f>
        <v>189.45618085184469</v>
      </c>
      <c r="E29" s="37">
        <f>INDEX(Model!K:K,MATCH('Bull-Bear'!$B29,Model!$B:$B,0))</f>
        <v>189.45618085184469</v>
      </c>
      <c r="F29" s="75">
        <f>INDEX(Model!AI:AI,MATCH('Bull-Bear'!$B29,Model!$B:$B,0))</f>
        <v>118.98260508797868</v>
      </c>
      <c r="H29" s="30">
        <f t="shared" si="1"/>
        <v>0.55586763600098998</v>
      </c>
      <c r="I29" s="30">
        <f t="shared" si="2"/>
        <v>0.55586763600098998</v>
      </c>
      <c r="J29" s="30">
        <f t="shared" si="3"/>
        <v>0.41764531194957244</v>
      </c>
    </row>
    <row r="30" spans="2:11">
      <c r="B30" s="35" t="s">
        <v>1</v>
      </c>
      <c r="C30" s="104">
        <f>INDEX(Model!F:F,MATCH('Bull-Bear'!B30,Model!B:B,0))</f>
        <v>-23.121850503118964</v>
      </c>
      <c r="D30" s="37">
        <f>INDEX(Model!W:W,MATCH('Bull-Bear'!$B30,Model!$B:$B,0))</f>
        <v>-137.04835403842162</v>
      </c>
      <c r="E30" s="37">
        <f>INDEX(Model!K:K,MATCH('Bull-Bear'!$B30,Model!$B:$B,0))</f>
        <v>-137.04835403842162</v>
      </c>
      <c r="F30" s="75">
        <f>INDEX(Model!AI:AI,MATCH('Bull-Bear'!$B30,Model!$B:$B,0))</f>
        <v>-93.007542795756962</v>
      </c>
      <c r="H30" s="30">
        <f t="shared" si="1"/>
        <v>0.42748070613693523</v>
      </c>
      <c r="I30" s="30">
        <f t="shared" si="2"/>
        <v>0.42748070613693523</v>
      </c>
      <c r="J30" s="30">
        <f t="shared" si="3"/>
        <v>0.32098874191284787</v>
      </c>
    </row>
    <row r="31" spans="2:11">
      <c r="B31" s="106" t="s">
        <v>44</v>
      </c>
      <c r="C31" s="107">
        <f>INDEX(Model!F:F,MATCH('Bull-Bear'!B31,Model!B:B,0))</f>
        <v>-19.991602596970914</v>
      </c>
      <c r="D31" s="116">
        <f>INDEX(Model!W:W,MATCH('Bull-Bear'!$B31,Model!$B:$B,0))</f>
        <v>330.59497768953236</v>
      </c>
      <c r="E31" s="116">
        <f>INDEX(Model!K:K,MATCH('Bull-Bear'!$B31,Model!$B:$B,0))</f>
        <v>-23.541834348931715</v>
      </c>
      <c r="F31" s="117">
        <f>INDEX(Model!AI:AI,MATCH('Bull-Bear'!$B31,Model!$B:$B,0))</f>
        <v>-54.670805238175504</v>
      </c>
      <c r="H31" s="127">
        <f t="shared" si="1"/>
        <v>-2.7526279297750991</v>
      </c>
      <c r="I31" s="127">
        <f t="shared" si="2"/>
        <v>3.3233640946498388E-2</v>
      </c>
      <c r="J31" s="127">
        <f t="shared" si="3"/>
        <v>0.22287360779607268</v>
      </c>
    </row>
    <row r="32" spans="2:11">
      <c r="B32" s="106" t="s">
        <v>33</v>
      </c>
      <c r="C32" s="107">
        <f>INDEX(Model!F:F,MATCH('Bull-Bear'!B32,Model!B:B,0))</f>
        <v>360.83333333333331</v>
      </c>
      <c r="D32" s="116">
        <f>INDEX(Model!W:W,MATCH('Bull-Bear'!$B32,Model!$B:$B,0))</f>
        <v>3262.3809523809523</v>
      </c>
      <c r="E32" s="116">
        <f>INDEX(Model!K:K,MATCH('Bull-Bear'!$B32,Model!$B:$B,0))</f>
        <v>2273.3333333333335</v>
      </c>
      <c r="F32" s="117">
        <f>INDEX(Model!AI:AI,MATCH('Bull-Bear'!$B32,Model!$B:$B,0))</f>
        <v>1755.288888888889</v>
      </c>
      <c r="H32" s="127">
        <f t="shared" si="1"/>
        <v>0.55326517229983185</v>
      </c>
      <c r="I32" s="127">
        <f t="shared" si="2"/>
        <v>0.4450114684726485</v>
      </c>
      <c r="J32" s="127">
        <f t="shared" si="3"/>
        <v>0.37217148702999436</v>
      </c>
    </row>
    <row r="33" spans="2:16">
      <c r="B33" s="108"/>
      <c r="C33" s="104"/>
      <c r="D33" s="32"/>
      <c r="E33" s="32"/>
      <c r="F33" s="36"/>
      <c r="G33" s="32"/>
      <c r="H33" s="32"/>
      <c r="I33" s="32"/>
      <c r="J33" s="32"/>
    </row>
    <row r="34" spans="2:16">
      <c r="B34" s="108" t="s">
        <v>154</v>
      </c>
      <c r="C34" s="104"/>
      <c r="D34" s="37">
        <f>Model!S50</f>
        <v>3760.001571394936</v>
      </c>
      <c r="E34" s="37">
        <f>Model!E50</f>
        <v>1008.910954450253</v>
      </c>
      <c r="F34" s="75">
        <f>Model!AE50</f>
        <v>200.7429049953254</v>
      </c>
      <c r="G34" s="32"/>
      <c r="H34" s="32"/>
      <c r="I34" s="32"/>
      <c r="J34" s="32"/>
      <c r="M34" s="97"/>
    </row>
    <row r="35" spans="2:16">
      <c r="B35" s="108" t="s">
        <v>155</v>
      </c>
      <c r="C35" s="104"/>
      <c r="D35" s="37">
        <f>Model!S51</f>
        <v>3760.001571394936</v>
      </c>
      <c r="E35" s="37">
        <f>Model!E51</f>
        <v>940.01095445025305</v>
      </c>
      <c r="F35" s="75">
        <f>Model!AE51</f>
        <v>200.7429049953254</v>
      </c>
      <c r="G35" s="32"/>
      <c r="H35" s="32"/>
      <c r="I35" s="32"/>
      <c r="J35" s="32"/>
      <c r="L35" s="32"/>
      <c r="M35" s="32"/>
      <c r="N35" s="32"/>
      <c r="O35" s="32"/>
      <c r="P35" s="32"/>
    </row>
    <row r="36" spans="2:16" ht="12" thickBot="1">
      <c r="B36" s="133" t="s">
        <v>156</v>
      </c>
      <c r="C36" s="134"/>
      <c r="D36" s="135">
        <f>Model!S52</f>
        <v>63.621007976225648</v>
      </c>
      <c r="E36" s="135">
        <f>Model!E52</f>
        <v>15.90543070135792</v>
      </c>
      <c r="F36" s="189">
        <f>Model!AE52</f>
        <v>3.3966650591425616</v>
      </c>
      <c r="G36" s="32"/>
      <c r="H36" s="32"/>
      <c r="I36" s="32"/>
      <c r="J36" s="32"/>
      <c r="L36" s="32"/>
      <c r="M36" s="32"/>
      <c r="N36" s="32"/>
      <c r="O36" s="32"/>
      <c r="P36" s="32"/>
    </row>
    <row r="37" spans="2:16">
      <c r="L37" s="32"/>
      <c r="M37" s="32"/>
      <c r="N37" s="32"/>
      <c r="O37" s="32"/>
      <c r="P37" s="32"/>
    </row>
    <row r="38" spans="2:16">
      <c r="L38" s="32"/>
      <c r="M38" s="32"/>
      <c r="N38" s="32"/>
      <c r="O38" s="32"/>
      <c r="P38" s="32"/>
    </row>
    <row r="39" spans="2:16">
      <c r="L39" s="32"/>
      <c r="M39" s="32"/>
      <c r="N39" s="32"/>
      <c r="O39" s="32"/>
      <c r="P39" s="32"/>
    </row>
    <row r="40" spans="2:16">
      <c r="L40" s="32"/>
      <c r="M40" s="32"/>
      <c r="N40" s="32"/>
      <c r="O40" s="32"/>
      <c r="P40" s="32"/>
    </row>
    <row r="41" spans="2:16">
      <c r="L41" s="32"/>
      <c r="M41" s="32"/>
      <c r="N41" s="32"/>
      <c r="O41" s="32"/>
      <c r="P41" s="32"/>
    </row>
    <row r="42" spans="2:16">
      <c r="L42" s="32"/>
      <c r="M42" s="32"/>
      <c r="N42" s="32"/>
      <c r="O42" s="32"/>
      <c r="P42" s="32"/>
    </row>
    <row r="43" spans="2:16">
      <c r="L43" s="32"/>
      <c r="M43" s="32"/>
      <c r="N43" s="32"/>
      <c r="O43" s="32"/>
      <c r="P43" s="32"/>
    </row>
    <row r="44" spans="2:16">
      <c r="L44" s="32"/>
      <c r="M44" s="32"/>
      <c r="N44" s="32"/>
      <c r="O44" s="32"/>
      <c r="P44" s="32"/>
    </row>
    <row r="45" spans="2:16">
      <c r="L45" s="32"/>
      <c r="M45" s="32"/>
      <c r="N45" s="32"/>
      <c r="O45" s="32"/>
      <c r="P45" s="32"/>
    </row>
    <row r="46" spans="2:16">
      <c r="L46" s="32"/>
      <c r="M46" s="32"/>
      <c r="N46" s="32"/>
      <c r="O46" s="32"/>
      <c r="P46" s="32"/>
    </row>
    <row r="47" spans="2:16">
      <c r="L47" s="32"/>
      <c r="M47" s="32"/>
      <c r="N47" s="32"/>
      <c r="O47" s="32"/>
      <c r="P47" s="32"/>
    </row>
    <row r="48" spans="2:16">
      <c r="L48" s="32"/>
      <c r="M48" s="32"/>
      <c r="N48" s="32"/>
      <c r="O48" s="32"/>
      <c r="P48" s="32"/>
    </row>
    <row r="49" spans="12:16">
      <c r="L49" s="32"/>
      <c r="M49" s="32"/>
      <c r="N49" s="32"/>
      <c r="O49" s="32"/>
      <c r="P49" s="32"/>
    </row>
    <row r="50" spans="12:16">
      <c r="L50" s="32"/>
      <c r="M50" s="32"/>
      <c r="N50" s="32"/>
      <c r="O50" s="32"/>
      <c r="P50" s="32"/>
    </row>
    <row r="51" spans="12:16">
      <c r="L51" s="32"/>
      <c r="M51" s="32"/>
      <c r="N51" s="32"/>
      <c r="O51" s="32"/>
      <c r="P51" s="32"/>
    </row>
    <row r="52" spans="12:16">
      <c r="L52" s="32"/>
      <c r="M52" s="32"/>
      <c r="N52" s="32"/>
      <c r="O52" s="32"/>
      <c r="P52" s="32"/>
    </row>
    <row r="53" spans="12:16">
      <c r="L53" s="32"/>
      <c r="M53" s="32"/>
      <c r="N53" s="32"/>
      <c r="O53" s="32"/>
      <c r="P53" s="32"/>
    </row>
    <row r="54" spans="12:16">
      <c r="L54" s="32"/>
      <c r="M54" s="32"/>
      <c r="N54" s="32"/>
      <c r="O54" s="32"/>
      <c r="P54" s="3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B45F4-CEE6-4BC5-A178-22BD0FCE0120}">
  <dimension ref="A1:AO74"/>
  <sheetViews>
    <sheetView showGridLines="0" tabSelected="1" topLeftCell="A42" zoomScale="60" zoomScaleNormal="60" workbookViewId="0">
      <selection activeCell="F93" sqref="F93"/>
    </sheetView>
  </sheetViews>
  <sheetFormatPr defaultRowHeight="14.5"/>
  <cols>
    <col min="1" max="1" width="3.81640625" style="2" customWidth="1"/>
    <col min="2" max="2" width="24.90625" style="2" customWidth="1"/>
    <col min="3" max="3" width="8" style="2" hidden="1" customWidth="1"/>
    <col min="4" max="4" width="8.7265625" style="2" hidden="1" customWidth="1"/>
    <col min="5" max="5" width="7.81640625" style="2" bestFit="1" customWidth="1"/>
    <col min="6" max="6" width="7.81640625" style="2" customWidth="1"/>
    <col min="7" max="7" width="7.90625" style="2" customWidth="1"/>
    <col min="8" max="8" width="7.7265625" style="2" customWidth="1"/>
    <col min="9" max="9" width="10.08984375" style="2" customWidth="1"/>
    <col min="10" max="10" width="7.90625" style="2" customWidth="1"/>
    <col min="11" max="17" width="9.36328125" style="2" customWidth="1"/>
    <col min="18" max="18" width="2" style="151" customWidth="1"/>
    <col min="19" max="19" width="7.90625" style="2" customWidth="1"/>
    <col min="20" max="20" width="7.7265625" style="2" customWidth="1"/>
    <col min="21" max="21" width="10.08984375" style="2" customWidth="1"/>
    <col min="22" max="22" width="7.90625" style="2" customWidth="1"/>
    <col min="23" max="29" width="9.36328125" style="2" customWidth="1"/>
    <col min="30" max="30" width="2" style="151" customWidth="1"/>
    <col min="31" max="31" width="7.90625" style="2" customWidth="1"/>
    <col min="32" max="32" width="7.7265625" style="2" customWidth="1"/>
    <col min="33" max="33" width="10.08984375" style="2" customWidth="1"/>
    <col min="34" max="34" width="7.90625" style="2" customWidth="1"/>
    <col min="35" max="35" width="9.36328125" style="2" customWidth="1"/>
  </cols>
  <sheetData>
    <row r="1" spans="2:41" ht="15" thickBot="1">
      <c r="B1" s="190"/>
      <c r="C1" s="54"/>
      <c r="D1" s="54"/>
      <c r="E1" s="54"/>
      <c r="F1" s="54"/>
      <c r="G1" s="216" t="s">
        <v>183</v>
      </c>
      <c r="H1" s="216"/>
      <c r="I1" s="216"/>
      <c r="J1" s="216"/>
      <c r="K1" s="216"/>
      <c r="L1" s="216"/>
      <c r="M1" s="216"/>
      <c r="N1" s="216"/>
      <c r="O1" s="216"/>
      <c r="P1" s="216"/>
      <c r="Q1" s="217"/>
      <c r="R1" s="152"/>
      <c r="S1" s="215" t="s">
        <v>209</v>
      </c>
      <c r="T1" s="215"/>
      <c r="U1" s="215"/>
      <c r="V1" s="215"/>
      <c r="W1" s="215"/>
      <c r="X1" s="215"/>
      <c r="Y1" s="215"/>
      <c r="Z1" s="215"/>
      <c r="AA1" s="215"/>
      <c r="AB1" s="215"/>
      <c r="AC1" s="215"/>
      <c r="AD1" s="152"/>
      <c r="AE1" s="214" t="s">
        <v>210</v>
      </c>
      <c r="AF1" s="214"/>
      <c r="AG1" s="214"/>
      <c r="AH1" s="214"/>
      <c r="AI1" s="214"/>
      <c r="AJ1" s="214"/>
      <c r="AK1" s="214"/>
      <c r="AL1" s="214"/>
      <c r="AM1" s="214"/>
      <c r="AN1" s="214"/>
      <c r="AO1" s="214"/>
    </row>
    <row r="2" spans="2:41">
      <c r="B2" s="173" t="s">
        <v>186</v>
      </c>
      <c r="C2" s="34">
        <v>2017</v>
      </c>
      <c r="D2" s="34">
        <v>2018</v>
      </c>
      <c r="E2" s="34">
        <v>2019</v>
      </c>
      <c r="F2" s="90">
        <v>2020</v>
      </c>
      <c r="G2" s="34">
        <v>2021</v>
      </c>
      <c r="H2" s="34">
        <v>2022</v>
      </c>
      <c r="I2" s="34">
        <v>2023</v>
      </c>
      <c r="J2" s="34">
        <v>2024</v>
      </c>
      <c r="K2" s="90">
        <v>2025</v>
      </c>
      <c r="L2" s="34">
        <f>K2+1</f>
        <v>2026</v>
      </c>
      <c r="M2" s="34">
        <f t="shared" ref="M2:O2" si="0">L2+1</f>
        <v>2027</v>
      </c>
      <c r="N2" s="34">
        <f t="shared" si="0"/>
        <v>2028</v>
      </c>
      <c r="O2" s="34">
        <f t="shared" si="0"/>
        <v>2029</v>
      </c>
      <c r="P2" s="34">
        <f>O2+1</f>
        <v>2030</v>
      </c>
      <c r="Q2" s="105" t="s">
        <v>215</v>
      </c>
      <c r="R2" s="153"/>
      <c r="S2" s="154">
        <v>2021</v>
      </c>
      <c r="T2" s="154">
        <v>2022</v>
      </c>
      <c r="U2" s="154">
        <v>2023</v>
      </c>
      <c r="V2" s="154">
        <v>2024</v>
      </c>
      <c r="W2" s="154">
        <v>2025</v>
      </c>
      <c r="X2" s="154">
        <f>W2+1</f>
        <v>2026</v>
      </c>
      <c r="Y2" s="154">
        <f t="shared" ref="Y2:AA2" si="1">X2+1</f>
        <v>2027</v>
      </c>
      <c r="Z2" s="154">
        <f t="shared" si="1"/>
        <v>2028</v>
      </c>
      <c r="AA2" s="154">
        <f t="shared" si="1"/>
        <v>2029</v>
      </c>
      <c r="AB2" s="154">
        <f>AA2+1</f>
        <v>2030</v>
      </c>
      <c r="AC2" s="122" t="s">
        <v>215</v>
      </c>
      <c r="AD2" s="153"/>
      <c r="AE2" s="159">
        <v>2021</v>
      </c>
      <c r="AF2" s="154">
        <v>2022</v>
      </c>
      <c r="AG2" s="154">
        <v>2023</v>
      </c>
      <c r="AH2" s="154">
        <v>2024</v>
      </c>
      <c r="AI2" s="154">
        <v>2025</v>
      </c>
      <c r="AJ2" s="154">
        <f>AI2+1</f>
        <v>2026</v>
      </c>
      <c r="AK2" s="154">
        <f t="shared" ref="AK2:AM2" si="2">AJ2+1</f>
        <v>2027</v>
      </c>
      <c r="AL2" s="154">
        <f t="shared" si="2"/>
        <v>2028</v>
      </c>
      <c r="AM2" s="154">
        <f t="shared" si="2"/>
        <v>2029</v>
      </c>
      <c r="AN2" s="154">
        <f>AM2+1</f>
        <v>2030</v>
      </c>
      <c r="AO2" s="122" t="s">
        <v>215</v>
      </c>
    </row>
    <row r="3" spans="2:41">
      <c r="B3" s="174" t="s">
        <v>65</v>
      </c>
      <c r="C3" s="32"/>
      <c r="D3" s="32"/>
      <c r="E3" s="37">
        <v>124000</v>
      </c>
      <c r="F3" s="91">
        <v>124000</v>
      </c>
      <c r="G3" s="24">
        <f t="shared" ref="G3:K3" si="3">F3</f>
        <v>124000</v>
      </c>
      <c r="H3" s="24">
        <f t="shared" si="3"/>
        <v>124000</v>
      </c>
      <c r="I3" s="24">
        <f t="shared" si="3"/>
        <v>124000</v>
      </c>
      <c r="J3" s="24">
        <f t="shared" si="3"/>
        <v>124000</v>
      </c>
      <c r="K3" s="24">
        <f t="shared" si="3"/>
        <v>124000</v>
      </c>
      <c r="L3" s="24"/>
      <c r="M3" s="24"/>
      <c r="N3" s="24"/>
      <c r="O3" s="24"/>
      <c r="P3" s="24"/>
      <c r="Q3" s="191"/>
      <c r="R3" s="139"/>
      <c r="S3" s="24">
        <f>K3</f>
        <v>124000</v>
      </c>
      <c r="T3" s="24">
        <f t="shared" ref="T3" si="4">S3</f>
        <v>124000</v>
      </c>
      <c r="U3" s="24">
        <f t="shared" ref="U3" si="5">T3</f>
        <v>124000</v>
      </c>
      <c r="V3" s="24">
        <f t="shared" ref="V3" si="6">U3</f>
        <v>124000</v>
      </c>
      <c r="W3" s="24">
        <f t="shared" ref="W3" si="7">V3</f>
        <v>124000</v>
      </c>
      <c r="X3" s="24"/>
      <c r="Y3" s="24"/>
      <c r="Z3" s="24"/>
      <c r="AA3" s="24"/>
      <c r="AB3" s="24"/>
      <c r="AC3" s="24"/>
      <c r="AD3" s="139"/>
      <c r="AE3" s="160">
        <f t="shared" ref="AE3" si="8">W3</f>
        <v>124000</v>
      </c>
      <c r="AF3" s="24">
        <f t="shared" ref="AF3" si="9">AE3</f>
        <v>124000</v>
      </c>
      <c r="AG3" s="24">
        <f t="shared" ref="AG3" si="10">AF3</f>
        <v>124000</v>
      </c>
      <c r="AH3" s="24">
        <f t="shared" ref="AH3" si="11">AG3</f>
        <v>124000</v>
      </c>
      <c r="AI3" s="24">
        <f t="shared" ref="AI3" si="12">AH3</f>
        <v>124000</v>
      </c>
      <c r="AJ3" s="24"/>
      <c r="AK3" s="24"/>
      <c r="AL3" s="24"/>
      <c r="AM3" s="24"/>
      <c r="AN3" s="24"/>
      <c r="AO3" s="24"/>
    </row>
    <row r="4" spans="2:41">
      <c r="B4" s="174" t="s">
        <v>79</v>
      </c>
      <c r="C4" s="32"/>
      <c r="D4" s="32"/>
      <c r="E4" s="182">
        <v>8.0000000000000002E-3</v>
      </c>
      <c r="F4" s="92">
        <v>1.6E-2</v>
      </c>
      <c r="G4" s="25">
        <f>F4*(1+(($K$4/$F$4)^0.2-1))</f>
        <v>2.3083198494515417E-2</v>
      </c>
      <c r="H4" s="25">
        <f t="shared" ref="H4:J4" si="13">G4*(1+(($K$4/$F$4)^0.2-1))</f>
        <v>3.3302128296074929E-2</v>
      </c>
      <c r="I4" s="25">
        <f t="shared" si="13"/>
        <v>4.8044977359257258E-2</v>
      </c>
      <c r="J4" s="25">
        <f t="shared" si="13"/>
        <v>6.9314484315514652E-2</v>
      </c>
      <c r="K4" s="128">
        <f>'Bull-Bear'!E6</f>
        <v>0.1</v>
      </c>
      <c r="L4" s="128"/>
      <c r="M4" s="128"/>
      <c r="N4" s="128"/>
      <c r="O4" s="128"/>
      <c r="P4" s="128"/>
      <c r="Q4" s="192"/>
      <c r="R4" s="140"/>
      <c r="S4" s="25">
        <f>F4*(1+(($W$4/$F$4)^0.2-1))</f>
        <v>2.4326781623641575E-2</v>
      </c>
      <c r="T4" s="25">
        <f>S4*(1+(($W$4/$F$4)^0.2-1))</f>
        <v>3.6987019010271585E-2</v>
      </c>
      <c r="U4" s="25">
        <f>T4*(1+(($W$4/$F$4)^0.2-1))</f>
        <v>5.6235945898272272E-2</v>
      </c>
      <c r="V4" s="25">
        <f>U4*(1+(($W$4/$F$4)^0.2-1))</f>
        <v>8.5502473454136974E-2</v>
      </c>
      <c r="W4" s="128">
        <f>'Bull-Bear'!D6</f>
        <v>0.13</v>
      </c>
      <c r="X4" s="128"/>
      <c r="Y4" s="128"/>
      <c r="Z4" s="128"/>
      <c r="AA4" s="128"/>
      <c r="AB4" s="128"/>
      <c r="AC4" s="128"/>
      <c r="AD4" s="140"/>
      <c r="AE4" s="161">
        <f>F4*(1+(($AI$4/$F$4)^0.2-1))</f>
        <v>2.1493918318285319E-2</v>
      </c>
      <c r="AF4" s="25">
        <f>AE4*(1+(($AI$4/$F$4)^0.2-1))</f>
        <v>2.8874282792070074E-2</v>
      </c>
      <c r="AG4" s="25">
        <f>AF4*(1+(($AI$4/$F$4)^0.2-1))</f>
        <v>3.8788842239489092E-2</v>
      </c>
      <c r="AH4" s="25">
        <f>AG4*(1+(($AI$4/$F$4)^0.2-1))</f>
        <v>5.2107762922277118E-2</v>
      </c>
      <c r="AI4" s="128">
        <f>'Bull-Bear'!F6</f>
        <v>7.0000000000000007E-2</v>
      </c>
      <c r="AJ4" s="128"/>
      <c r="AK4" s="128"/>
      <c r="AL4" s="128"/>
      <c r="AM4" s="128"/>
      <c r="AN4" s="128"/>
      <c r="AO4" s="128"/>
    </row>
    <row r="5" spans="2:41">
      <c r="B5" s="174" t="s">
        <v>67</v>
      </c>
      <c r="C5" s="32"/>
      <c r="D5" s="32"/>
      <c r="E5" s="24">
        <v>992</v>
      </c>
      <c r="F5" s="91">
        <v>1984</v>
      </c>
      <c r="G5" s="24">
        <f>SUM(G6:G7)</f>
        <v>2862.316613319912</v>
      </c>
      <c r="H5" s="24">
        <f t="shared" ref="H5:K5" si="14">SUM(H6:H7)</f>
        <v>4129.4639087132909</v>
      </c>
      <c r="I5" s="24">
        <f t="shared" si="14"/>
        <v>5957.5771925479003</v>
      </c>
      <c r="J5" s="24">
        <f t="shared" si="14"/>
        <v>8594.9960551238164</v>
      </c>
      <c r="K5" s="24">
        <f t="shared" si="14"/>
        <v>12400</v>
      </c>
      <c r="L5" s="24"/>
      <c r="M5" s="24"/>
      <c r="N5" s="24"/>
      <c r="O5" s="24"/>
      <c r="P5" s="24"/>
      <c r="Q5" s="191"/>
      <c r="R5" s="139"/>
      <c r="S5" s="24">
        <f>SUM(S6:S7)</f>
        <v>3016.5209213315552</v>
      </c>
      <c r="T5" s="24">
        <f t="shared" ref="T5:W5" si="15">SUM(T6:T7)</f>
        <v>4586.3903572736763</v>
      </c>
      <c r="U5" s="24">
        <f t="shared" si="15"/>
        <v>6973.2572913857621</v>
      </c>
      <c r="V5" s="24">
        <f t="shared" si="15"/>
        <v>10602.306708312986</v>
      </c>
      <c r="W5" s="24">
        <f t="shared" si="15"/>
        <v>16120</v>
      </c>
      <c r="X5" s="24"/>
      <c r="Y5" s="24"/>
      <c r="Z5" s="24"/>
      <c r="AA5" s="24"/>
      <c r="AB5" s="24"/>
      <c r="AC5" s="24"/>
      <c r="AD5" s="139"/>
      <c r="AE5" s="160">
        <f>SUM(AE6:AE7)</f>
        <v>2665.2458714673794</v>
      </c>
      <c r="AF5" s="24">
        <f t="shared" ref="AF5:AI5" si="16">SUM(AF6:AF7)</f>
        <v>3580.4110662166891</v>
      </c>
      <c r="AG5" s="24">
        <f t="shared" si="16"/>
        <v>4809.8164376966479</v>
      </c>
      <c r="AH5" s="24">
        <f t="shared" si="16"/>
        <v>6461.3626023623619</v>
      </c>
      <c r="AI5" s="24">
        <f t="shared" si="16"/>
        <v>8680</v>
      </c>
      <c r="AJ5" s="24"/>
      <c r="AK5" s="24"/>
      <c r="AL5" s="24"/>
      <c r="AM5" s="24"/>
      <c r="AN5" s="24"/>
      <c r="AO5" s="24"/>
    </row>
    <row r="6" spans="2:41">
      <c r="B6" s="175" t="s">
        <v>208</v>
      </c>
      <c r="C6" s="32"/>
      <c r="D6" s="32"/>
      <c r="E6" s="24">
        <v>592</v>
      </c>
      <c r="F6" s="91">
        <v>1184</v>
      </c>
      <c r="G6" s="24">
        <f t="shared" ref="G6:J6" si="17">0.64*G4*G3</f>
        <v>1831.8826325247437</v>
      </c>
      <c r="H6" s="24">
        <f t="shared" si="17"/>
        <v>2642.8569015765065</v>
      </c>
      <c r="I6" s="24">
        <f t="shared" si="17"/>
        <v>3812.8494032306558</v>
      </c>
      <c r="J6" s="24">
        <f t="shared" si="17"/>
        <v>5500.7974752792425</v>
      </c>
      <c r="K6" s="24">
        <f>0.64*K4*K3</f>
        <v>7936</v>
      </c>
      <c r="L6" s="24"/>
      <c r="M6" s="24"/>
      <c r="N6" s="24"/>
      <c r="O6" s="24"/>
      <c r="P6" s="24"/>
      <c r="Q6" s="191"/>
      <c r="R6" s="139"/>
      <c r="S6" s="24">
        <f t="shared" ref="S6:V6" si="18">0.64*S4*S3</f>
        <v>1930.5733896521954</v>
      </c>
      <c r="T6" s="24">
        <f t="shared" si="18"/>
        <v>2935.2898286551531</v>
      </c>
      <c r="U6" s="24">
        <f t="shared" si="18"/>
        <v>4462.8846664868879</v>
      </c>
      <c r="V6" s="24">
        <f t="shared" si="18"/>
        <v>6785.476293320311</v>
      </c>
      <c r="W6" s="24">
        <f>0.64*W4*W3</f>
        <v>10316.800000000001</v>
      </c>
      <c r="X6" s="24"/>
      <c r="Y6" s="24"/>
      <c r="Z6" s="24"/>
      <c r="AA6" s="24"/>
      <c r="AB6" s="24"/>
      <c r="AC6" s="24"/>
      <c r="AD6" s="139"/>
      <c r="AE6" s="160">
        <f t="shared" ref="AE6:AH6" si="19">0.64*AE4*AE3</f>
        <v>1705.7573577391231</v>
      </c>
      <c r="AF6" s="24">
        <f t="shared" si="19"/>
        <v>2291.4630823786811</v>
      </c>
      <c r="AG6" s="24">
        <f t="shared" si="19"/>
        <v>3078.2825201258547</v>
      </c>
      <c r="AH6" s="24">
        <f t="shared" si="19"/>
        <v>4135.2720655119119</v>
      </c>
      <c r="AI6" s="24">
        <f>0.64*AI4*AI3</f>
        <v>5555.2000000000007</v>
      </c>
      <c r="AJ6" s="24"/>
      <c r="AK6" s="24"/>
      <c r="AL6" s="24"/>
      <c r="AM6" s="24"/>
      <c r="AN6" s="24"/>
      <c r="AO6" s="24"/>
    </row>
    <row r="7" spans="2:41">
      <c r="B7" s="175" t="s">
        <v>207</v>
      </c>
      <c r="C7" s="39"/>
      <c r="D7" s="39"/>
      <c r="E7" s="40">
        <v>400</v>
      </c>
      <c r="F7" s="91">
        <v>800</v>
      </c>
      <c r="G7" s="24">
        <f t="shared" ref="G7:J7" si="20">0.36*G4*G3</f>
        <v>1030.4339807951681</v>
      </c>
      <c r="H7" s="24">
        <f t="shared" si="20"/>
        <v>1486.6070071367849</v>
      </c>
      <c r="I7" s="24">
        <f t="shared" si="20"/>
        <v>2144.7277893172441</v>
      </c>
      <c r="J7" s="24">
        <f t="shared" si="20"/>
        <v>3094.1985798445739</v>
      </c>
      <c r="K7" s="24">
        <f>0.36*K4*K3</f>
        <v>4464</v>
      </c>
      <c r="L7" s="24"/>
      <c r="M7" s="24"/>
      <c r="N7" s="24"/>
      <c r="O7" s="24"/>
      <c r="P7" s="24"/>
      <c r="Q7" s="191"/>
      <c r="R7" s="139"/>
      <c r="S7" s="24">
        <f t="shared" ref="S7:V7" si="21">0.36*S4*S3</f>
        <v>1085.9475316793598</v>
      </c>
      <c r="T7" s="24">
        <f t="shared" si="21"/>
        <v>1651.1005286185234</v>
      </c>
      <c r="U7" s="24">
        <f t="shared" si="21"/>
        <v>2510.3726248988742</v>
      </c>
      <c r="V7" s="24">
        <f t="shared" si="21"/>
        <v>3816.8304149926744</v>
      </c>
      <c r="W7" s="24">
        <f>0.36*W4*W3</f>
        <v>5803.2</v>
      </c>
      <c r="X7" s="24"/>
      <c r="Y7" s="24"/>
      <c r="Z7" s="24"/>
      <c r="AA7" s="24"/>
      <c r="AB7" s="24"/>
      <c r="AC7" s="24"/>
      <c r="AD7" s="139"/>
      <c r="AE7" s="160">
        <f t="shared" ref="AE7:AH7" si="22">0.36*AE4*AE3</f>
        <v>959.48851372825652</v>
      </c>
      <c r="AF7" s="24">
        <f t="shared" si="22"/>
        <v>1288.947983838008</v>
      </c>
      <c r="AG7" s="24">
        <f t="shared" si="22"/>
        <v>1731.5339175707929</v>
      </c>
      <c r="AH7" s="24">
        <f t="shared" si="22"/>
        <v>2326.0905368504505</v>
      </c>
      <c r="AI7" s="24">
        <f>0.36*AI4*AI3</f>
        <v>3124.8</v>
      </c>
      <c r="AJ7" s="24"/>
      <c r="AK7" s="24"/>
      <c r="AL7" s="24"/>
      <c r="AM7" s="24"/>
      <c r="AN7" s="24"/>
      <c r="AO7" s="24"/>
    </row>
    <row r="8" spans="2:41">
      <c r="B8" s="176" t="s">
        <v>93</v>
      </c>
      <c r="C8" s="41"/>
      <c r="D8" s="41"/>
      <c r="E8" s="29"/>
      <c r="F8" s="93">
        <v>1</v>
      </c>
      <c r="G8" s="30">
        <f t="shared" ref="G8:K8" si="23">G7/F7-1</f>
        <v>0.28804247599396016</v>
      </c>
      <c r="H8" s="30">
        <f t="shared" si="23"/>
        <v>0.44269990590721409</v>
      </c>
      <c r="I8" s="30">
        <f t="shared" si="23"/>
        <v>0.44269990590721364</v>
      </c>
      <c r="J8" s="30">
        <f t="shared" si="23"/>
        <v>0.44269990590721342</v>
      </c>
      <c r="K8" s="30">
        <f t="shared" si="23"/>
        <v>0.44269990590721342</v>
      </c>
      <c r="L8" s="30">
        <f>K8-(($K$8-$P$8)/5)</f>
        <v>0.35655992472577075</v>
      </c>
      <c r="M8" s="30">
        <f>L8-(($K$8-$Q$8)/5)</f>
        <v>0.27041994354432808</v>
      </c>
      <c r="N8" s="30">
        <f>M8-(($K$8-$Q$8)/5)</f>
        <v>0.18427996236288541</v>
      </c>
      <c r="O8" s="30">
        <f>N8-(($K$8-$Q$8)/5)</f>
        <v>9.8139981181442723E-2</v>
      </c>
      <c r="P8" s="80">
        <v>1.2000000000000011E-2</v>
      </c>
      <c r="Q8" s="193">
        <v>1.2E-2</v>
      </c>
      <c r="R8" s="141"/>
      <c r="S8" s="30">
        <f>S7/K7-1</f>
        <v>-0.75673218376358431</v>
      </c>
      <c r="T8" s="30">
        <f t="shared" ref="T8" si="24">T7/S7-1</f>
        <v>0.52042385147759829</v>
      </c>
      <c r="U8" s="30">
        <f t="shared" ref="U8" si="25">U7/T7-1</f>
        <v>0.52042385147759851</v>
      </c>
      <c r="V8" s="30">
        <f t="shared" ref="V8" si="26">V7/U7-1</f>
        <v>0.52042385147759829</v>
      </c>
      <c r="W8" s="30">
        <f t="shared" ref="W8" si="27">W7/V7-1</f>
        <v>0.52042385147759784</v>
      </c>
      <c r="X8" s="30">
        <f>W8-(($K$8-$P$8)/5)</f>
        <v>0.43428387029615517</v>
      </c>
      <c r="Y8" s="30">
        <f>X8-(($K$8-$Q$8)/5)</f>
        <v>0.3481438891147125</v>
      </c>
      <c r="Z8" s="30">
        <f>Y8-(($K$8-$Q$8)/5)</f>
        <v>0.26200390793326983</v>
      </c>
      <c r="AA8" s="30">
        <f>Z8-(($K$8-$Q$8)/5)</f>
        <v>0.17586392675182716</v>
      </c>
      <c r="AB8" s="80">
        <v>1.2000000000000011E-2</v>
      </c>
      <c r="AC8" s="131">
        <v>1.2E-2</v>
      </c>
      <c r="AD8" s="141"/>
      <c r="AE8" s="162">
        <f>AE7/F7-1</f>
        <v>0.19936064216032068</v>
      </c>
      <c r="AF8" s="30">
        <f t="shared" ref="AF8" si="28">AF7/AE7-1</f>
        <v>0.34336989489283254</v>
      </c>
      <c r="AG8" s="30">
        <f t="shared" ref="AG8" si="29">AG7/AF7-1</f>
        <v>0.34336989489283232</v>
      </c>
      <c r="AH8" s="30">
        <f t="shared" ref="AH8" si="30">AH7/AG7-1</f>
        <v>0.34336989489283232</v>
      </c>
      <c r="AI8" s="30">
        <f t="shared" ref="AI8" si="31">AI7/AH7-1</f>
        <v>0.34336989489283165</v>
      </c>
      <c r="AJ8" s="30">
        <f>AI8-(($K$8-$P$8)/5)</f>
        <v>0.25722991371138898</v>
      </c>
      <c r="AK8" s="30">
        <f>AJ8-(($K$8-$Q$8)/5)</f>
        <v>0.17108993252994631</v>
      </c>
      <c r="AL8" s="30">
        <f>AK8-(($K$8-$Q$8)/5)</f>
        <v>8.4949951348503625E-2</v>
      </c>
      <c r="AM8" s="30">
        <f>AL8-(($K$8-$Q$8)/5)</f>
        <v>-1.1900298329390602E-3</v>
      </c>
      <c r="AN8" s="80">
        <v>1.2000000000000011E-2</v>
      </c>
      <c r="AO8" s="131">
        <v>1.2E-2</v>
      </c>
    </row>
    <row r="9" spans="2:41">
      <c r="B9" s="177" t="s">
        <v>81</v>
      </c>
      <c r="C9" s="29"/>
      <c r="D9" s="29"/>
      <c r="E9" s="30">
        <v>0.16263407258064516</v>
      </c>
      <c r="F9" s="93">
        <v>0.17933390816683492</v>
      </c>
      <c r="G9" s="31">
        <f>G24/G5</f>
        <v>0.16871813063102548</v>
      </c>
      <c r="H9" s="31">
        <v>0.16</v>
      </c>
      <c r="I9" s="31">
        <v>0.17</v>
      </c>
      <c r="J9" s="31">
        <v>0.18</v>
      </c>
      <c r="K9" s="31">
        <f>'Bull-Bear'!E7</f>
        <v>0.4</v>
      </c>
      <c r="L9" s="31"/>
      <c r="M9" s="31"/>
      <c r="N9" s="31"/>
      <c r="O9" s="31"/>
      <c r="P9" s="31"/>
      <c r="Q9" s="194"/>
      <c r="R9" s="142"/>
      <c r="S9" s="31">
        <f>S24/S5</f>
        <v>0.17656454967123361</v>
      </c>
      <c r="T9" s="31">
        <v>0.16</v>
      </c>
      <c r="U9" s="31">
        <v>0.17</v>
      </c>
      <c r="V9" s="31">
        <v>0.18</v>
      </c>
      <c r="W9" s="31">
        <v>0.19</v>
      </c>
      <c r="X9" s="31"/>
      <c r="Y9" s="31"/>
      <c r="Z9" s="31"/>
      <c r="AA9" s="31"/>
      <c r="AB9" s="31"/>
      <c r="AC9" s="31"/>
      <c r="AD9" s="142"/>
      <c r="AE9" s="163">
        <f>AE24/AE5</f>
        <v>0.16616129501232976</v>
      </c>
      <c r="AF9" s="31">
        <v>0.16</v>
      </c>
      <c r="AG9" s="31">
        <v>0.17</v>
      </c>
      <c r="AH9" s="31">
        <v>0.18</v>
      </c>
      <c r="AI9" s="31">
        <v>0.19</v>
      </c>
      <c r="AJ9" s="31"/>
      <c r="AK9" s="31"/>
      <c r="AL9" s="31"/>
      <c r="AM9" s="31"/>
      <c r="AN9" s="31"/>
      <c r="AO9" s="31"/>
    </row>
    <row r="10" spans="2:41">
      <c r="B10" s="177" t="s">
        <v>80</v>
      </c>
      <c r="C10" s="29"/>
      <c r="D10" s="29"/>
      <c r="E10" s="30">
        <v>0.40333249999999998</v>
      </c>
      <c r="F10" s="93">
        <v>0.4002732830283755</v>
      </c>
      <c r="G10" s="30">
        <f>F10*(1+(($K$10/$F$10)^0.2-1))</f>
        <v>0.40021861149005811</v>
      </c>
      <c r="H10" s="30">
        <f>G10*(1+(($K$10/$F$10)^0.2-1))</f>
        <v>0.40016394741908173</v>
      </c>
      <c r="I10" s="30">
        <f>H10*(1+(($K$10/$F$10)^0.2-1))</f>
        <v>0.40010929081442642</v>
      </c>
      <c r="J10" s="30">
        <f>I10*(1+(($K$10/$F$10)^0.2-1))</f>
        <v>0.40005464167507238</v>
      </c>
      <c r="K10" s="129">
        <f>'Bull-Bear'!E7</f>
        <v>0.4</v>
      </c>
      <c r="L10" s="129"/>
      <c r="M10" s="129"/>
      <c r="N10" s="129"/>
      <c r="O10" s="129"/>
      <c r="P10" s="129"/>
      <c r="Q10" s="195"/>
      <c r="R10" s="143"/>
      <c r="S10" s="30">
        <f>F10*(1+(($W$10/$K$10)^0.2-1))</f>
        <v>0.41854157658003061</v>
      </c>
      <c r="T10" s="30">
        <f>S10*(1+(($W$10/$F$10)^0.2-1))</f>
        <v>0.4375838510894689</v>
      </c>
      <c r="U10" s="30">
        <f>T10*(1+(($W$10/$F$10)^0.2-1))</f>
        <v>0.45749248688481753</v>
      </c>
      <c r="V10" s="30">
        <f>U10*(1+(($W$10/$F$10)^0.2-1))</f>
        <v>0.47830690057449432</v>
      </c>
      <c r="W10" s="129">
        <f>'Bull-Bear'!D7</f>
        <v>0.5</v>
      </c>
      <c r="X10" s="129"/>
      <c r="Y10" s="129"/>
      <c r="Z10" s="129"/>
      <c r="AA10" s="129"/>
      <c r="AB10" s="129"/>
      <c r="AC10" s="129"/>
      <c r="AD10" s="143"/>
      <c r="AE10" s="162">
        <f>F10*(1+(($AI$10/$F$10)^0.2-1))</f>
        <v>0.40021861149005811</v>
      </c>
      <c r="AF10" s="30">
        <f>AE10*(1+(($AI$10/$F$10)^0.2-1))</f>
        <v>0.40016394741908173</v>
      </c>
      <c r="AG10" s="30">
        <f>AF10*(1+(($AI$10/$F$10)^0.2-1))</f>
        <v>0.40010929081442642</v>
      </c>
      <c r="AH10" s="30">
        <f>AG10*(1+(($AI$10/$F$10)^0.2-1))</f>
        <v>0.40005464167507238</v>
      </c>
      <c r="AI10" s="129">
        <f>'Bull-Bear'!F7</f>
        <v>0.4</v>
      </c>
      <c r="AJ10" s="129"/>
      <c r="AK10" s="129"/>
      <c r="AL10" s="129"/>
      <c r="AM10" s="129"/>
      <c r="AN10" s="129"/>
      <c r="AO10" s="129"/>
    </row>
    <row r="11" spans="2:41">
      <c r="B11" s="177" t="s">
        <v>94</v>
      </c>
      <c r="C11" s="29" t="s">
        <v>203</v>
      </c>
      <c r="D11" s="29"/>
      <c r="E11" s="30"/>
      <c r="F11" s="93">
        <v>3.0050546773902072E-2</v>
      </c>
      <c r="G11" s="30">
        <f>F11*(1+(($K$11/$F$11)^0.2-1))</f>
        <v>3.5587830283248974E-2</v>
      </c>
      <c r="H11" s="30">
        <f>G11*(1+(($K$11/$F$11)^0.2-1))</f>
        <v>4.2145444933109885E-2</v>
      </c>
      <c r="I11" s="30">
        <f>H11*(1+(($K$11/$F$11)^0.2-1))</f>
        <v>4.9911402703464759E-2</v>
      </c>
      <c r="J11" s="30">
        <f>I11*(1+(($K$11/$F$11)^0.2-1))</f>
        <v>5.9108359723837156E-2</v>
      </c>
      <c r="K11" s="129">
        <f>'Bull-Bear'!E8</f>
        <v>7.0000000000000007E-2</v>
      </c>
      <c r="L11" s="129"/>
      <c r="M11" s="129"/>
      <c r="N11" s="129"/>
      <c r="O11" s="129"/>
      <c r="P11" s="129"/>
      <c r="Q11" s="195"/>
      <c r="R11" s="143"/>
      <c r="S11" s="30">
        <f>F11*(1+(($W$11/$F$11)^0.2-1))</f>
        <v>3.8219227329923937E-2</v>
      </c>
      <c r="T11" s="30">
        <f>G11*(1+(($W$11/$F$11)^0.2-1))</f>
        <v>4.5261718064826727E-2</v>
      </c>
      <c r="U11" s="30">
        <f>H11*(1+(($W$11/$F$11)^0.2-1))</f>
        <v>5.3601897926802984E-2</v>
      </c>
      <c r="V11" s="30">
        <f>I11*(1+(($W$11/$F$11)^0.2-1))</f>
        <v>6.3478886445279825E-2</v>
      </c>
      <c r="W11" s="129">
        <f>'Bull-Bear'!D8</f>
        <v>0.1</v>
      </c>
      <c r="X11" s="129"/>
      <c r="Y11" s="129"/>
      <c r="Z11" s="129"/>
      <c r="AA11" s="129"/>
      <c r="AB11" s="129"/>
      <c r="AC11" s="129"/>
      <c r="AD11" s="143"/>
      <c r="AE11" s="162">
        <f>F11*(1+(($AI$11/$F$11)^0.2-1))</f>
        <v>3.1819540297949506E-2</v>
      </c>
      <c r="AF11" s="30">
        <f>AE11*(1+(($AI$11/$F$11)^0.2-1))</f>
        <v>3.3692669633956257E-2</v>
      </c>
      <c r="AG11" s="30">
        <f>AF11*(1+(($AI$11/$F$11)^0.2-1))</f>
        <v>3.5676064972443099E-2</v>
      </c>
      <c r="AH11" s="30">
        <f>AG11*(1+(($AI$11/$F$11)^0.2-1))</f>
        <v>3.7776217371485531E-2</v>
      </c>
      <c r="AI11" s="129">
        <f>'Bull-Bear'!F8</f>
        <v>0.04</v>
      </c>
      <c r="AJ11" s="129"/>
      <c r="AK11" s="129"/>
      <c r="AL11" s="129"/>
      <c r="AM11" s="129"/>
      <c r="AN11" s="129"/>
      <c r="AO11" s="129"/>
    </row>
    <row r="12" spans="2:41" ht="15" thickBot="1">
      <c r="B12" s="178" t="s">
        <v>33</v>
      </c>
      <c r="C12" s="27"/>
      <c r="D12" s="27"/>
      <c r="E12" s="27">
        <v>200</v>
      </c>
      <c r="F12" s="94">
        <v>360.83333333333331</v>
      </c>
      <c r="G12" s="28">
        <f>G14+G15</f>
        <v>493.0717025250284</v>
      </c>
      <c r="H12" s="28">
        <f t="shared" ref="H12:K12" si="32">H14+H15</f>
        <v>721.08838506999439</v>
      </c>
      <c r="I12" s="28">
        <f t="shared" si="32"/>
        <v>1055.875656141779</v>
      </c>
      <c r="J12" s="28">
        <f t="shared" si="32"/>
        <v>1548.1877650188198</v>
      </c>
      <c r="K12" s="28">
        <f t="shared" si="32"/>
        <v>2273.3333333333335</v>
      </c>
      <c r="L12" s="28"/>
      <c r="M12" s="28"/>
      <c r="N12" s="28"/>
      <c r="O12" s="28"/>
      <c r="P12" s="28"/>
      <c r="Q12" s="196"/>
      <c r="R12" s="139"/>
      <c r="S12" s="28">
        <f>S14+S15</f>
        <v>524.77898332849486</v>
      </c>
      <c r="T12" s="28">
        <f t="shared" ref="T12:W12" si="33">T14+T15</f>
        <v>839.00242429537502</v>
      </c>
      <c r="U12" s="28">
        <f t="shared" si="33"/>
        <v>1341.7818220668928</v>
      </c>
      <c r="V12" s="28">
        <f t="shared" si="33"/>
        <v>2146.5380881289529</v>
      </c>
      <c r="W12" s="28">
        <f t="shared" si="33"/>
        <v>3262.3809523809523</v>
      </c>
      <c r="X12" s="28"/>
      <c r="Y12" s="28"/>
      <c r="Z12" s="28"/>
      <c r="AA12" s="28"/>
      <c r="AB12" s="28"/>
      <c r="AC12" s="28"/>
      <c r="AD12" s="139"/>
      <c r="AE12" s="164">
        <f>AE14+AE15</f>
        <v>469.37394159968119</v>
      </c>
      <c r="AF12" s="28">
        <f t="shared" ref="AF12:AI12" si="34">AF14+AF15</f>
        <v>652.69524082072894</v>
      </c>
      <c r="AG12" s="28">
        <f t="shared" si="34"/>
        <v>907.63790858581024</v>
      </c>
      <c r="AH12" s="28">
        <f t="shared" si="34"/>
        <v>1262.1918978244707</v>
      </c>
      <c r="AI12" s="28">
        <f t="shared" si="34"/>
        <v>1755.288888888889</v>
      </c>
      <c r="AJ12" s="28"/>
      <c r="AK12" s="28"/>
      <c r="AL12" s="28"/>
      <c r="AM12" s="28"/>
      <c r="AN12" s="28"/>
      <c r="AO12" s="28"/>
    </row>
    <row r="13" spans="2:41" ht="15" thickTop="1">
      <c r="B13" s="177" t="s">
        <v>36</v>
      </c>
      <c r="C13" s="42"/>
      <c r="D13" s="30"/>
      <c r="E13" s="30"/>
      <c r="F13" s="93">
        <v>0.80416666666666647</v>
      </c>
      <c r="G13" s="30">
        <f>G12/F12-1</f>
        <v>0.36648046889153374</v>
      </c>
      <c r="H13" s="30">
        <f>H12/G12-1</f>
        <v>0.462441225844616</v>
      </c>
      <c r="I13" s="30">
        <f>I12/H12-1</f>
        <v>0.46428049321483322</v>
      </c>
      <c r="J13" s="30">
        <v>0.2</v>
      </c>
      <c r="K13" s="30">
        <v>0.2</v>
      </c>
      <c r="L13" s="30"/>
      <c r="M13" s="30"/>
      <c r="N13" s="30"/>
      <c r="O13" s="30"/>
      <c r="P13" s="30"/>
      <c r="Q13" s="197"/>
      <c r="R13" s="144"/>
      <c r="S13" s="30">
        <f>S12/K12-1</f>
        <v>-0.76915880498746558</v>
      </c>
      <c r="T13" s="30">
        <f>T12/S12-1</f>
        <v>0.59877291383482545</v>
      </c>
      <c r="U13" s="30">
        <f>U12/T12-1</f>
        <v>0.59925857567547602</v>
      </c>
      <c r="V13" s="30">
        <v>0.2</v>
      </c>
      <c r="W13" s="30">
        <v>0.2</v>
      </c>
      <c r="X13" s="30"/>
      <c r="Y13" s="30"/>
      <c r="Z13" s="30"/>
      <c r="AA13" s="30"/>
      <c r="AB13" s="30"/>
      <c r="AC13" s="30"/>
      <c r="AD13" s="144"/>
      <c r="AE13" s="162">
        <f>AE12/W12-1</f>
        <v>-0.85612534267124063</v>
      </c>
      <c r="AF13" s="30">
        <f>AF12/AE12-1</f>
        <v>0.39056556611614912</v>
      </c>
      <c r="AG13" s="30">
        <f>AG12/AF12-1</f>
        <v>0.39059985705503952</v>
      </c>
      <c r="AH13" s="30">
        <v>0.2</v>
      </c>
      <c r="AI13" s="30">
        <v>0.2</v>
      </c>
      <c r="AJ13" s="30"/>
      <c r="AK13" s="30"/>
      <c r="AL13" s="30"/>
      <c r="AM13" s="30"/>
      <c r="AN13" s="30"/>
      <c r="AO13" s="30"/>
    </row>
    <row r="14" spans="2:41">
      <c r="B14" s="177" t="s">
        <v>193</v>
      </c>
      <c r="C14" s="42"/>
      <c r="D14" s="30"/>
      <c r="E14" s="30"/>
      <c r="F14" s="93"/>
      <c r="G14" s="110">
        <f>(G18*1000)/G16</f>
        <v>429.58214273543268</v>
      </c>
      <c r="H14" s="110">
        <f t="shared" ref="H14:K14" si="35">(H18*1000)/H16</f>
        <v>619.67346691325292</v>
      </c>
      <c r="I14" s="110">
        <f t="shared" si="35"/>
        <v>893.88074455595313</v>
      </c>
      <c r="J14" s="110">
        <f t="shared" si="35"/>
        <v>1289.4255251367069</v>
      </c>
      <c r="K14" s="110">
        <f t="shared" si="35"/>
        <v>1860.0000000000002</v>
      </c>
      <c r="L14" s="110"/>
      <c r="M14" s="110"/>
      <c r="N14" s="110"/>
      <c r="O14" s="110"/>
      <c r="P14" s="110"/>
      <c r="Q14" s="198"/>
      <c r="R14" s="145"/>
      <c r="S14" s="110">
        <f>(S18*1000)/S16</f>
        <v>473.4522833252833</v>
      </c>
      <c r="T14" s="110">
        <f t="shared" ref="T14:W14" si="36">(T18*1000)/T16</f>
        <v>752.59888317578259</v>
      </c>
      <c r="U14" s="110">
        <f t="shared" si="36"/>
        <v>1196.3298074714098</v>
      </c>
      <c r="V14" s="110">
        <f t="shared" si="36"/>
        <v>1901.6836727225075</v>
      </c>
      <c r="W14" s="110">
        <f t="shared" si="36"/>
        <v>2590.7142857142858</v>
      </c>
      <c r="X14" s="110"/>
      <c r="Y14" s="110"/>
      <c r="Z14" s="110"/>
      <c r="AA14" s="110"/>
      <c r="AB14" s="110"/>
      <c r="AC14" s="110"/>
      <c r="AD14" s="145"/>
      <c r="AE14" s="165">
        <f>(AE18*1000)/AE16</f>
        <v>414.860491109218</v>
      </c>
      <c r="AF14" s="110">
        <f t="shared" ref="AF14:AI14" si="37">(AF18*1000)/AF16</f>
        <v>577.92917015265482</v>
      </c>
      <c r="AG14" s="110">
        <f t="shared" si="37"/>
        <v>805.0950448916218</v>
      </c>
      <c r="AH14" s="110">
        <f t="shared" si="37"/>
        <v>1121.5527175031364</v>
      </c>
      <c r="AI14" s="110">
        <f t="shared" si="37"/>
        <v>1562.4</v>
      </c>
      <c r="AJ14" s="110"/>
      <c r="AK14" s="110"/>
      <c r="AL14" s="110"/>
      <c r="AM14" s="110"/>
      <c r="AN14" s="110"/>
      <c r="AO14" s="110"/>
    </row>
    <row r="15" spans="2:41">
      <c r="B15" s="177" t="s">
        <v>194</v>
      </c>
      <c r="C15" s="42"/>
      <c r="D15" s="30"/>
      <c r="E15" s="30"/>
      <c r="F15" s="93"/>
      <c r="G15" s="110">
        <f>(G20*1000)/G17</f>
        <v>63.489559789595695</v>
      </c>
      <c r="H15" s="110">
        <f t="shared" ref="H15:K15" si="38">(H20*1000)/H17</f>
        <v>101.41491815674145</v>
      </c>
      <c r="I15" s="110">
        <f t="shared" si="38"/>
        <v>161.994911585826</v>
      </c>
      <c r="J15" s="110">
        <f t="shared" si="38"/>
        <v>258.76223988211291</v>
      </c>
      <c r="K15" s="110">
        <f t="shared" si="38"/>
        <v>413.33333333333343</v>
      </c>
      <c r="L15" s="110"/>
      <c r="M15" s="110"/>
      <c r="N15" s="110"/>
      <c r="O15" s="110"/>
      <c r="P15" s="110"/>
      <c r="Q15" s="198"/>
      <c r="R15" s="145"/>
      <c r="S15" s="110">
        <f>(S20*1000)/S17</f>
        <v>51.326700003211556</v>
      </c>
      <c r="T15" s="110">
        <f t="shared" ref="T15:W15" si="39">(T20*1000)/T17</f>
        <v>86.403541119592475</v>
      </c>
      <c r="U15" s="110">
        <f t="shared" si="39"/>
        <v>145.45201459548301</v>
      </c>
      <c r="V15" s="110">
        <f t="shared" si="39"/>
        <v>244.85441540644567</v>
      </c>
      <c r="W15" s="110">
        <f t="shared" si="39"/>
        <v>671.66666666666674</v>
      </c>
      <c r="X15" s="110"/>
      <c r="Y15" s="110"/>
      <c r="Z15" s="110"/>
      <c r="AA15" s="110"/>
      <c r="AB15" s="110"/>
      <c r="AC15" s="110"/>
      <c r="AD15" s="145"/>
      <c r="AE15" s="165">
        <f>(AE20*1000)/AE17</f>
        <v>54.513450490463185</v>
      </c>
      <c r="AF15" s="110">
        <f t="shared" ref="AF15:AI15" si="40">(AF20*1000)/AF17</f>
        <v>74.766070668074136</v>
      </c>
      <c r="AG15" s="110">
        <f t="shared" si="40"/>
        <v>102.54286369418843</v>
      </c>
      <c r="AH15" s="110">
        <f t="shared" si="40"/>
        <v>140.63918032133435</v>
      </c>
      <c r="AI15" s="110">
        <f t="shared" si="40"/>
        <v>192.88888888888891</v>
      </c>
      <c r="AJ15" s="110"/>
      <c r="AK15" s="110"/>
      <c r="AL15" s="110"/>
      <c r="AM15" s="110"/>
      <c r="AN15" s="110"/>
      <c r="AO15" s="110"/>
    </row>
    <row r="16" spans="2:41">
      <c r="B16" s="177" t="s">
        <v>196</v>
      </c>
      <c r="C16" s="42"/>
      <c r="D16" s="30"/>
      <c r="E16" s="30"/>
      <c r="F16" s="95">
        <v>960</v>
      </c>
      <c r="G16" s="43">
        <f>F16*(1+(($K$16/$F$16)^0.2-1))</f>
        <v>960</v>
      </c>
      <c r="H16" s="43">
        <f>G16*(1+(($K$16/$F$16)^0.2-1))</f>
        <v>960</v>
      </c>
      <c r="I16" s="43">
        <f>H16*(1+(($K$16/$F$16)^0.2-1))</f>
        <v>960</v>
      </c>
      <c r="J16" s="43">
        <f>I16*(1+(($K$16/$F$16)^0.2-1))</f>
        <v>960</v>
      </c>
      <c r="K16" s="130">
        <f>'Bull-Bear'!E10*4</f>
        <v>960</v>
      </c>
      <c r="L16" s="130"/>
      <c r="M16" s="130"/>
      <c r="N16" s="130"/>
      <c r="O16" s="130"/>
      <c r="P16" s="130"/>
      <c r="Q16" s="199"/>
      <c r="R16" s="146"/>
      <c r="S16" s="43">
        <f>K16*(1+(($K$16/$F$16)^0.2-1))</f>
        <v>960</v>
      </c>
      <c r="T16" s="43">
        <f>S16*(1+(($K$16/$F$16)^0.2-1))</f>
        <v>960</v>
      </c>
      <c r="U16" s="43">
        <f>T16*(1+(($K$16/$F$16)^0.2-1))</f>
        <v>960</v>
      </c>
      <c r="V16" s="43">
        <f>U16*(1+(($K$16/$F$16)^0.2-1))</f>
        <v>960</v>
      </c>
      <c r="W16" s="130">
        <f>'Bull-Bear'!D10*4</f>
        <v>1120</v>
      </c>
      <c r="X16" s="130"/>
      <c r="Y16" s="130"/>
      <c r="Z16" s="130"/>
      <c r="AA16" s="130"/>
      <c r="AB16" s="130"/>
      <c r="AC16" s="130"/>
      <c r="AD16" s="146"/>
      <c r="AE16" s="166">
        <f>F16*(1+(($AI$16/$F$16)^0.2-1))</f>
        <v>925.62480384252217</v>
      </c>
      <c r="AF16" s="43">
        <f>AE16*(1+(($AI$16/$F$16)^0.2-1))</f>
        <v>892.48049738386214</v>
      </c>
      <c r="AG16" s="43">
        <f>AF16*(1+(($AI$16/$F$16)^0.2-1))</f>
        <v>860.5230055460562</v>
      </c>
      <c r="AH16" s="43">
        <f>AG16*(1+(($AI$16/$F$16)^0.2-1))</f>
        <v>829.7098314693186</v>
      </c>
      <c r="AI16" s="130">
        <f>'Bull-Bear'!F10*4</f>
        <v>800</v>
      </c>
      <c r="AJ16" s="130"/>
      <c r="AK16" s="130"/>
      <c r="AL16" s="130"/>
      <c r="AM16" s="130"/>
      <c r="AN16" s="130"/>
      <c r="AO16" s="130"/>
    </row>
    <row r="17" spans="2:41">
      <c r="B17" s="177" t="s">
        <v>195</v>
      </c>
      <c r="C17" s="42"/>
      <c r="D17" s="30"/>
      <c r="E17" s="30"/>
      <c r="F17" s="95">
        <v>960</v>
      </c>
      <c r="G17" s="43">
        <f>F17*(1+(($K$17/$F$17)^0.2-1))</f>
        <v>1026.825960696066</v>
      </c>
      <c r="H17" s="43">
        <f>G17*(1+(($K$17/$F$17)^0.2-1))</f>
        <v>1098.3037016243738</v>
      </c>
      <c r="I17" s="43">
        <f>H17*(1+(($K$17/$F$17)^0.2-1))</f>
        <v>1174.7570349546804</v>
      </c>
      <c r="J17" s="43">
        <f>I17*(1+(($K$17/$F$17)^0.2-1))</f>
        <v>1256.5323135435435</v>
      </c>
      <c r="K17" s="130">
        <f>'Bull-Bear'!E11*Model!F17</f>
        <v>1344</v>
      </c>
      <c r="L17" s="130"/>
      <c r="M17" s="130"/>
      <c r="N17" s="130"/>
      <c r="O17" s="130"/>
      <c r="P17" s="130"/>
      <c r="Q17" s="199"/>
      <c r="R17" s="146"/>
      <c r="S17" s="43">
        <f>K17*(1+(($K$17/$F$17)^0.2-1))</f>
        <v>1437.5563449744925</v>
      </c>
      <c r="T17" s="43">
        <f>S17*(1+(($K$17/$F$17)^0.2-1))</f>
        <v>1537.6251822741235</v>
      </c>
      <c r="U17" s="43">
        <f>T17*(1+(($K$17/$F$17)^0.2-1))</f>
        <v>1644.6598489365526</v>
      </c>
      <c r="V17" s="43">
        <f>U17*(1+(($K$17/$F$17)^0.2-1))</f>
        <v>1759.145238960961</v>
      </c>
      <c r="W17" s="130">
        <f>'Bull-Bear'!D11*F17</f>
        <v>1536</v>
      </c>
      <c r="X17" s="130"/>
      <c r="Y17" s="130"/>
      <c r="Z17" s="130"/>
      <c r="AA17" s="130"/>
      <c r="AB17" s="130"/>
      <c r="AC17" s="130"/>
      <c r="AD17" s="146"/>
      <c r="AE17" s="166">
        <f>F17*(1+(($AI$17/$F$17)^0.2-1))</f>
        <v>995.65179776318223</v>
      </c>
      <c r="AF17" s="43">
        <f>AE17*(1+(($AI$17/$F$17)^0.2-1))</f>
        <v>1032.6276066552675</v>
      </c>
      <c r="AG17" s="43">
        <f>AF17*(1+(($AI$17/$F$17)^0.2-1))</f>
        <v>1070.9765968606348</v>
      </c>
      <c r="AH17" s="43">
        <f>AG17*(1+(($AI$17/$F$17)^0.2-1))</f>
        <v>1110.7497646110271</v>
      </c>
      <c r="AI17" s="130">
        <f>'Bull-Bear'!F11*Model!F17</f>
        <v>1152</v>
      </c>
      <c r="AJ17" s="130"/>
      <c r="AK17" s="130"/>
      <c r="AL17" s="130"/>
      <c r="AM17" s="130"/>
      <c r="AN17" s="130"/>
      <c r="AO17" s="130"/>
    </row>
    <row r="18" spans="2:41">
      <c r="B18" s="183" t="s">
        <v>63</v>
      </c>
      <c r="C18" s="184"/>
      <c r="D18" s="184"/>
      <c r="E18" s="184">
        <v>161.333</v>
      </c>
      <c r="F18" s="185">
        <v>320.21862642270042</v>
      </c>
      <c r="G18" s="184">
        <f t="shared" ref="G18:J18" si="41">G10*G7</f>
        <v>412.39885702601538</v>
      </c>
      <c r="H18" s="184">
        <f t="shared" si="41"/>
        <v>594.88652823672282</v>
      </c>
      <c r="I18" s="184">
        <f t="shared" si="41"/>
        <v>858.12551477371505</v>
      </c>
      <c r="J18" s="184">
        <f t="shared" si="41"/>
        <v>1237.8485041312388</v>
      </c>
      <c r="K18" s="184">
        <f>K10*K7</f>
        <v>1785.6000000000001</v>
      </c>
      <c r="L18" s="184"/>
      <c r="M18" s="184"/>
      <c r="N18" s="184"/>
      <c r="O18" s="184"/>
      <c r="P18" s="184"/>
      <c r="Q18" s="200"/>
      <c r="R18" s="139"/>
      <c r="S18" s="184">
        <f t="shared" ref="S18:V18" si="42">S10*S7</f>
        <v>454.514191992272</v>
      </c>
      <c r="T18" s="184">
        <f t="shared" si="42"/>
        <v>722.49492784875133</v>
      </c>
      <c r="U18" s="184">
        <f t="shared" si="42"/>
        <v>1148.4766151725532</v>
      </c>
      <c r="V18" s="184">
        <f t="shared" si="42"/>
        <v>1825.6163258136071</v>
      </c>
      <c r="W18" s="184">
        <f>W10*W7</f>
        <v>2901.6</v>
      </c>
      <c r="X18" s="184"/>
      <c r="Y18" s="184"/>
      <c r="Z18" s="184"/>
      <c r="AA18" s="184"/>
      <c r="AB18" s="184"/>
      <c r="AC18" s="184"/>
      <c r="AD18" s="139"/>
      <c r="AE18" s="186">
        <f t="shared" ref="AE18:AH18" si="43">AE10*AE7</f>
        <v>384.00516070498236</v>
      </c>
      <c r="AF18" s="184">
        <f t="shared" si="43"/>
        <v>515.79051323048407</v>
      </c>
      <c r="AG18" s="184">
        <f t="shared" si="43"/>
        <v>692.80280778037547</v>
      </c>
      <c r="AH18" s="184">
        <f t="shared" si="43"/>
        <v>930.56331622348364</v>
      </c>
      <c r="AI18" s="184">
        <f>AI10*AI7</f>
        <v>1249.92</v>
      </c>
      <c r="AJ18" s="184"/>
      <c r="AK18" s="184"/>
      <c r="AL18" s="184"/>
      <c r="AM18" s="184"/>
      <c r="AN18" s="184"/>
      <c r="AO18" s="184"/>
    </row>
    <row r="19" spans="2:41">
      <c r="B19" s="177" t="s">
        <v>42</v>
      </c>
      <c r="C19" s="30"/>
      <c r="D19" s="30"/>
      <c r="E19" s="30">
        <v>1</v>
      </c>
      <c r="F19" s="93">
        <v>0.9</v>
      </c>
      <c r="G19" s="30">
        <f>G18/G24</f>
        <v>0.85396097975688656</v>
      </c>
      <c r="H19" s="30">
        <f t="shared" ref="H19:K19" si="44">H18/H24</f>
        <v>0.83225384635298827</v>
      </c>
      <c r="I19" s="30">
        <f t="shared" si="44"/>
        <v>0.80799907092893131</v>
      </c>
      <c r="J19" s="30">
        <f t="shared" si="44"/>
        <v>0.78111119315870303</v>
      </c>
      <c r="K19" s="30">
        <f t="shared" si="44"/>
        <v>0.75156576200417535</v>
      </c>
      <c r="L19" s="30"/>
      <c r="M19" s="30"/>
      <c r="N19" s="30"/>
      <c r="O19" s="30"/>
      <c r="P19" s="30"/>
      <c r="Q19" s="197"/>
      <c r="R19" s="144"/>
      <c r="S19" s="30">
        <f>S18/S24</f>
        <v>0.85337044072193724</v>
      </c>
      <c r="T19" s="30">
        <f t="shared" ref="T19:W19" si="45">T18/T24</f>
        <v>0.83756934584071696</v>
      </c>
      <c r="U19" s="30">
        <f t="shared" si="45"/>
        <v>0.8203910266237382</v>
      </c>
      <c r="V19" s="30">
        <f t="shared" si="45"/>
        <v>0.80179253892085456</v>
      </c>
      <c r="W19" s="30">
        <f t="shared" si="45"/>
        <v>0.72727272727272729</v>
      </c>
      <c r="X19" s="30"/>
      <c r="Y19" s="30"/>
      <c r="Z19" s="30"/>
      <c r="AA19" s="30"/>
      <c r="AB19" s="30"/>
      <c r="AC19" s="30"/>
      <c r="AD19" s="144"/>
      <c r="AE19" s="162">
        <f>AE18/AE24</f>
        <v>0.86710145178953824</v>
      </c>
      <c r="AF19" s="30">
        <f t="shared" ref="AF19:AI19" si="46">AF18/AF24</f>
        <v>0.86068888666310517</v>
      </c>
      <c r="AG19" s="30">
        <f t="shared" si="46"/>
        <v>0.85400746381302506</v>
      </c>
      <c r="AH19" s="30">
        <f t="shared" si="46"/>
        <v>0.84705091956013201</v>
      </c>
      <c r="AI19" s="30">
        <f t="shared" si="46"/>
        <v>0.83981337480559881</v>
      </c>
      <c r="AJ19" s="30"/>
      <c r="AK19" s="30"/>
      <c r="AL19" s="30"/>
      <c r="AM19" s="30"/>
      <c r="AN19" s="30"/>
      <c r="AO19" s="30"/>
    </row>
    <row r="20" spans="2:41">
      <c r="B20" s="183" t="s">
        <v>66</v>
      </c>
      <c r="C20" s="184"/>
      <c r="D20" s="184"/>
      <c r="E20" s="184">
        <v>0</v>
      </c>
      <c r="F20" s="185">
        <v>35.579847380300052</v>
      </c>
      <c r="G20" s="184">
        <f t="shared" ref="G20:J20" si="47">G11*G6</f>
        <v>65.192728225121925</v>
      </c>
      <c r="H20" s="184">
        <f t="shared" si="47"/>
        <v>111.38438001148207</v>
      </c>
      <c r="I20" s="184">
        <f t="shared" si="47"/>
        <v>190.30466201231056</v>
      </c>
      <c r="J20" s="184">
        <f t="shared" si="47"/>
        <v>325.1431159367807</v>
      </c>
      <c r="K20" s="184">
        <f>K11*K6</f>
        <v>555.5200000000001</v>
      </c>
      <c r="L20" s="184"/>
      <c r="M20" s="184"/>
      <c r="N20" s="184"/>
      <c r="O20" s="184"/>
      <c r="P20" s="184"/>
      <c r="Q20" s="200"/>
      <c r="R20" s="139"/>
      <c r="S20" s="184">
        <f t="shared" ref="S20:V20" si="48">S11*S6</f>
        <v>73.785023256219077</v>
      </c>
      <c r="T20" s="184">
        <f t="shared" si="48"/>
        <v>132.8562606631431</v>
      </c>
      <c r="U20" s="184">
        <f t="shared" si="48"/>
        <v>239.21908835212434</v>
      </c>
      <c r="V20" s="184">
        <f t="shared" si="48"/>
        <v>430.73447910081831</v>
      </c>
      <c r="W20" s="184">
        <f>W11*W6</f>
        <v>1031.68</v>
      </c>
      <c r="X20" s="184"/>
      <c r="Y20" s="184"/>
      <c r="Z20" s="184"/>
      <c r="AA20" s="184"/>
      <c r="AB20" s="184"/>
      <c r="AC20" s="184"/>
      <c r="AD20" s="139"/>
      <c r="AE20" s="186">
        <f t="shared" ref="AE20:AH20" si="49">AE11*AE6</f>
        <v>54.276414983103898</v>
      </c>
      <c r="AF20" s="184">
        <f t="shared" si="49"/>
        <v>77.205508612991991</v>
      </c>
      <c r="AG20" s="184">
        <f t="shared" si="49"/>
        <v>109.82100719154587</v>
      </c>
      <c r="AH20" s="184">
        <f t="shared" si="49"/>
        <v>156.21493643700992</v>
      </c>
      <c r="AI20" s="184">
        <f>AI11*AI6</f>
        <v>222.20800000000003</v>
      </c>
      <c r="AJ20" s="184"/>
      <c r="AK20" s="184"/>
      <c r="AL20" s="184"/>
      <c r="AM20" s="184"/>
      <c r="AN20" s="184"/>
      <c r="AO20" s="184"/>
    </row>
    <row r="21" spans="2:41">
      <c r="B21" s="177" t="s">
        <v>42</v>
      </c>
      <c r="C21" s="30"/>
      <c r="D21" s="30"/>
      <c r="E21" s="30">
        <v>0</v>
      </c>
      <c r="F21" s="93">
        <v>0.1</v>
      </c>
      <c r="G21" s="30">
        <f>G20/G24</f>
        <v>0.13499563618974236</v>
      </c>
      <c r="H21" s="30">
        <f t="shared" ref="H21:K21" si="50">H20/H24</f>
        <v>0.15582816938713859</v>
      </c>
      <c r="I21" s="30">
        <f t="shared" si="50"/>
        <v>0.17918822765681172</v>
      </c>
      <c r="J21" s="30">
        <f t="shared" si="50"/>
        <v>0.20517286759171191</v>
      </c>
      <c r="K21" s="30">
        <f t="shared" si="50"/>
        <v>0.23382045929018791</v>
      </c>
      <c r="L21" s="30"/>
      <c r="M21" s="30"/>
      <c r="N21" s="30"/>
      <c r="O21" s="30"/>
      <c r="P21" s="30"/>
      <c r="Q21" s="197"/>
      <c r="R21" s="144"/>
      <c r="S21" s="30">
        <f>S20/S24</f>
        <v>0.13853463527473012</v>
      </c>
      <c r="T21" s="30">
        <f t="shared" ref="T21:W21" si="51">T20/T24</f>
        <v>0.15401676474850959</v>
      </c>
      <c r="U21" s="30">
        <f t="shared" si="51"/>
        <v>0.17088131433281983</v>
      </c>
      <c r="V21" s="30">
        <f t="shared" si="51"/>
        <v>0.18917430059959797</v>
      </c>
      <c r="W21" s="30">
        <f t="shared" si="51"/>
        <v>0.25858585858585864</v>
      </c>
      <c r="X21" s="30"/>
      <c r="Y21" s="30"/>
      <c r="Z21" s="30"/>
      <c r="AA21" s="30"/>
      <c r="AB21" s="30"/>
      <c r="AC21" s="30"/>
      <c r="AD21" s="144"/>
      <c r="AE21" s="162">
        <f>AE20/AE24</f>
        <v>0.12255866078304559</v>
      </c>
      <c r="AF21" s="30">
        <f t="shared" ref="AF21:AI21" si="52">AF20/AF24</f>
        <v>0.12883122420415924</v>
      </c>
      <c r="AG21" s="30">
        <f t="shared" si="52"/>
        <v>0.13537468204773165</v>
      </c>
      <c r="AH21" s="30">
        <f t="shared" si="52"/>
        <v>0.14219559620617844</v>
      </c>
      <c r="AI21" s="30">
        <f t="shared" si="52"/>
        <v>0.14930015552099535</v>
      </c>
      <c r="AJ21" s="30"/>
      <c r="AK21" s="30"/>
      <c r="AL21" s="30"/>
      <c r="AM21" s="30"/>
      <c r="AN21" s="30"/>
      <c r="AO21" s="30"/>
    </row>
    <row r="22" spans="2:41">
      <c r="B22" s="183" t="s">
        <v>202</v>
      </c>
      <c r="C22" s="184"/>
      <c r="D22" s="184"/>
      <c r="E22" s="184">
        <v>0</v>
      </c>
      <c r="F22" s="185">
        <v>0</v>
      </c>
      <c r="G22" s="187">
        <f>(G15*84)/1000</f>
        <v>5.3331230223260384</v>
      </c>
      <c r="H22" s="187">
        <f t="shared" ref="H22:K22" si="53">(H15*84)/1000</f>
        <v>8.5188531251662827</v>
      </c>
      <c r="I22" s="187">
        <f t="shared" si="53"/>
        <v>13.607572573209385</v>
      </c>
      <c r="J22" s="187">
        <f t="shared" si="53"/>
        <v>21.736028150097486</v>
      </c>
      <c r="K22" s="187">
        <f t="shared" si="53"/>
        <v>34.720000000000006</v>
      </c>
      <c r="L22" s="187"/>
      <c r="M22" s="187"/>
      <c r="N22" s="187"/>
      <c r="O22" s="187"/>
      <c r="P22" s="187"/>
      <c r="Q22" s="201"/>
      <c r="R22" s="147"/>
      <c r="S22" s="187">
        <f>(S15*84)/1000</f>
        <v>4.3114428002697709</v>
      </c>
      <c r="T22" s="187">
        <f t="shared" ref="T22:W22" si="54">(T15*84)/1000</f>
        <v>7.2578974540457679</v>
      </c>
      <c r="U22" s="187">
        <f t="shared" si="54"/>
        <v>12.217969226020571</v>
      </c>
      <c r="V22" s="187">
        <f t="shared" si="54"/>
        <v>20.567770894141436</v>
      </c>
      <c r="W22" s="187">
        <f t="shared" si="54"/>
        <v>56.420000000000009</v>
      </c>
      <c r="X22" s="187"/>
      <c r="Y22" s="187"/>
      <c r="Z22" s="187"/>
      <c r="AA22" s="187"/>
      <c r="AB22" s="187"/>
      <c r="AC22" s="187"/>
      <c r="AD22" s="147"/>
      <c r="AE22" s="188">
        <f>(AE15*84)/1000</f>
        <v>4.579129841198907</v>
      </c>
      <c r="AF22" s="187">
        <f t="shared" ref="AF22:AI22" si="55">(AF15*84)/1000</f>
        <v>6.2803499361182276</v>
      </c>
      <c r="AG22" s="187">
        <f t="shared" si="55"/>
        <v>8.613600550311828</v>
      </c>
      <c r="AH22" s="187">
        <f t="shared" si="55"/>
        <v>11.813691146992085</v>
      </c>
      <c r="AI22" s="187">
        <f t="shared" si="55"/>
        <v>16.202666666666669</v>
      </c>
      <c r="AJ22" s="187"/>
      <c r="AK22" s="187"/>
      <c r="AL22" s="187"/>
      <c r="AM22" s="187"/>
      <c r="AN22" s="187"/>
      <c r="AO22" s="187"/>
    </row>
    <row r="23" spans="2:41">
      <c r="B23" s="177" t="s">
        <v>73</v>
      </c>
      <c r="C23" s="30"/>
      <c r="D23" s="30"/>
      <c r="E23" s="30">
        <v>0</v>
      </c>
      <c r="F23" s="93">
        <v>0</v>
      </c>
      <c r="G23" s="30">
        <f>G22/G12</f>
        <v>1.0816120647392714E-2</v>
      </c>
      <c r="H23" s="30">
        <f t="shared" ref="H23:K23" si="56">H22/H12</f>
        <v>1.1813882044902689E-2</v>
      </c>
      <c r="I23" s="30">
        <f t="shared" si="56"/>
        <v>1.2887476374758101E-2</v>
      </c>
      <c r="J23" s="30">
        <f t="shared" si="56"/>
        <v>1.4039658910386275E-2</v>
      </c>
      <c r="K23" s="30">
        <f t="shared" si="56"/>
        <v>1.5272727272727275E-2</v>
      </c>
      <c r="L23" s="30"/>
      <c r="M23" s="30"/>
      <c r="N23" s="30"/>
      <c r="O23" s="30"/>
      <c r="P23" s="30"/>
      <c r="Q23" s="197"/>
      <c r="R23" s="144"/>
      <c r="S23" s="30">
        <f>S22/S12</f>
        <v>8.2157306928028126E-3</v>
      </c>
      <c r="T23" s="30">
        <f t="shared" ref="T23" si="57">T22/T12</f>
        <v>8.6506275117634087E-3</v>
      </c>
      <c r="U23" s="30">
        <f t="shared" ref="U23" si="58">U22/U12</f>
        <v>9.1057793637417898E-3</v>
      </c>
      <c r="V23" s="30">
        <f t="shared" ref="V23" si="59">V22/V12</f>
        <v>9.5818336547987826E-3</v>
      </c>
      <c r="W23" s="30">
        <f t="shared" ref="W23" si="60">W22/W12</f>
        <v>1.7294117647058828E-2</v>
      </c>
      <c r="X23" s="30"/>
      <c r="Y23" s="30"/>
      <c r="Z23" s="30"/>
      <c r="AA23" s="30"/>
      <c r="AB23" s="30"/>
      <c r="AC23" s="30"/>
      <c r="AD23" s="144"/>
      <c r="AE23" s="162">
        <f>AE22/AE12</f>
        <v>9.7558245896495616E-3</v>
      </c>
      <c r="AF23" s="30">
        <f t="shared" ref="AF23" si="61">AF22/AF12</f>
        <v>9.6221782285726906E-3</v>
      </c>
      <c r="AG23" s="30">
        <f t="shared" ref="AG23" si="62">AG22/AG12</f>
        <v>9.4901286832903119E-3</v>
      </c>
      <c r="AH23" s="30">
        <f t="shared" ref="AH23" si="63">AH22/AH12</f>
        <v>9.3596632709767088E-3</v>
      </c>
      <c r="AI23" s="30">
        <f t="shared" ref="AI23" si="64">AI22/AI12</f>
        <v>9.2307692307692316E-3</v>
      </c>
      <c r="AJ23" s="30"/>
      <c r="AK23" s="30"/>
      <c r="AL23" s="30"/>
      <c r="AM23" s="30"/>
      <c r="AN23" s="30"/>
      <c r="AO23" s="30"/>
    </row>
    <row r="24" spans="2:41" ht="15" thickBot="1">
      <c r="B24" s="178" t="s">
        <v>60</v>
      </c>
      <c r="C24" s="94"/>
      <c r="D24" s="28"/>
      <c r="E24" s="28">
        <v>161.333</v>
      </c>
      <c r="F24" s="28">
        <v>355.79847380300049</v>
      </c>
      <c r="G24" s="28">
        <f>G22+G20+G18</f>
        <v>482.92470827346335</v>
      </c>
      <c r="H24" s="28">
        <f t="shared" ref="H24:K24" si="65">H22+H20+H18</f>
        <v>714.78976137337122</v>
      </c>
      <c r="I24" s="28">
        <f t="shared" si="65"/>
        <v>1062.037749359235</v>
      </c>
      <c r="J24" s="28">
        <f t="shared" si="65"/>
        <v>1584.7276482181169</v>
      </c>
      <c r="K24" s="28">
        <f t="shared" si="65"/>
        <v>2375.84</v>
      </c>
      <c r="L24" s="28">
        <f>K24*(1+L8)</f>
        <v>3222.9693315604754</v>
      </c>
      <c r="M24" s="28">
        <f t="shared" ref="M24:Q24" si="66">L24*(1+M8)</f>
        <v>4094.5245162461597</v>
      </c>
      <c r="N24" s="28">
        <f t="shared" si="66"/>
        <v>4849.0633399939134</v>
      </c>
      <c r="O24" s="28">
        <f t="shared" si="66"/>
        <v>5324.9503249285399</v>
      </c>
      <c r="P24" s="28">
        <f t="shared" si="66"/>
        <v>5388.8497288276822</v>
      </c>
      <c r="Q24" s="196">
        <f t="shared" si="66"/>
        <v>5453.5159255736144</v>
      </c>
      <c r="R24" s="139"/>
      <c r="S24" s="28">
        <f t="shared" ref="S24:W24" si="67">S22+S20+S18</f>
        <v>532.6106580487608</v>
      </c>
      <c r="T24" s="28">
        <f t="shared" si="67"/>
        <v>862.60908596594027</v>
      </c>
      <c r="U24" s="28">
        <f t="shared" si="67"/>
        <v>1399.9136727506982</v>
      </c>
      <c r="V24" s="28">
        <f t="shared" si="67"/>
        <v>2276.9185758085669</v>
      </c>
      <c r="W24" s="28">
        <f t="shared" si="67"/>
        <v>3989.7</v>
      </c>
      <c r="X24" s="28">
        <f>W24*(1+X8)</f>
        <v>5722.3623573205696</v>
      </c>
      <c r="Y24" s="28">
        <f t="shared" ref="Y24:AC24" si="68">X24*(1+Y8)</f>
        <v>7714.5678433217863</v>
      </c>
      <c r="Z24" s="28">
        <f t="shared" si="68"/>
        <v>9735.8147662884312</v>
      </c>
      <c r="AA24" s="28">
        <f t="shared" si="68"/>
        <v>11447.993381216336</v>
      </c>
      <c r="AB24" s="28">
        <f t="shared" si="68"/>
        <v>11585.369301790932</v>
      </c>
      <c r="AC24" s="28">
        <f t="shared" si="68"/>
        <v>11724.393733412424</v>
      </c>
      <c r="AD24" s="139"/>
      <c r="AE24" s="164">
        <f t="shared" ref="AE24:AI24" si="69">AE22+AE20+AE18</f>
        <v>442.86070552928516</v>
      </c>
      <c r="AF24" s="28">
        <f t="shared" si="69"/>
        <v>599.27637177959423</v>
      </c>
      <c r="AG24" s="28">
        <f t="shared" si="69"/>
        <v>811.23741552223316</v>
      </c>
      <c r="AH24" s="28">
        <f t="shared" si="69"/>
        <v>1098.5919438074857</v>
      </c>
      <c r="AI24" s="28">
        <f t="shared" si="69"/>
        <v>1488.3306666666667</v>
      </c>
      <c r="AJ24" s="28">
        <f>AI24*(1+AJ8)</f>
        <v>1871.1738356273474</v>
      </c>
      <c r="AK24" s="28">
        <f t="shared" ref="AK24:AO24" si="70">AJ24*(1+AK8)</f>
        <v>2191.3128409166316</v>
      </c>
      <c r="AL24" s="28">
        <f t="shared" si="70"/>
        <v>2377.464760141851</v>
      </c>
      <c r="AM24" s="55">
        <f t="shared" si="70"/>
        <v>2374.635506150521</v>
      </c>
      <c r="AN24" s="55">
        <f t="shared" si="70"/>
        <v>2403.1311322243273</v>
      </c>
      <c r="AO24" s="55">
        <f t="shared" si="70"/>
        <v>2431.9687058110194</v>
      </c>
    </row>
    <row r="25" spans="2:41" ht="15" thickTop="1">
      <c r="B25" s="177" t="s">
        <v>118</v>
      </c>
      <c r="C25" s="24"/>
      <c r="D25" s="24"/>
      <c r="E25" s="15">
        <v>1.7925888888888888</v>
      </c>
      <c r="F25" s="96">
        <v>3.9533163755888943</v>
      </c>
      <c r="G25" s="15">
        <f t="shared" ref="F25:Q25" si="71">G24/90</f>
        <v>5.3658300919273705</v>
      </c>
      <c r="H25" s="15">
        <f t="shared" si="71"/>
        <v>7.9421084597041247</v>
      </c>
      <c r="I25" s="15">
        <f t="shared" si="71"/>
        <v>11.800419437324834</v>
      </c>
      <c r="J25" s="15">
        <f t="shared" si="71"/>
        <v>17.608084980201298</v>
      </c>
      <c r="K25" s="24">
        <f t="shared" si="71"/>
        <v>26.398222222222223</v>
      </c>
      <c r="L25" s="24">
        <f t="shared" si="71"/>
        <v>35.810770350671952</v>
      </c>
      <c r="M25" s="15">
        <f t="shared" si="71"/>
        <v>45.494716847179554</v>
      </c>
      <c r="N25" s="15">
        <f t="shared" si="71"/>
        <v>53.878481555487923</v>
      </c>
      <c r="O25" s="15">
        <f t="shared" si="71"/>
        <v>59.166114721428222</v>
      </c>
      <c r="P25" s="15">
        <f t="shared" si="71"/>
        <v>59.876108098085361</v>
      </c>
      <c r="Q25" s="44">
        <f t="shared" si="71"/>
        <v>60.594621395262379</v>
      </c>
      <c r="R25" s="147"/>
      <c r="S25" s="15">
        <f t="shared" ref="S25:AC25" si="72">S24/90</f>
        <v>5.9178962005417866</v>
      </c>
      <c r="T25" s="15">
        <f t="shared" si="72"/>
        <v>9.5845453996215593</v>
      </c>
      <c r="U25" s="15">
        <f t="shared" si="72"/>
        <v>15.554596363896646</v>
      </c>
      <c r="V25" s="15">
        <f t="shared" si="72"/>
        <v>25.299095286761855</v>
      </c>
      <c r="W25" s="15">
        <f t="shared" si="72"/>
        <v>44.33</v>
      </c>
      <c r="X25" s="24">
        <f t="shared" si="72"/>
        <v>63.581803970228549</v>
      </c>
      <c r="Y25" s="15">
        <f t="shared" si="72"/>
        <v>85.717420481353187</v>
      </c>
      <c r="Z25" s="15">
        <f t="shared" si="72"/>
        <v>108.17571962542701</v>
      </c>
      <c r="AA25" s="15">
        <f t="shared" si="72"/>
        <v>127.19992645795929</v>
      </c>
      <c r="AB25" s="15">
        <f t="shared" si="72"/>
        <v>128.72632557545481</v>
      </c>
      <c r="AC25" s="15">
        <f t="shared" si="72"/>
        <v>130.27104148236026</v>
      </c>
      <c r="AD25" s="147"/>
      <c r="AE25" s="167">
        <f t="shared" ref="AE25:AO25" si="73">AE24/90</f>
        <v>4.920674505880946</v>
      </c>
      <c r="AF25" s="15">
        <f t="shared" si="73"/>
        <v>6.6586263531066026</v>
      </c>
      <c r="AG25" s="15">
        <f t="shared" si="73"/>
        <v>9.0137490613581459</v>
      </c>
      <c r="AH25" s="15">
        <f t="shared" si="73"/>
        <v>12.206577153416507</v>
      </c>
      <c r="AI25" s="15">
        <f t="shared" si="73"/>
        <v>16.537007407407408</v>
      </c>
      <c r="AJ25" s="24">
        <f t="shared" si="73"/>
        <v>20.790820395859416</v>
      </c>
      <c r="AK25" s="15">
        <f t="shared" si="73"/>
        <v>24.347920454629239</v>
      </c>
      <c r="AL25" s="15">
        <f t="shared" si="73"/>
        <v>26.416275112687234</v>
      </c>
      <c r="AM25" s="15">
        <f t="shared" si="73"/>
        <v>26.384838957228013</v>
      </c>
      <c r="AN25" s="15">
        <f t="shared" si="73"/>
        <v>26.701457024714749</v>
      </c>
      <c r="AO25" s="15">
        <f t="shared" si="73"/>
        <v>27.021874509011326</v>
      </c>
    </row>
    <row r="26" spans="2:41">
      <c r="B26" s="174" t="s">
        <v>61</v>
      </c>
      <c r="C26" s="24"/>
      <c r="D26" s="24"/>
      <c r="E26" s="24"/>
      <c r="F26" s="92">
        <v>0.15</v>
      </c>
      <c r="G26" s="30">
        <f>F26*(1+(($K$26/$F$26)^0.2-1))</f>
        <v>0.15</v>
      </c>
      <c r="H26" s="30">
        <f>G26*(1+(($K$26/$F$26)^0.2-1))</f>
        <v>0.15</v>
      </c>
      <c r="I26" s="30">
        <f>H26*(1+(($K$26/$F$26)^0.2-1))</f>
        <v>0.15</v>
      </c>
      <c r="J26" s="30">
        <f>I26*(1+(($K$26/$F$26)^0.2-1))</f>
        <v>0.15</v>
      </c>
      <c r="K26" s="129">
        <f>'Bull-Bear'!E9</f>
        <v>0.15</v>
      </c>
      <c r="L26" s="129"/>
      <c r="M26" s="129"/>
      <c r="N26" s="129"/>
      <c r="O26" s="129"/>
      <c r="P26" s="129"/>
      <c r="Q26" s="195"/>
      <c r="R26" s="143"/>
      <c r="S26" s="30">
        <f>F26*(1+(($W$26/$F$26)^0.2-1))</f>
        <v>0.13831618672225915</v>
      </c>
      <c r="T26" s="30">
        <f>G26*(1+(($W$26/$F$26)^0.2-1))</f>
        <v>0.13831618672225915</v>
      </c>
      <c r="U26" s="30">
        <f>H26*(1+(($W$26/$F$26)^0.2-1))</f>
        <v>0.13831618672225915</v>
      </c>
      <c r="V26" s="30">
        <f>I26*(1+(($W$26/$F$26)^0.2-1))</f>
        <v>0.13831618672225915</v>
      </c>
      <c r="W26" s="129">
        <f>'Bull-Bear'!D9</f>
        <v>0.1</v>
      </c>
      <c r="X26" s="129"/>
      <c r="Y26" s="129"/>
      <c r="Z26" s="129"/>
      <c r="AA26" s="129"/>
      <c r="AB26" s="129"/>
      <c r="AC26" s="129"/>
      <c r="AD26" s="143"/>
      <c r="AE26" s="162">
        <f>K26*(1+(($AI$26/$F$26)^0.2-1))</f>
        <v>0.15</v>
      </c>
      <c r="AF26" s="162">
        <f>AE26</f>
        <v>0.15</v>
      </c>
      <c r="AG26" s="30">
        <f>AF26</f>
        <v>0.15</v>
      </c>
      <c r="AH26" s="30">
        <f>AG26</f>
        <v>0.15</v>
      </c>
      <c r="AI26" s="129">
        <f>'Bull-Bear'!F9</f>
        <v>0.15</v>
      </c>
      <c r="AJ26" s="129"/>
      <c r="AK26" s="129"/>
      <c r="AL26" s="129"/>
      <c r="AM26" s="129"/>
      <c r="AN26" s="129"/>
      <c r="AO26" s="129"/>
    </row>
    <row r="27" spans="2:41" ht="15" thickBot="1">
      <c r="B27" s="178" t="s">
        <v>35</v>
      </c>
      <c r="C27" s="94">
        <v>19.795999999999999</v>
      </c>
      <c r="D27" s="28">
        <v>70.5</v>
      </c>
      <c r="E27" s="28">
        <v>161.333</v>
      </c>
      <c r="F27" s="28">
        <v>288.28099999999995</v>
      </c>
      <c r="G27" s="28">
        <f t="shared" ref="G27:AI27" si="74">(1-G26)*G24</f>
        <v>410.48600203244382</v>
      </c>
      <c r="H27" s="28">
        <f t="shared" si="74"/>
        <v>607.57129716736551</v>
      </c>
      <c r="I27" s="28">
        <f t="shared" si="74"/>
        <v>902.7320869553497</v>
      </c>
      <c r="J27" s="28">
        <f t="shared" si="74"/>
        <v>1347.0185009853992</v>
      </c>
      <c r="K27" s="28">
        <f t="shared" si="74"/>
        <v>2019.4640000000002</v>
      </c>
      <c r="L27" s="28">
        <f>K27*(1+L8)</f>
        <v>2739.5239318264039</v>
      </c>
      <c r="M27" s="28">
        <f t="shared" ref="M27:Q27" si="75">L27*(1+M8)</f>
        <v>3480.3458388092354</v>
      </c>
      <c r="N27" s="28">
        <f t="shared" si="75"/>
        <v>4121.7038389948266</v>
      </c>
      <c r="O27" s="28">
        <f t="shared" si="75"/>
        <v>4526.2077761892588</v>
      </c>
      <c r="P27" s="28">
        <f t="shared" si="75"/>
        <v>4580.52226950353</v>
      </c>
      <c r="Q27" s="196">
        <f t="shared" si="75"/>
        <v>4635.4885367375728</v>
      </c>
      <c r="R27" s="139"/>
      <c r="S27" s="28">
        <f t="shared" si="74"/>
        <v>458.94198281982312</v>
      </c>
      <c r="T27" s="28">
        <f t="shared" si="74"/>
        <v>743.29628656315799</v>
      </c>
      <c r="U27" s="28">
        <f t="shared" si="74"/>
        <v>1206.2829517954692</v>
      </c>
      <c r="V27" s="28">
        <f t="shared" si="74"/>
        <v>1961.9838809256489</v>
      </c>
      <c r="W27" s="28">
        <f t="shared" si="74"/>
        <v>3590.73</v>
      </c>
      <c r="X27" s="28">
        <f>W27*(1+X8)</f>
        <v>5150.1261215885133</v>
      </c>
      <c r="Y27" s="28">
        <f t="shared" ref="Y27:AC27" si="76">X27*(1+Y8)</f>
        <v>6943.1110589896089</v>
      </c>
      <c r="Z27" s="28">
        <f t="shared" si="76"/>
        <v>8762.2332896595908</v>
      </c>
      <c r="AA27" s="28">
        <f t="shared" si="76"/>
        <v>10303.194043094707</v>
      </c>
      <c r="AB27" s="28">
        <f t="shared" si="76"/>
        <v>10426.832371611843</v>
      </c>
      <c r="AC27" s="28">
        <f t="shared" si="76"/>
        <v>10551.954360071186</v>
      </c>
      <c r="AD27" s="139"/>
      <c r="AE27" s="164">
        <f t="shared" si="74"/>
        <v>376.43159969989239</v>
      </c>
      <c r="AF27" s="28">
        <f t="shared" si="74"/>
        <v>509.38491601265508</v>
      </c>
      <c r="AG27" s="28">
        <f t="shared" si="74"/>
        <v>689.55180319389819</v>
      </c>
      <c r="AH27" s="28">
        <f t="shared" si="74"/>
        <v>933.80315223636285</v>
      </c>
      <c r="AI27" s="28">
        <f t="shared" si="74"/>
        <v>1265.0810666666666</v>
      </c>
      <c r="AJ27" s="28">
        <f>AI27*(1+AJ8)</f>
        <v>1590.497760283245</v>
      </c>
      <c r="AK27" s="28">
        <f t="shared" ref="AK27:AO27" si="77">AJ27*(1+AK8)</f>
        <v>1862.6159147791363</v>
      </c>
      <c r="AL27" s="28">
        <f t="shared" si="77"/>
        <v>2020.8450461205728</v>
      </c>
      <c r="AM27" s="55">
        <f t="shared" si="77"/>
        <v>2018.4401802279422</v>
      </c>
      <c r="AN27" s="55">
        <f t="shared" si="77"/>
        <v>2042.6614623906776</v>
      </c>
      <c r="AO27" s="55">
        <f t="shared" si="77"/>
        <v>2067.1733999393659</v>
      </c>
    </row>
    <row r="28" spans="2:41" ht="15" thickTop="1">
      <c r="B28" s="177" t="s">
        <v>36</v>
      </c>
      <c r="C28" s="42"/>
      <c r="D28" s="30">
        <v>2.561325520307133</v>
      </c>
      <c r="E28" s="30">
        <v>1.2884113475177306</v>
      </c>
      <c r="F28" s="93">
        <v>0.78686939435825254</v>
      </c>
      <c r="G28" s="30">
        <f t="shared" ref="E28:K28" si="78">G27/F27-1</f>
        <v>0.42390931775747931</v>
      </c>
      <c r="H28" s="30">
        <f t="shared" si="78"/>
        <v>0.48012671360068593</v>
      </c>
      <c r="I28" s="30">
        <f t="shared" si="78"/>
        <v>0.48580436759289047</v>
      </c>
      <c r="J28" s="30">
        <f t="shared" si="78"/>
        <v>0.49215755200249633</v>
      </c>
      <c r="K28" s="30">
        <f t="shared" si="78"/>
        <v>0.49921029185766908</v>
      </c>
      <c r="L28" s="30"/>
      <c r="M28" s="30"/>
      <c r="N28" s="30"/>
      <c r="O28" s="30"/>
      <c r="P28" s="30"/>
      <c r="Q28" s="197"/>
      <c r="R28" s="144"/>
      <c r="S28" s="30">
        <f>S27/K27-1</f>
        <v>-0.77274069613529972</v>
      </c>
      <c r="T28" s="30">
        <f t="shared" ref="T28" si="79">T27/S27-1</f>
        <v>0.6195866022023313</v>
      </c>
      <c r="U28" s="30">
        <f t="shared" ref="U28" si="80">U27/T27-1</f>
        <v>0.62288305969220148</v>
      </c>
      <c r="V28" s="30">
        <f t="shared" ref="V28" si="81">V27/U27-1</f>
        <v>0.62647070325032028</v>
      </c>
      <c r="W28" s="30">
        <f t="shared" ref="W28" si="82">W27/V27-1</f>
        <v>0.83015265054365339</v>
      </c>
      <c r="X28" s="30"/>
      <c r="Y28" s="30"/>
      <c r="Z28" s="30"/>
      <c r="AA28" s="30"/>
      <c r="AB28" s="30"/>
      <c r="AC28" s="30"/>
      <c r="AD28" s="144"/>
      <c r="AE28" s="162">
        <f>AE27/F27-1</f>
        <v>0.30578012321274195</v>
      </c>
      <c r="AF28" s="30">
        <f t="shared" ref="AF28" si="83">AF27/AE27-1</f>
        <v>0.35319382437276481</v>
      </c>
      <c r="AG28" s="30">
        <f t="shared" ref="AG28" si="84">AG27/AF27-1</f>
        <v>0.35369497901812053</v>
      </c>
      <c r="AH28" s="30">
        <f t="shared" ref="AH28" si="85">AH27/AG27-1</f>
        <v>0.35421754813942896</v>
      </c>
      <c r="AI28" s="30">
        <f t="shared" ref="AI28" si="86">AI27/AH27-1</f>
        <v>0.35476204341024875</v>
      </c>
      <c r="AJ28" s="30"/>
      <c r="AK28" s="30"/>
      <c r="AL28" s="30"/>
      <c r="AM28" s="30"/>
      <c r="AN28" s="30"/>
      <c r="AO28" s="30"/>
    </row>
    <row r="29" spans="2:41">
      <c r="B29" s="174" t="s">
        <v>37</v>
      </c>
      <c r="C29" s="24">
        <v>3.59</v>
      </c>
      <c r="D29" s="24">
        <v>14.658999999999992</v>
      </c>
      <c r="E29" s="24">
        <v>40.31</v>
      </c>
      <c r="F29" s="91">
        <v>83.854999999999961</v>
      </c>
      <c r="G29" s="24">
        <f>G27*G30</f>
        <v>127.25671401606715</v>
      </c>
      <c r="H29" s="24">
        <f t="shared" ref="H29:Q29" si="87">H27*H30</f>
        <v>200.74697573896427</v>
      </c>
      <c r="I29" s="24">
        <f t="shared" si="87"/>
        <v>317.89233149270819</v>
      </c>
      <c r="J29" s="24">
        <f t="shared" si="87"/>
        <v>505.55003226005078</v>
      </c>
      <c r="K29" s="24">
        <f t="shared" si="87"/>
        <v>807.78560000000016</v>
      </c>
      <c r="L29" s="24">
        <f t="shared" si="87"/>
        <v>1095.8095727305615</v>
      </c>
      <c r="M29" s="24">
        <f t="shared" si="87"/>
        <v>1392.1383355236942</v>
      </c>
      <c r="N29" s="24">
        <f t="shared" si="87"/>
        <v>1648.6815355979306</v>
      </c>
      <c r="O29" s="24">
        <f t="shared" si="87"/>
        <v>1810.4831104757036</v>
      </c>
      <c r="P29" s="24">
        <f t="shared" si="87"/>
        <v>1832.2089078014121</v>
      </c>
      <c r="Q29" s="191">
        <f t="shared" si="87"/>
        <v>1854.1954146950293</v>
      </c>
      <c r="R29" s="139"/>
      <c r="S29" s="24">
        <f>S27*S30</f>
        <v>145.67017605521565</v>
      </c>
      <c r="T29" s="24">
        <f t="shared" ref="T29:AC29" si="88">T27*T30</f>
        <v>257.43923407563858</v>
      </c>
      <c r="U29" s="24">
        <f t="shared" si="88"/>
        <v>455.89189965632011</v>
      </c>
      <c r="V29" s="24">
        <f t="shared" si="88"/>
        <v>809.11086810327083</v>
      </c>
      <c r="W29" s="24">
        <f t="shared" si="88"/>
        <v>1615.8285000000001</v>
      </c>
      <c r="X29" s="24">
        <f t="shared" si="88"/>
        <v>2317.5567547148312</v>
      </c>
      <c r="Y29" s="24">
        <f t="shared" si="88"/>
        <v>3124.3999765453241</v>
      </c>
      <c r="Z29" s="24">
        <f t="shared" si="88"/>
        <v>3943.004980346816</v>
      </c>
      <c r="AA29" s="24">
        <f t="shared" si="88"/>
        <v>4636.4373193926185</v>
      </c>
      <c r="AB29" s="24">
        <f t="shared" si="88"/>
        <v>4692.0745672253297</v>
      </c>
      <c r="AC29" s="24">
        <f t="shared" si="88"/>
        <v>4748.3794620320341</v>
      </c>
      <c r="AD29" s="139"/>
      <c r="AE29" s="160">
        <f>AE27*AE30</f>
        <v>113.62399028056771</v>
      </c>
      <c r="AF29" s="24">
        <f t="shared" ref="AF29:AO29" si="89">AF27*AF30</f>
        <v>159.55156344302671</v>
      </c>
      <c r="AG29" s="24">
        <f t="shared" si="89"/>
        <v>224.12634172290998</v>
      </c>
      <c r="AH29" s="24">
        <f t="shared" si="89"/>
        <v>314.95779389613557</v>
      </c>
      <c r="AI29" s="24">
        <f t="shared" si="89"/>
        <v>442.77837333333332</v>
      </c>
      <c r="AJ29" s="24">
        <f t="shared" si="89"/>
        <v>556.67421609913572</v>
      </c>
      <c r="AK29" s="24">
        <f t="shared" si="89"/>
        <v>651.9155701726977</v>
      </c>
      <c r="AL29" s="24">
        <f t="shared" si="89"/>
        <v>707.29576614220048</v>
      </c>
      <c r="AM29" s="24">
        <f t="shared" si="89"/>
        <v>706.45406307977976</v>
      </c>
      <c r="AN29" s="24">
        <f t="shared" si="89"/>
        <v>714.93151183673706</v>
      </c>
      <c r="AO29" s="24">
        <f t="shared" si="89"/>
        <v>723.51068997877803</v>
      </c>
    </row>
    <row r="30" spans="2:41">
      <c r="B30" s="177" t="s">
        <v>38</v>
      </c>
      <c r="C30" s="30">
        <v>0.18134976762982422</v>
      </c>
      <c r="D30" s="30">
        <v>0.20792907801418428</v>
      </c>
      <c r="E30" s="30">
        <v>0.2498558881320003</v>
      </c>
      <c r="F30" s="93">
        <v>0.2908793850444531</v>
      </c>
      <c r="G30" s="31">
        <f>F30*(1+(($K$30/$F$30)^0.2-1))</f>
        <v>0.31001474687560499</v>
      </c>
      <c r="H30" s="31">
        <f t="shared" ref="H30:J30" si="90">G30*(1+(($K$30/$F$30)^0.2-1))</f>
        <v>0.33040891937274186</v>
      </c>
      <c r="I30" s="31">
        <f t="shared" si="90"/>
        <v>0.35214471279609183</v>
      </c>
      <c r="J30" s="31">
        <f t="shared" si="90"/>
        <v>0.37531038503941871</v>
      </c>
      <c r="K30" s="129">
        <f>'Bull-Bear'!E12</f>
        <v>0.4</v>
      </c>
      <c r="L30" s="129">
        <f>K30</f>
        <v>0.4</v>
      </c>
      <c r="M30" s="129">
        <f t="shared" ref="M30:Q30" si="91">L30</f>
        <v>0.4</v>
      </c>
      <c r="N30" s="129">
        <f t="shared" si="91"/>
        <v>0.4</v>
      </c>
      <c r="O30" s="129">
        <f t="shared" si="91"/>
        <v>0.4</v>
      </c>
      <c r="P30" s="129">
        <f t="shared" si="91"/>
        <v>0.4</v>
      </c>
      <c r="Q30" s="195">
        <f t="shared" si="91"/>
        <v>0.4</v>
      </c>
      <c r="R30" s="143"/>
      <c r="S30" s="30">
        <f>F30*(1+(($W$30/$F$30)^0.2-1))</f>
        <v>0.31740433760317932</v>
      </c>
      <c r="T30" s="30">
        <f>S30*(1+(($W$30/$F$30)^0.2-1))</f>
        <v>0.34634806971252635</v>
      </c>
      <c r="U30" s="30">
        <f>T30*(1+(($W$30/$F$30)^0.2-1))</f>
        <v>0.37793114706442327</v>
      </c>
      <c r="V30" s="30">
        <f>U30*(1+(($W$30/$F$30)^0.2-1))</f>
        <v>0.41239424847952294</v>
      </c>
      <c r="W30" s="129">
        <f>'Bull-Bear'!D12</f>
        <v>0.45</v>
      </c>
      <c r="X30" s="129">
        <f>W30</f>
        <v>0.45</v>
      </c>
      <c r="Y30" s="129">
        <f t="shared" ref="Y30:AC30" si="92">X30</f>
        <v>0.45</v>
      </c>
      <c r="Z30" s="129">
        <f t="shared" si="92"/>
        <v>0.45</v>
      </c>
      <c r="AA30" s="129">
        <f t="shared" si="92"/>
        <v>0.45</v>
      </c>
      <c r="AB30" s="129">
        <f t="shared" si="92"/>
        <v>0.45</v>
      </c>
      <c r="AC30" s="129">
        <f t="shared" si="92"/>
        <v>0.45</v>
      </c>
      <c r="AD30" s="143"/>
      <c r="AE30" s="162">
        <f>F30*(1+(($AI$30/$F$30)^0.2-1))</f>
        <v>0.3018449842445578</v>
      </c>
      <c r="AF30" s="30">
        <f>AE30*(1+(($AI$30/$F$30)^0.2-1))</f>
        <v>0.31322396566423422</v>
      </c>
      <c r="AG30" s="30">
        <f>AF30*(1+(($AI$30/$F$30)^0.2-1))</f>
        <v>0.32503191302639067</v>
      </c>
      <c r="AH30" s="30">
        <f>AG30*(1+(($AI$30/$F$30)^0.2-1))</f>
        <v>0.3372849975306294</v>
      </c>
      <c r="AI30" s="129">
        <f>'Bull-Bear'!F12</f>
        <v>0.35</v>
      </c>
      <c r="AJ30" s="129">
        <f>AI30</f>
        <v>0.35</v>
      </c>
      <c r="AK30" s="129">
        <f t="shared" ref="AK30:AO30" si="93">AJ30</f>
        <v>0.35</v>
      </c>
      <c r="AL30" s="129">
        <f t="shared" si="93"/>
        <v>0.35</v>
      </c>
      <c r="AM30" s="129">
        <f t="shared" si="93"/>
        <v>0.35</v>
      </c>
      <c r="AN30" s="129">
        <f t="shared" si="93"/>
        <v>0.35</v>
      </c>
      <c r="AO30" s="129">
        <f t="shared" si="93"/>
        <v>0.35</v>
      </c>
    </row>
    <row r="31" spans="2:41">
      <c r="B31" s="174" t="s">
        <v>105</v>
      </c>
      <c r="C31" s="151">
        <v>12</v>
      </c>
      <c r="D31" s="32">
        <v>25</v>
      </c>
      <c r="E31" s="32">
        <v>61</v>
      </c>
      <c r="F31" s="97">
        <v>87</v>
      </c>
      <c r="G31" s="24">
        <f>G33*G27</f>
        <v>123.73289917937811</v>
      </c>
      <c r="H31" s="24">
        <f t="shared" ref="H31:J31" si="94">H33*H27</f>
        <v>182.92273673292448</v>
      </c>
      <c r="I31" s="24">
        <f t="shared" si="94"/>
        <v>271.46442582351096</v>
      </c>
      <c r="J31" s="24">
        <f t="shared" si="94"/>
        <v>404.58633568640391</v>
      </c>
      <c r="K31" s="24">
        <f t="shared" ref="K31" si="95">J31*(1+K32)</f>
        <v>606.55999840603852</v>
      </c>
      <c r="L31" s="24">
        <f>L33*L27</f>
        <v>821.85717954792119</v>
      </c>
      <c r="M31" s="24">
        <f t="shared" ref="M31:Q31" si="96">M33*M27</f>
        <v>1044.1037516427705</v>
      </c>
      <c r="N31" s="24">
        <f t="shared" si="96"/>
        <v>1236.511151698448</v>
      </c>
      <c r="O31" s="24">
        <f t="shared" si="96"/>
        <v>1357.8623328567776</v>
      </c>
      <c r="P31" s="24">
        <f t="shared" si="96"/>
        <v>1374.156680851059</v>
      </c>
      <c r="Q31" s="191">
        <f t="shared" si="96"/>
        <v>1390.6465610212717</v>
      </c>
      <c r="R31" s="139"/>
      <c r="S31" s="24">
        <f>S33*S27</f>
        <v>133.38542458977292</v>
      </c>
      <c r="T31" s="24">
        <f t="shared" ref="T31:V31" si="97">T33*T27</f>
        <v>208.04625675972383</v>
      </c>
      <c r="U31" s="24">
        <f t="shared" si="97"/>
        <v>325.15803349753429</v>
      </c>
      <c r="V31" s="24">
        <f t="shared" si="97"/>
        <v>509.31690171762244</v>
      </c>
      <c r="W31" s="24">
        <f t="shared" ref="W31" si="98">V31*(1+W32)</f>
        <v>932.1276776451881</v>
      </c>
      <c r="X31" s="24">
        <f>X33*X27</f>
        <v>1287.5315303971283</v>
      </c>
      <c r="Y31" s="24">
        <f t="shared" ref="Y31:AC31" si="99">Y33*Y27</f>
        <v>1735.7777647474022</v>
      </c>
      <c r="Z31" s="24">
        <f t="shared" si="99"/>
        <v>2190.5583224148977</v>
      </c>
      <c r="AA31" s="24">
        <f t="shared" si="99"/>
        <v>2575.7985107736768</v>
      </c>
      <c r="AB31" s="24">
        <f t="shared" si="99"/>
        <v>2606.7080929029607</v>
      </c>
      <c r="AC31" s="24">
        <f t="shared" si="99"/>
        <v>2637.9885900177965</v>
      </c>
      <c r="AD31" s="139"/>
      <c r="AE31" s="160">
        <f>AE33*AE27</f>
        <v>113.46787209059926</v>
      </c>
      <c r="AF31" s="24">
        <f t="shared" ref="AF31:AH31" si="100">AF33*AF27</f>
        <v>153.3615615515792</v>
      </c>
      <c r="AG31" s="24">
        <f t="shared" si="100"/>
        <v>207.35807116475834</v>
      </c>
      <c r="AH31" s="24">
        <f t="shared" si="100"/>
        <v>280.4742439241511</v>
      </c>
      <c r="AI31" s="24">
        <f t="shared" ref="AI31" si="101">AH31*(1+AI32)</f>
        <v>379.97585982262751</v>
      </c>
      <c r="AJ31" s="24">
        <f>AJ33*AJ27</f>
        <v>477.14932808497349</v>
      </c>
      <c r="AK31" s="24">
        <f t="shared" ref="AK31:AO31" si="102">AK33*AK27</f>
        <v>558.78477443374084</v>
      </c>
      <c r="AL31" s="24">
        <f t="shared" si="102"/>
        <v>606.25351383617181</v>
      </c>
      <c r="AM31" s="24">
        <f t="shared" si="102"/>
        <v>605.53205406838265</v>
      </c>
      <c r="AN31" s="24">
        <f t="shared" si="102"/>
        <v>612.79843871720323</v>
      </c>
      <c r="AO31" s="24">
        <f t="shared" si="102"/>
        <v>620.15201998180976</v>
      </c>
    </row>
    <row r="32" spans="2:41">
      <c r="B32" s="177" t="s">
        <v>36</v>
      </c>
      <c r="C32" s="29"/>
      <c r="D32" s="29">
        <v>1.0833333333333335</v>
      </c>
      <c r="E32" s="30">
        <v>1.44</v>
      </c>
      <c r="F32" s="93">
        <v>0.42622950819672134</v>
      </c>
      <c r="G32" s="31">
        <f>F32*(1+(($K$32/$F$32)^0.2-1))</f>
        <v>0.43991778138945359</v>
      </c>
      <c r="H32" s="31">
        <f t="shared" ref="H32:K32" si="103">H28</f>
        <v>0.48012671360068593</v>
      </c>
      <c r="I32" s="31">
        <f t="shared" si="103"/>
        <v>0.48580436759289047</v>
      </c>
      <c r="J32" s="31">
        <f t="shared" si="103"/>
        <v>0.49215755200249633</v>
      </c>
      <c r="K32" s="31">
        <f t="shared" si="103"/>
        <v>0.49921029185766908</v>
      </c>
      <c r="L32" s="31"/>
      <c r="M32" s="31"/>
      <c r="N32" s="31"/>
      <c r="O32" s="31"/>
      <c r="P32" s="31"/>
      <c r="Q32" s="194"/>
      <c r="R32" s="142"/>
      <c r="S32" s="31">
        <f>K32*(1+(($K$32/$F$32)^0.2-1))</f>
        <v>0.51524232794189417</v>
      </c>
      <c r="T32" s="31">
        <f t="shared" ref="T32:W32" si="104">T28</f>
        <v>0.6195866022023313</v>
      </c>
      <c r="U32" s="31">
        <f t="shared" si="104"/>
        <v>0.62288305969220148</v>
      </c>
      <c r="V32" s="31">
        <f t="shared" si="104"/>
        <v>0.62647070325032028</v>
      </c>
      <c r="W32" s="31">
        <f t="shared" si="104"/>
        <v>0.83015265054365339</v>
      </c>
      <c r="X32" s="31"/>
      <c r="Y32" s="31"/>
      <c r="Z32" s="31"/>
      <c r="AA32" s="31"/>
      <c r="AB32" s="31"/>
      <c r="AC32" s="31"/>
      <c r="AD32" s="142"/>
      <c r="AE32" s="163">
        <f>W32*(1+(($K$32/$F$32)^0.2-1))</f>
        <v>0.85681283256715535</v>
      </c>
      <c r="AF32" s="31">
        <f t="shared" ref="AF32:AI32" si="105">AF28</f>
        <v>0.35319382437276481</v>
      </c>
      <c r="AG32" s="31">
        <f t="shared" si="105"/>
        <v>0.35369497901812053</v>
      </c>
      <c r="AH32" s="31">
        <f t="shared" si="105"/>
        <v>0.35421754813942896</v>
      </c>
      <c r="AI32" s="31">
        <f t="shared" si="105"/>
        <v>0.35476204341024875</v>
      </c>
      <c r="AJ32" s="31"/>
      <c r="AK32" s="31"/>
      <c r="AL32" s="31"/>
      <c r="AM32" s="31"/>
      <c r="AN32" s="31"/>
      <c r="AO32" s="31"/>
    </row>
    <row r="33" spans="2:41">
      <c r="B33" s="177" t="s">
        <v>40</v>
      </c>
      <c r="C33" s="42"/>
      <c r="D33" s="30">
        <v>0.3546099290780142</v>
      </c>
      <c r="E33" s="30">
        <v>0.37809995475197261</v>
      </c>
      <c r="F33" s="93">
        <v>0.30178887960011247</v>
      </c>
      <c r="G33" s="30">
        <f>F33*(1+(($K$33/$F$33)^0.2-1))</f>
        <v>0.30143025235145182</v>
      </c>
      <c r="H33" s="30">
        <f t="shared" ref="H33:J33" si="106">G33*(1+(($K$33/$F$33)^0.2-1))</f>
        <v>0.30107205127324405</v>
      </c>
      <c r="I33" s="30">
        <f t="shared" si="106"/>
        <v>0.30071427585905447</v>
      </c>
      <c r="J33" s="30">
        <f t="shared" si="106"/>
        <v>0.30035692560305033</v>
      </c>
      <c r="K33" s="129">
        <f>'Bull-Bear'!E13</f>
        <v>0.3</v>
      </c>
      <c r="L33" s="129">
        <f>K33</f>
        <v>0.3</v>
      </c>
      <c r="M33" s="129">
        <f t="shared" ref="M33:Q33" si="107">L33</f>
        <v>0.3</v>
      </c>
      <c r="N33" s="129">
        <f t="shared" si="107"/>
        <v>0.3</v>
      </c>
      <c r="O33" s="129">
        <f t="shared" si="107"/>
        <v>0.3</v>
      </c>
      <c r="P33" s="129">
        <f t="shared" si="107"/>
        <v>0.3</v>
      </c>
      <c r="Q33" s="195">
        <f t="shared" si="107"/>
        <v>0.3</v>
      </c>
      <c r="R33" s="143"/>
      <c r="S33" s="30">
        <f>F33*(1+(($W$33/$F$33)^0.2-1))</f>
        <v>0.29063678979689017</v>
      </c>
      <c r="T33" s="30">
        <f>S33*(1+(($W$33/$F$33)^0.2-1))</f>
        <v>0.27989680632158803</v>
      </c>
      <c r="U33" s="30">
        <f>T33*(1+(($W$33/$F$33)^0.2-1))</f>
        <v>0.26955370049254107</v>
      </c>
      <c r="V33" s="30">
        <f>U33*(1+(($W$33/$F$33)^0.2-1))</f>
        <v>0.25959280637786414</v>
      </c>
      <c r="W33" s="129">
        <f>'Bull-Bear'!D13</f>
        <v>0.25</v>
      </c>
      <c r="X33" s="129">
        <f>W33</f>
        <v>0.25</v>
      </c>
      <c r="Y33" s="129">
        <f t="shared" ref="Y33:AC33" si="108">X33</f>
        <v>0.25</v>
      </c>
      <c r="Z33" s="129">
        <f t="shared" si="108"/>
        <v>0.25</v>
      </c>
      <c r="AA33" s="129">
        <f t="shared" si="108"/>
        <v>0.25</v>
      </c>
      <c r="AB33" s="129">
        <f t="shared" si="108"/>
        <v>0.25</v>
      </c>
      <c r="AC33" s="129">
        <f t="shared" si="108"/>
        <v>0.25</v>
      </c>
      <c r="AD33" s="143"/>
      <c r="AE33" s="162">
        <f>F33*(1+(($AI$33/$F$33)^0.2-1))</f>
        <v>0.30143025235145182</v>
      </c>
      <c r="AF33" s="30">
        <f>AE33*(1+(($AI$33/$F$33)^0.2-1))</f>
        <v>0.30107205127324405</v>
      </c>
      <c r="AG33" s="30">
        <f>AF33*(1+(($AI$33/$F$33)^0.2-1))</f>
        <v>0.30071427585905447</v>
      </c>
      <c r="AH33" s="30">
        <f>AG33*(1+(($AI$33/$F$33)^0.2-1))</f>
        <v>0.30035692560305033</v>
      </c>
      <c r="AI33" s="129">
        <f>'Bull-Bear'!F13</f>
        <v>0.3</v>
      </c>
      <c r="AJ33" s="129">
        <f>AI33</f>
        <v>0.3</v>
      </c>
      <c r="AK33" s="129">
        <f t="shared" ref="AK33:AO33" si="109">AJ33</f>
        <v>0.3</v>
      </c>
      <c r="AL33" s="129">
        <f t="shared" si="109"/>
        <v>0.3</v>
      </c>
      <c r="AM33" s="129">
        <f t="shared" si="109"/>
        <v>0.3</v>
      </c>
      <c r="AN33" s="129">
        <f t="shared" si="109"/>
        <v>0.3</v>
      </c>
      <c r="AO33" s="129">
        <f t="shared" si="109"/>
        <v>0.3</v>
      </c>
    </row>
    <row r="34" spans="2:41" ht="15" thickBot="1">
      <c r="B34" s="178" t="s">
        <v>3</v>
      </c>
      <c r="C34" s="94"/>
      <c r="D34" s="28">
        <v>-1</v>
      </c>
      <c r="E34" s="28">
        <v>-18</v>
      </c>
      <c r="F34" s="28">
        <v>-3.1450000000000387</v>
      </c>
      <c r="G34" s="28">
        <f t="shared" ref="G34:K34" si="110">G29-G31</f>
        <v>3.5238148366890414</v>
      </c>
      <c r="H34" s="28">
        <f t="shared" si="110"/>
        <v>17.82423900603979</v>
      </c>
      <c r="I34" s="28">
        <f t="shared" si="110"/>
        <v>46.42790566919723</v>
      </c>
      <c r="J34" s="28">
        <f t="shared" si="110"/>
        <v>100.96369657364687</v>
      </c>
      <c r="K34" s="28">
        <f t="shared" si="110"/>
        <v>201.22560159396164</v>
      </c>
      <c r="L34" s="28">
        <f>L29-L31</f>
        <v>273.95239318264032</v>
      </c>
      <c r="M34" s="28">
        <f t="shared" ref="M34:Q34" si="111">M29-M31</f>
        <v>348.03458388092372</v>
      </c>
      <c r="N34" s="28">
        <f t="shared" si="111"/>
        <v>412.17038389948266</v>
      </c>
      <c r="O34" s="28">
        <f t="shared" si="111"/>
        <v>452.62077761892601</v>
      </c>
      <c r="P34" s="28">
        <f t="shared" si="111"/>
        <v>458.05222695035309</v>
      </c>
      <c r="Q34" s="196">
        <f t="shared" si="111"/>
        <v>463.54885367375755</v>
      </c>
      <c r="R34" s="139"/>
      <c r="S34" s="28">
        <f t="shared" ref="S34:W34" si="112">S29-S31</f>
        <v>12.284751465442724</v>
      </c>
      <c r="T34" s="28">
        <f t="shared" si="112"/>
        <v>49.392977315914749</v>
      </c>
      <c r="U34" s="28">
        <f t="shared" si="112"/>
        <v>130.73386615878582</v>
      </c>
      <c r="V34" s="28">
        <f t="shared" si="112"/>
        <v>299.79396638564839</v>
      </c>
      <c r="W34" s="28">
        <f t="shared" si="112"/>
        <v>683.70082235481198</v>
      </c>
      <c r="X34" s="28">
        <f>X29-X31</f>
        <v>1030.0252243177029</v>
      </c>
      <c r="Y34" s="28">
        <f t="shared" ref="Y34:AC34" si="113">Y29-Y31</f>
        <v>1388.6222117979219</v>
      </c>
      <c r="Z34" s="28">
        <f t="shared" si="113"/>
        <v>1752.4466579319183</v>
      </c>
      <c r="AA34" s="28">
        <f t="shared" si="113"/>
        <v>2060.6388086189418</v>
      </c>
      <c r="AB34" s="28">
        <f t="shared" si="113"/>
        <v>2085.366474322369</v>
      </c>
      <c r="AC34" s="28">
        <f t="shared" si="113"/>
        <v>2110.3908720142376</v>
      </c>
      <c r="AD34" s="139"/>
      <c r="AE34" s="164">
        <f t="shared" ref="AE34:AI34" si="114">AE29-AE31</f>
        <v>0.15611818996845273</v>
      </c>
      <c r="AF34" s="28">
        <f t="shared" si="114"/>
        <v>6.1900018914475083</v>
      </c>
      <c r="AG34" s="28">
        <f t="shared" si="114"/>
        <v>16.768270558151642</v>
      </c>
      <c r="AH34" s="28">
        <f t="shared" si="114"/>
        <v>34.483549971984473</v>
      </c>
      <c r="AI34" s="28">
        <f t="shared" si="114"/>
        <v>62.802513510705808</v>
      </c>
      <c r="AJ34" s="28">
        <f>AJ29-AJ31</f>
        <v>79.524888014162229</v>
      </c>
      <c r="AK34" s="28">
        <f t="shared" ref="AK34:AO34" si="115">AK29-AK31</f>
        <v>93.130795738956863</v>
      </c>
      <c r="AL34" s="28">
        <f t="shared" si="115"/>
        <v>101.04225230602867</v>
      </c>
      <c r="AM34" s="55">
        <f t="shared" si="115"/>
        <v>100.92200901139711</v>
      </c>
      <c r="AN34" s="55">
        <f t="shared" si="115"/>
        <v>102.13307311953383</v>
      </c>
      <c r="AO34" s="55">
        <f t="shared" si="115"/>
        <v>103.35866999696827</v>
      </c>
    </row>
    <row r="35" spans="2:41" ht="15" thickTop="1">
      <c r="B35" s="177" t="s">
        <v>38</v>
      </c>
      <c r="C35" s="42"/>
      <c r="D35" s="30">
        <v>-1.4184397163120567E-2</v>
      </c>
      <c r="E35" s="30">
        <v>-0.11157047845140176</v>
      </c>
      <c r="F35" s="93">
        <v>-1.0909494555659371E-2</v>
      </c>
      <c r="G35" s="30">
        <f t="shared" ref="E35:K35" si="116">G34/G27</f>
        <v>8.5844945241531703E-3</v>
      </c>
      <c r="H35" s="30">
        <f t="shared" si="116"/>
        <v>2.9336868099497811E-2</v>
      </c>
      <c r="I35" s="30">
        <f t="shared" si="116"/>
        <v>5.1430436937037347E-2</v>
      </c>
      <c r="J35" s="30">
        <f t="shared" si="116"/>
        <v>7.4953459436368386E-2</v>
      </c>
      <c r="K35" s="30">
        <f t="shared" si="116"/>
        <v>9.9643074396949693E-2</v>
      </c>
      <c r="L35" s="30"/>
      <c r="M35" s="30"/>
      <c r="N35" s="30"/>
      <c r="O35" s="30"/>
      <c r="P35" s="30"/>
      <c r="Q35" s="197"/>
      <c r="R35" s="144"/>
      <c r="S35" s="30">
        <f t="shared" ref="S35:W35" si="117">S34/S27</f>
        <v>2.6767547806289097E-2</v>
      </c>
      <c r="T35" s="30">
        <f t="shared" si="117"/>
        <v>6.6451263390938278E-2</v>
      </c>
      <c r="U35" s="30">
        <f t="shared" si="117"/>
        <v>0.1083774465718822</v>
      </c>
      <c r="V35" s="30">
        <f t="shared" si="117"/>
        <v>0.1528014421016588</v>
      </c>
      <c r="W35" s="30">
        <f t="shared" si="117"/>
        <v>0.19040719362213587</v>
      </c>
      <c r="X35" s="30"/>
      <c r="Y35" s="30"/>
      <c r="Z35" s="30"/>
      <c r="AA35" s="30"/>
      <c r="AB35" s="30"/>
      <c r="AC35" s="30"/>
      <c r="AD35" s="144"/>
      <c r="AE35" s="162">
        <f t="shared" ref="AE35:AI35" si="118">AE34/AE27</f>
        <v>4.1473189310599036E-4</v>
      </c>
      <c r="AF35" s="30">
        <f t="shared" si="118"/>
        <v>1.2151914390990181E-2</v>
      </c>
      <c r="AG35" s="30">
        <f t="shared" si="118"/>
        <v>2.431763716733621E-2</v>
      </c>
      <c r="AH35" s="30">
        <f t="shared" si="118"/>
        <v>3.6928071927579069E-2</v>
      </c>
      <c r="AI35" s="30">
        <f t="shared" si="118"/>
        <v>4.9643074396949698E-2</v>
      </c>
      <c r="AJ35" s="30"/>
      <c r="AK35" s="30"/>
      <c r="AL35" s="30"/>
      <c r="AM35" s="30"/>
      <c r="AN35" s="30"/>
      <c r="AO35" s="30"/>
    </row>
    <row r="36" spans="2:41">
      <c r="B36" s="174" t="s">
        <v>100</v>
      </c>
      <c r="C36" s="24">
        <v>0</v>
      </c>
      <c r="D36" s="24">
        <v>0</v>
      </c>
      <c r="E36" s="24">
        <v>24.7</v>
      </c>
      <c r="F36" s="91">
        <v>39.979999999999997</v>
      </c>
      <c r="G36" s="24">
        <f>BS!$S$5*Model!G25*(1-BS!$S$9)</f>
        <v>84.792394328694314</v>
      </c>
      <c r="H36" s="24">
        <f>BS!$S$5*Model!H25*(1-BS!$S$9)</f>
        <v>125.50348795606374</v>
      </c>
      <c r="I36" s="24">
        <f>BS!$S$5*Model!I25*(1-BS!$S$9)</f>
        <v>186.47363055326124</v>
      </c>
      <c r="J36" s="24">
        <f>BS!$S$5*Model!J25*(1-BS!$S$9)</f>
        <v>278.24803607937218</v>
      </c>
      <c r="K36" s="24">
        <f>BS!$S$5*Model!K25*(1-BS!$S$9)</f>
        <v>417.15231937937881</v>
      </c>
      <c r="L36" s="24">
        <f>BS!$S$5*Model!L25*(1-BS!$S$9)</f>
        <v>565.8921189764709</v>
      </c>
      <c r="M36" s="24">
        <f>BS!$S$5*Model!M25*(1-BS!$S$9)</f>
        <v>718.92063384226822</v>
      </c>
      <c r="N36" s="24">
        <f>BS!$S$5*Model!N25*(1-BS!$S$9)</f>
        <v>851.403301188623</v>
      </c>
      <c r="O36" s="24">
        <f>BS!$S$5*Model!O25*(1-BS!$S$9)</f>
        <v>934.96000514509274</v>
      </c>
      <c r="P36" s="24">
        <f>BS!$S$5*Model!P25*(1-BS!$S$9)</f>
        <v>946.17952520683389</v>
      </c>
      <c r="Q36" s="191">
        <f>BS!$S$5*Model!Q25*(1-BS!$S$9)</f>
        <v>957.53367950931568</v>
      </c>
      <c r="R36" s="139"/>
      <c r="S36" s="24">
        <f>G36</f>
        <v>84.792394328694314</v>
      </c>
      <c r="T36" s="24">
        <f>H36</f>
        <v>125.50348795606374</v>
      </c>
      <c r="U36" s="24">
        <f>I36</f>
        <v>186.47363055326124</v>
      </c>
      <c r="V36" s="24">
        <f>J36</f>
        <v>278.24803607937218</v>
      </c>
      <c r="W36" s="24">
        <f>K36</f>
        <v>417.15231937937881</v>
      </c>
      <c r="X36" s="24">
        <f>BS!$S$5*Model!X25*(1-BS!$S$9)</f>
        <v>1004.7379999013085</v>
      </c>
      <c r="Y36" s="24">
        <f>BS!$S$5*Model!Y25*(1-BS!$S$9)</f>
        <v>1354.5313947282878</v>
      </c>
      <c r="Z36" s="24">
        <f>BS!$S$5*Model!Z25*(1-BS!$S$9)</f>
        <v>1709.4239135654016</v>
      </c>
      <c r="AA36" s="24">
        <f>BS!$S$5*Model!AA25*(1-BS!$S$9)</f>
        <v>2010.0499154884888</v>
      </c>
      <c r="AB36" s="24">
        <f>BS!$S$5*Model!AB25*(1-BS!$S$9)</f>
        <v>2034.1705144743507</v>
      </c>
      <c r="AC36" s="24">
        <f>BS!$S$5*Model!AC25*(1-BS!$S$9)</f>
        <v>2058.5805606480426</v>
      </c>
      <c r="AD36" s="139"/>
      <c r="AE36" s="160">
        <f>BS!$S$5*Model!AE25*(1-BS!$S$9)</f>
        <v>77.757917399121723</v>
      </c>
      <c r="AF36" s="24">
        <f>BS!$S$5*Model!AF25*(1-BS!$S$9)</f>
        <v>105.22153362057909</v>
      </c>
      <c r="AG36" s="24">
        <f>BS!$S$5*Model!AG25*(1-BS!$S$9)</f>
        <v>142.43786174676424</v>
      </c>
      <c r="AH36" s="24">
        <f>BS!$S$5*Model!AH25*(1-BS!$S$9)</f>
        <v>192.89185189692606</v>
      </c>
      <c r="AI36" s="24">
        <f>BS!$S$5*Model!AI25*(1-BS!$S$9)</f>
        <v>261.32255943306666</v>
      </c>
      <c r="AJ36" s="24">
        <f>BS!$S$5*Model!AJ25*(1-BS!$S$9)</f>
        <v>328.54253884687375</v>
      </c>
      <c r="AK36" s="24">
        <f>BS!$S$5*Model!AK25*(1-BS!$S$9)</f>
        <v>384.75285965140267</v>
      </c>
      <c r="AL36" s="24">
        <f>BS!$S$5*Model!AL25*(1-BS!$S$9)</f>
        <v>417.43759635998708</v>
      </c>
      <c r="AM36" s="24">
        <f>BS!$S$5*Model!AM25*(1-BS!$S$9)</f>
        <v>416.94083316692831</v>
      </c>
      <c r="AN36" s="24">
        <f>BS!$S$5*Model!AN25*(1-BS!$S$9)</f>
        <v>421.94412316493145</v>
      </c>
      <c r="AO36" s="24">
        <f>BS!$S$5*Model!AO25*(1-BS!$S$9)</f>
        <v>427.00745264291061</v>
      </c>
    </row>
    <row r="37" spans="2:41">
      <c r="B37" s="174" t="s">
        <v>101</v>
      </c>
      <c r="C37" s="24"/>
      <c r="D37" s="24"/>
      <c r="E37" s="24">
        <v>2.6</v>
      </c>
      <c r="F37" s="91">
        <v>8.1</v>
      </c>
      <c r="G37" s="24">
        <f t="shared" ref="F37:Q37" si="119">G42+F37</f>
        <v>18.37542274643554</v>
      </c>
      <c r="H37" s="24">
        <f t="shared" si="119"/>
        <v>33.584350446974902</v>
      </c>
      <c r="I37" s="24">
        <f t="shared" si="119"/>
        <v>56.181841650840795</v>
      </c>
      <c r="J37" s="24">
        <f t="shared" si="119"/>
        <v>89.900858806999253</v>
      </c>
      <c r="K37" s="24">
        <f t="shared" si="119"/>
        <v>140.45275635883735</v>
      </c>
      <c r="L37" s="24">
        <f t="shared" si="119"/>
        <v>209.0294346965037</v>
      </c>
      <c r="M37" s="24">
        <f t="shared" si="119"/>
        <v>296.15061451869929</v>
      </c>
      <c r="N37" s="24">
        <f t="shared" si="119"/>
        <v>399.32648207953929</v>
      </c>
      <c r="O37" s="24">
        <f t="shared" si="119"/>
        <v>512.62802734117918</v>
      </c>
      <c r="P37" s="24">
        <f t="shared" si="119"/>
        <v>627.28919114595874</v>
      </c>
      <c r="Q37" s="191">
        <f t="shared" si="119"/>
        <v>743.32628891639558</v>
      </c>
      <c r="R37" s="139"/>
      <c r="S37" s="24">
        <f>G37</f>
        <v>18.37542274643554</v>
      </c>
      <c r="T37" s="24">
        <f>T42+S37</f>
        <v>33.584350446974902</v>
      </c>
      <c r="U37" s="24">
        <f>U42+T37</f>
        <v>56.181841650840795</v>
      </c>
      <c r="V37" s="24">
        <f>V42+U37</f>
        <v>89.900858806999253</v>
      </c>
      <c r="W37" s="24">
        <f>W42+V37</f>
        <v>140.45275635883735</v>
      </c>
      <c r="X37" s="24">
        <f t="shared" ref="X37:AC37" si="120">X42+W37</f>
        <v>262.2102297752981</v>
      </c>
      <c r="Y37" s="24">
        <f t="shared" si="120"/>
        <v>426.35682351574667</v>
      </c>
      <c r="Z37" s="24">
        <f t="shared" si="120"/>
        <v>633.51046629012762</v>
      </c>
      <c r="AA37" s="24">
        <f t="shared" si="120"/>
        <v>877.09496212375643</v>
      </c>
      <c r="AB37" s="24">
        <f t="shared" si="120"/>
        <v>1123.6024719073887</v>
      </c>
      <c r="AC37" s="24">
        <f t="shared" si="120"/>
        <v>1373.0680718084245</v>
      </c>
      <c r="AD37" s="139"/>
      <c r="AE37" s="160">
        <f>AE42+F37</f>
        <v>18.37542274643554</v>
      </c>
      <c r="AF37" s="24">
        <f>AF42+AE37</f>
        <v>33.584350446974902</v>
      </c>
      <c r="AG37" s="24">
        <f t="shared" ref="AG37:AO37" si="121">AG42+AF37</f>
        <v>56.181841650840795</v>
      </c>
      <c r="AH37" s="24">
        <f t="shared" si="121"/>
        <v>89.900858806999253</v>
      </c>
      <c r="AI37" s="24">
        <f t="shared" si="121"/>
        <v>140.45275635883735</v>
      </c>
      <c r="AJ37" s="24">
        <f t="shared" si="121"/>
        <v>180.26662768027043</v>
      </c>
      <c r="AK37" s="24">
        <f t="shared" si="121"/>
        <v>226.89225155984349</v>
      </c>
      <c r="AL37" s="24">
        <f t="shared" si="121"/>
        <v>277.47871991957987</v>
      </c>
      <c r="AM37" s="24">
        <f t="shared" si="121"/>
        <v>328.00498887282515</v>
      </c>
      <c r="AN37" s="24">
        <f t="shared" si="121"/>
        <v>379.13757305350941</v>
      </c>
      <c r="AO37" s="24">
        <f t="shared" si="121"/>
        <v>430.88374824436187</v>
      </c>
    </row>
    <row r="38" spans="2:41" ht="15" thickBot="1">
      <c r="B38" s="178" t="s">
        <v>45</v>
      </c>
      <c r="C38" s="27"/>
      <c r="D38" s="27">
        <v>-1</v>
      </c>
      <c r="E38" s="28">
        <v>-20.6</v>
      </c>
      <c r="F38" s="98">
        <v>-8.6450000000000387</v>
      </c>
      <c r="G38" s="28">
        <f t="shared" ref="E38:AO38" si="122">G34-G42</f>
        <v>-6.7516079097464967</v>
      </c>
      <c r="H38" s="28">
        <f t="shared" si="122"/>
        <v>2.6153113055004251</v>
      </c>
      <c r="I38" s="28">
        <f t="shared" si="122"/>
        <v>23.830414465331341</v>
      </c>
      <c r="J38" s="28">
        <f t="shared" si="122"/>
        <v>67.244679417488413</v>
      </c>
      <c r="K38" s="28">
        <f t="shared" si="122"/>
        <v>150.67370404212357</v>
      </c>
      <c r="L38" s="28">
        <f t="shared" si="122"/>
        <v>205.37571484497397</v>
      </c>
      <c r="M38" s="28">
        <f t="shared" si="122"/>
        <v>260.91340405872813</v>
      </c>
      <c r="N38" s="28">
        <f t="shared" si="122"/>
        <v>308.99451633864265</v>
      </c>
      <c r="O38" s="28">
        <f t="shared" si="122"/>
        <v>339.31923235728618</v>
      </c>
      <c r="P38" s="28">
        <f t="shared" si="122"/>
        <v>343.39106314557353</v>
      </c>
      <c r="Q38" s="196">
        <f t="shared" si="122"/>
        <v>347.5117559033207</v>
      </c>
      <c r="R38" s="139"/>
      <c r="S38" s="28">
        <f t="shared" si="122"/>
        <v>2.0093287190071862</v>
      </c>
      <c r="T38" s="28">
        <f t="shared" si="122"/>
        <v>34.184049615375386</v>
      </c>
      <c r="U38" s="28">
        <f t="shared" si="122"/>
        <v>108.13637495491993</v>
      </c>
      <c r="V38" s="28">
        <f t="shared" si="122"/>
        <v>266.0749492294899</v>
      </c>
      <c r="W38" s="28">
        <f t="shared" si="122"/>
        <v>633.14892480297385</v>
      </c>
      <c r="X38" s="28">
        <f t="shared" ref="X38:AC38" si="123">X34-X42</f>
        <v>908.26775090124215</v>
      </c>
      <c r="Y38" s="28">
        <f t="shared" si="123"/>
        <v>1224.4756180574732</v>
      </c>
      <c r="Z38" s="28">
        <f t="shared" si="123"/>
        <v>1545.2930151575374</v>
      </c>
      <c r="AA38" s="28">
        <f t="shared" si="123"/>
        <v>1817.054312785313</v>
      </c>
      <c r="AB38" s="28">
        <f t="shared" si="123"/>
        <v>1838.8589645387367</v>
      </c>
      <c r="AC38" s="28">
        <f t="shared" si="123"/>
        <v>1860.9252721132018</v>
      </c>
      <c r="AD38" s="139"/>
      <c r="AE38" s="164">
        <f t="shared" si="122"/>
        <v>-10.119304556467085</v>
      </c>
      <c r="AF38" s="28">
        <f t="shared" si="122"/>
        <v>-9.018925809091856</v>
      </c>
      <c r="AG38" s="28">
        <f t="shared" si="122"/>
        <v>-5.8292206457142477</v>
      </c>
      <c r="AH38" s="28">
        <f t="shared" si="122"/>
        <v>0.76453281582600852</v>
      </c>
      <c r="AI38" s="28">
        <f t="shared" si="122"/>
        <v>12.250615958867726</v>
      </c>
      <c r="AJ38" s="28">
        <f t="shared" si="122"/>
        <v>39.711016692729139</v>
      </c>
      <c r="AK38" s="28">
        <f t="shared" si="122"/>
        <v>46.505171859383822</v>
      </c>
      <c r="AL38" s="28">
        <f t="shared" si="122"/>
        <v>50.455783946292264</v>
      </c>
      <c r="AM38" s="28">
        <f t="shared" si="122"/>
        <v>50.395740058151816</v>
      </c>
      <c r="AN38" s="28">
        <f t="shared" si="122"/>
        <v>51.000488938849593</v>
      </c>
      <c r="AO38" s="28">
        <f t="shared" si="122"/>
        <v>51.612494806115826</v>
      </c>
    </row>
    <row r="39" spans="2:41" ht="15" thickTop="1">
      <c r="B39" s="177" t="s">
        <v>38</v>
      </c>
      <c r="C39" s="42"/>
      <c r="D39" s="30">
        <v>-1.4184397163120567E-2</v>
      </c>
      <c r="E39" s="30">
        <v>-0.12768621422771537</v>
      </c>
      <c r="F39" s="93">
        <v>-2.9988101886700962E-2</v>
      </c>
      <c r="G39" s="30">
        <f t="shared" ref="D39:AI39" si="124">G38/G27</f>
        <v>-1.6447839576300256E-2</v>
      </c>
      <c r="H39" s="30">
        <f t="shared" si="124"/>
        <v>4.3045339990443864E-3</v>
      </c>
      <c r="I39" s="30">
        <f t="shared" si="124"/>
        <v>2.6398102836583923E-2</v>
      </c>
      <c r="J39" s="30">
        <f t="shared" si="124"/>
        <v>4.9921125335914966E-2</v>
      </c>
      <c r="K39" s="30">
        <f t="shared" si="124"/>
        <v>7.4610740296496281E-2</v>
      </c>
      <c r="L39" s="30"/>
      <c r="M39" s="30"/>
      <c r="N39" s="30"/>
      <c r="O39" s="30"/>
      <c r="P39" s="30"/>
      <c r="Q39" s="197"/>
      <c r="R39" s="144"/>
      <c r="S39" s="30">
        <f t="shared" si="124"/>
        <v>4.3781758789237469E-3</v>
      </c>
      <c r="T39" s="30">
        <f t="shared" si="124"/>
        <v>4.5989802765509666E-2</v>
      </c>
      <c r="U39" s="30">
        <f t="shared" si="124"/>
        <v>8.9644286851576882E-2</v>
      </c>
      <c r="V39" s="30">
        <f t="shared" si="124"/>
        <v>0.13561525750352127</v>
      </c>
      <c r="W39" s="30">
        <f t="shared" si="124"/>
        <v>0.17632874785989863</v>
      </c>
      <c r="X39" s="30"/>
      <c r="Y39" s="30"/>
      <c r="Z39" s="30"/>
      <c r="AA39" s="30"/>
      <c r="AB39" s="30"/>
      <c r="AC39" s="30"/>
      <c r="AD39" s="144"/>
      <c r="AE39" s="162">
        <f t="shared" si="124"/>
        <v>-2.6882186736008971E-2</v>
      </c>
      <c r="AF39" s="30">
        <f t="shared" si="124"/>
        <v>-1.7705521945349068E-2</v>
      </c>
      <c r="AG39" s="30">
        <f t="shared" si="124"/>
        <v>-8.4536370127874239E-3</v>
      </c>
      <c r="AH39" s="30">
        <f t="shared" si="124"/>
        <v>8.1873017240842547E-4</v>
      </c>
      <c r="AI39" s="30">
        <f t="shared" si="124"/>
        <v>9.6836608195762473E-3</v>
      </c>
      <c r="AJ39" s="30"/>
      <c r="AK39" s="30"/>
      <c r="AL39" s="30"/>
      <c r="AM39" s="30"/>
      <c r="AN39" s="30"/>
      <c r="AO39" s="30"/>
    </row>
    <row r="40" spans="2:41">
      <c r="B40" s="177" t="s">
        <v>141</v>
      </c>
      <c r="C40" s="42"/>
      <c r="D40" s="30">
        <v>0</v>
      </c>
      <c r="E40" s="30">
        <v>0</v>
      </c>
      <c r="F40" s="93">
        <v>0</v>
      </c>
      <c r="G40" s="80">
        <f>BS!S26</f>
        <v>0.26600000000000001</v>
      </c>
      <c r="H40" s="80">
        <f>G40</f>
        <v>0.26600000000000001</v>
      </c>
      <c r="I40" s="80">
        <f t="shared" ref="I40:K40" si="125">H40</f>
        <v>0.26600000000000001</v>
      </c>
      <c r="J40" s="80">
        <f t="shared" si="125"/>
        <v>0.26600000000000001</v>
      </c>
      <c r="K40" s="80">
        <f t="shared" si="125"/>
        <v>0.26600000000000001</v>
      </c>
      <c r="L40" s="80">
        <f t="shared" ref="L40" si="126">K40</f>
        <v>0.26600000000000001</v>
      </c>
      <c r="M40" s="80">
        <f t="shared" ref="M40" si="127">L40</f>
        <v>0.26600000000000001</v>
      </c>
      <c r="N40" s="80">
        <f t="shared" ref="N40" si="128">M40</f>
        <v>0.26600000000000001</v>
      </c>
      <c r="O40" s="80">
        <f t="shared" ref="O40" si="129">N40</f>
        <v>0.26600000000000001</v>
      </c>
      <c r="P40" s="80">
        <f t="shared" ref="P40" si="130">O40</f>
        <v>0.26600000000000001</v>
      </c>
      <c r="Q40" s="202">
        <f t="shared" ref="Q40" si="131">P40</f>
        <v>0.26600000000000001</v>
      </c>
      <c r="R40" s="149"/>
      <c r="S40" s="80">
        <v>0.26600000000000001</v>
      </c>
      <c r="T40" s="80">
        <v>0.26600000000000001</v>
      </c>
      <c r="U40" s="80">
        <v>0.26600000000000001</v>
      </c>
      <c r="V40" s="80">
        <v>0.26600000000000001</v>
      </c>
      <c r="W40" s="80">
        <v>0.26600000000000001</v>
      </c>
      <c r="X40" s="80">
        <f t="shared" ref="X40" si="132">W40</f>
        <v>0.26600000000000001</v>
      </c>
      <c r="Y40" s="80">
        <f t="shared" ref="Y40" si="133">X40</f>
        <v>0.26600000000000001</v>
      </c>
      <c r="Z40" s="80">
        <f t="shared" ref="Z40" si="134">Y40</f>
        <v>0.26600000000000001</v>
      </c>
      <c r="AA40" s="80">
        <f t="shared" ref="AA40" si="135">Z40</f>
        <v>0.26600000000000001</v>
      </c>
      <c r="AB40" s="80">
        <f t="shared" ref="AB40" si="136">AA40</f>
        <v>0.26600000000000001</v>
      </c>
      <c r="AC40" s="80">
        <f t="shared" ref="AC40" si="137">AB40</f>
        <v>0.26600000000000001</v>
      </c>
      <c r="AD40" s="149"/>
      <c r="AE40" s="168">
        <v>0.26600000000000001</v>
      </c>
      <c r="AF40" s="80">
        <v>0.26600000000000001</v>
      </c>
      <c r="AG40" s="80">
        <v>0.26600000000000001</v>
      </c>
      <c r="AH40" s="80">
        <v>0.26600000000000001</v>
      </c>
      <c r="AI40" s="80">
        <v>0.26600000000000001</v>
      </c>
      <c r="AJ40" s="80">
        <f t="shared" ref="AJ40" si="138">AI40</f>
        <v>0.26600000000000001</v>
      </c>
      <c r="AK40" s="80">
        <f t="shared" ref="AK40" si="139">AJ40</f>
        <v>0.26600000000000001</v>
      </c>
      <c r="AL40" s="80">
        <f t="shared" ref="AL40" si="140">AK40</f>
        <v>0.26600000000000001</v>
      </c>
      <c r="AM40" s="80">
        <f t="shared" ref="AM40" si="141">AL40</f>
        <v>0.26600000000000001</v>
      </c>
      <c r="AN40" s="80">
        <f t="shared" ref="AN40" si="142">AM40</f>
        <v>0.26600000000000001</v>
      </c>
      <c r="AO40" s="80">
        <f t="shared" ref="AO40" si="143">AN40</f>
        <v>0.26600000000000001</v>
      </c>
    </row>
    <row r="41" spans="2:41" ht="15" thickBot="1">
      <c r="B41" s="179" t="s">
        <v>39</v>
      </c>
      <c r="C41" s="26"/>
      <c r="D41" s="78">
        <v>-1</v>
      </c>
      <c r="E41" s="78">
        <v>-20.6</v>
      </c>
      <c r="F41" s="99">
        <v>-8.6450000000000387</v>
      </c>
      <c r="G41" s="37">
        <f t="shared" ref="E41:Q41" si="144">G38*(1-G40)</f>
        <v>-4.9556802057539286</v>
      </c>
      <c r="H41" s="37">
        <f t="shared" si="144"/>
        <v>1.919638498237312</v>
      </c>
      <c r="I41" s="37">
        <f t="shared" si="144"/>
        <v>17.491524217553202</v>
      </c>
      <c r="J41" s="37">
        <f t="shared" si="144"/>
        <v>49.357594692436493</v>
      </c>
      <c r="K41" s="37">
        <f t="shared" si="144"/>
        <v>110.5944987669187</v>
      </c>
      <c r="L41" s="37">
        <f t="shared" si="144"/>
        <v>150.7457746962109</v>
      </c>
      <c r="M41" s="37">
        <f t="shared" si="144"/>
        <v>191.51043857910645</v>
      </c>
      <c r="N41" s="37">
        <f t="shared" si="144"/>
        <v>226.80197499256371</v>
      </c>
      <c r="O41" s="37">
        <f t="shared" si="144"/>
        <v>249.06031655024805</v>
      </c>
      <c r="P41" s="37">
        <f t="shared" si="144"/>
        <v>252.04904034885095</v>
      </c>
      <c r="Q41" s="75">
        <f t="shared" si="144"/>
        <v>255.07362883303739</v>
      </c>
      <c r="R41" s="148"/>
      <c r="S41" s="37">
        <f t="shared" ref="S41:AC41" si="145">S38*(1-S40)</f>
        <v>1.4748472797512746</v>
      </c>
      <c r="T41" s="37">
        <f t="shared" si="145"/>
        <v>25.091092417685534</v>
      </c>
      <c r="U41" s="37">
        <f t="shared" si="145"/>
        <v>79.372099216911224</v>
      </c>
      <c r="V41" s="37">
        <f t="shared" si="145"/>
        <v>195.2990127344456</v>
      </c>
      <c r="W41" s="37">
        <f t="shared" si="145"/>
        <v>464.7313108053828</v>
      </c>
      <c r="X41" s="37">
        <f t="shared" si="145"/>
        <v>666.66852916151174</v>
      </c>
      <c r="Y41" s="37">
        <f t="shared" si="145"/>
        <v>898.76510365418528</v>
      </c>
      <c r="Z41" s="37">
        <f t="shared" si="145"/>
        <v>1134.2450731256324</v>
      </c>
      <c r="AA41" s="37">
        <f t="shared" si="145"/>
        <v>1333.7178655844198</v>
      </c>
      <c r="AB41" s="37">
        <f t="shared" si="145"/>
        <v>1349.7224799714327</v>
      </c>
      <c r="AC41" s="37">
        <f t="shared" si="145"/>
        <v>1365.9191497310901</v>
      </c>
      <c r="AD41" s="148"/>
      <c r="AE41" s="169">
        <f t="shared" ref="AE41:AO41" si="146">AE38*(1-AE40)</f>
        <v>-7.4275695444468406</v>
      </c>
      <c r="AF41" s="37">
        <f t="shared" si="146"/>
        <v>-6.6198915438734218</v>
      </c>
      <c r="AG41" s="37">
        <f t="shared" si="146"/>
        <v>-4.2786479539542581</v>
      </c>
      <c r="AH41" s="37">
        <f t="shared" si="146"/>
        <v>0.56116708681629024</v>
      </c>
      <c r="AI41" s="37">
        <f t="shared" si="146"/>
        <v>8.9919521138089102</v>
      </c>
      <c r="AJ41" s="37">
        <f t="shared" si="146"/>
        <v>29.147886252463188</v>
      </c>
      <c r="AK41" s="37">
        <f t="shared" si="146"/>
        <v>34.134796144787721</v>
      </c>
      <c r="AL41" s="37">
        <f t="shared" si="146"/>
        <v>37.034545416578524</v>
      </c>
      <c r="AM41" s="37">
        <f t="shared" si="146"/>
        <v>36.990473202683432</v>
      </c>
      <c r="AN41" s="37">
        <f t="shared" si="146"/>
        <v>37.4343588811156</v>
      </c>
      <c r="AO41" s="37">
        <f t="shared" si="146"/>
        <v>37.883571187689014</v>
      </c>
    </row>
    <row r="42" spans="2:41" ht="15" thickTop="1">
      <c r="B42" s="174" t="s">
        <v>185</v>
      </c>
      <c r="C42" s="32"/>
      <c r="D42" s="24">
        <v>0</v>
      </c>
      <c r="E42" s="24">
        <v>2.6</v>
      </c>
      <c r="F42" s="91">
        <v>5.5</v>
      </c>
      <c r="G42" s="24">
        <f>(G36/(1-BS!$S$9))*BS!$S$9</f>
        <v>10.275422746435538</v>
      </c>
      <c r="H42" s="24">
        <f>(H36/(1-BS!$S$9))*BS!$S$9</f>
        <v>15.208927700539364</v>
      </c>
      <c r="I42" s="24">
        <f>(I36/(1-BS!$S$9))*BS!$S$9</f>
        <v>22.597491203865889</v>
      </c>
      <c r="J42" s="24">
        <f>(J36/(1-BS!$S$9))*BS!$S$9</f>
        <v>33.719017156158465</v>
      </c>
      <c r="K42" s="24">
        <f>(K36/(1-BS!$S$9))*BS!$S$9</f>
        <v>50.551897551838081</v>
      </c>
      <c r="L42" s="24">
        <f>(L36/(1-BS!$S$9))*BS!$S$9</f>
        <v>68.576678337666365</v>
      </c>
      <c r="M42" s="24">
        <f>(M36/(1-BS!$S$9))*BS!$S$9</f>
        <v>87.121179822195614</v>
      </c>
      <c r="N42" s="24">
        <f>(N36/(1-BS!$S$9))*BS!$S$9</f>
        <v>103.17586756083999</v>
      </c>
      <c r="O42" s="24">
        <f>(O36/(1-BS!$S$9))*BS!$S$9</f>
        <v>113.30154526163986</v>
      </c>
      <c r="P42" s="24">
        <f>(P36/(1-BS!$S$9))*BS!$S$9</f>
        <v>114.66116380477955</v>
      </c>
      <c r="Q42" s="191">
        <f>(Q36/(1-BS!$S$9))*BS!$S$9</f>
        <v>116.03709777043687</v>
      </c>
      <c r="R42" s="139"/>
      <c r="S42" s="24">
        <f t="shared" ref="S42:W47" si="147">G42</f>
        <v>10.275422746435538</v>
      </c>
      <c r="T42" s="24">
        <f t="shared" si="147"/>
        <v>15.208927700539364</v>
      </c>
      <c r="U42" s="24">
        <f t="shared" si="147"/>
        <v>22.597491203865889</v>
      </c>
      <c r="V42" s="24">
        <f t="shared" si="147"/>
        <v>33.719017156158465</v>
      </c>
      <c r="W42" s="24">
        <f t="shared" si="147"/>
        <v>50.551897551838081</v>
      </c>
      <c r="X42" s="24">
        <f>(X36/(1-BS!$S$9))*BS!$S$9</f>
        <v>121.75747341646073</v>
      </c>
      <c r="Y42" s="24">
        <f>(Y36/(1-BS!$S$9))*BS!$S$9</f>
        <v>164.14659374044859</v>
      </c>
      <c r="Z42" s="24">
        <f>(Z36/(1-BS!$S$9))*BS!$S$9</f>
        <v>207.1536427743809</v>
      </c>
      <c r="AA42" s="24">
        <f>(AA36/(1-BS!$S$9))*BS!$S$9</f>
        <v>243.58449583362878</v>
      </c>
      <c r="AB42" s="24">
        <f>(AB36/(1-BS!$S$9))*BS!$S$9</f>
        <v>246.50750978363232</v>
      </c>
      <c r="AC42" s="24">
        <f>(AC36/(1-BS!$S$9))*BS!$S$9</f>
        <v>249.46559990103589</v>
      </c>
      <c r="AD42" s="139"/>
      <c r="AE42" s="160">
        <f>S42</f>
        <v>10.275422746435538</v>
      </c>
      <c r="AF42" s="24">
        <f t="shared" ref="AF42:AF47" si="148">T42</f>
        <v>15.208927700539364</v>
      </c>
      <c r="AG42" s="24">
        <f t="shared" ref="AG42:AG47" si="149">U42</f>
        <v>22.597491203865889</v>
      </c>
      <c r="AH42" s="24">
        <f t="shared" ref="AH42:AH47" si="150">V42</f>
        <v>33.719017156158465</v>
      </c>
      <c r="AI42" s="24">
        <f t="shared" ref="AI42:AI47" si="151">W42</f>
        <v>50.551897551838081</v>
      </c>
      <c r="AJ42" s="24">
        <f>(AJ36/(1-BS!$S$9))*BS!$S$9</f>
        <v>39.813871321433091</v>
      </c>
      <c r="AK42" s="24">
        <f>(AK36/(1-BS!$S$9))*BS!$S$9</f>
        <v>46.625623879573041</v>
      </c>
      <c r="AL42" s="24">
        <f>(AL36/(1-BS!$S$9))*BS!$S$9</f>
        <v>50.586468359736408</v>
      </c>
      <c r="AM42" s="24">
        <f>(AM36/(1-BS!$S$9))*BS!$S$9</f>
        <v>50.526268953245292</v>
      </c>
      <c r="AN42" s="24">
        <f>(AN36/(1-BS!$S$9))*BS!$S$9</f>
        <v>51.13258418068424</v>
      </c>
      <c r="AO42" s="24">
        <f>(AO36/(1-BS!$S$9))*BS!$S$9</f>
        <v>51.746175190852448</v>
      </c>
    </row>
    <row r="43" spans="2:41">
      <c r="B43" s="177" t="s">
        <v>40</v>
      </c>
      <c r="C43" s="42"/>
      <c r="D43" s="42"/>
      <c r="E43" s="30">
        <v>1.6115735776313589E-2</v>
      </c>
      <c r="F43" s="93">
        <v>1.9078607331041591E-2</v>
      </c>
      <c r="G43" s="30">
        <f t="shared" ref="E43:K43" si="152">G42/G27</f>
        <v>2.5032334100453427E-2</v>
      </c>
      <c r="H43" s="30">
        <f t="shared" si="152"/>
        <v>2.5032334100453423E-2</v>
      </c>
      <c r="I43" s="30">
        <f t="shared" si="152"/>
        <v>2.5032334100453427E-2</v>
      </c>
      <c r="J43" s="30">
        <f t="shared" si="152"/>
        <v>2.5032334100453427E-2</v>
      </c>
      <c r="K43" s="30">
        <f t="shared" si="152"/>
        <v>2.5032334100453427E-2</v>
      </c>
      <c r="L43" s="30"/>
      <c r="M43" s="30"/>
      <c r="N43" s="30"/>
      <c r="O43" s="30"/>
      <c r="P43" s="30"/>
      <c r="Q43" s="197"/>
      <c r="R43" s="144"/>
      <c r="S43" s="30">
        <f t="shared" si="147"/>
        <v>2.5032334100453427E-2</v>
      </c>
      <c r="T43" s="30">
        <f t="shared" si="147"/>
        <v>2.5032334100453423E-2</v>
      </c>
      <c r="U43" s="30">
        <f t="shared" si="147"/>
        <v>2.5032334100453427E-2</v>
      </c>
      <c r="V43" s="30">
        <f t="shared" si="147"/>
        <v>2.5032334100453427E-2</v>
      </c>
      <c r="W43" s="30">
        <f t="shared" si="147"/>
        <v>2.5032334100453427E-2</v>
      </c>
      <c r="X43" s="30"/>
      <c r="Y43" s="30"/>
      <c r="Z43" s="30"/>
      <c r="AA43" s="30"/>
      <c r="AB43" s="30"/>
      <c r="AC43" s="30"/>
      <c r="AD43" s="144"/>
      <c r="AE43" s="162">
        <f t="shared" ref="AE43:AE47" si="153">S43</f>
        <v>2.5032334100453427E-2</v>
      </c>
      <c r="AF43" s="30">
        <f t="shared" si="148"/>
        <v>2.5032334100453423E-2</v>
      </c>
      <c r="AG43" s="30">
        <f t="shared" si="149"/>
        <v>2.5032334100453427E-2</v>
      </c>
      <c r="AH43" s="30">
        <f t="shared" si="150"/>
        <v>2.5032334100453427E-2</v>
      </c>
      <c r="AI43" s="30">
        <f t="shared" si="151"/>
        <v>2.5032334100453427E-2</v>
      </c>
      <c r="AJ43" s="30"/>
      <c r="AK43" s="30"/>
      <c r="AL43" s="30"/>
      <c r="AM43" s="30"/>
      <c r="AN43" s="30"/>
      <c r="AO43" s="30"/>
    </row>
    <row r="44" spans="2:41">
      <c r="B44" s="174" t="s">
        <v>41</v>
      </c>
      <c r="C44" s="32"/>
      <c r="D44" s="32"/>
      <c r="E44" s="24">
        <v>27.3</v>
      </c>
      <c r="F44" s="91">
        <v>20.779999999999998</v>
      </c>
      <c r="G44" s="24">
        <f t="shared" ref="E44:P44" si="154">G36-F36+G42</f>
        <v>55.087817075129855</v>
      </c>
      <c r="H44" s="24">
        <f t="shared" si="154"/>
        <v>55.920021327908785</v>
      </c>
      <c r="I44" s="24">
        <f t="shared" si="154"/>
        <v>83.567633801063394</v>
      </c>
      <c r="J44" s="24">
        <f t="shared" si="154"/>
        <v>125.4934226822694</v>
      </c>
      <c r="K44" s="37">
        <f t="shared" si="154"/>
        <v>189.45618085184469</v>
      </c>
      <c r="L44" s="37">
        <f t="shared" si="154"/>
        <v>217.31647793475844</v>
      </c>
      <c r="M44" s="37">
        <f t="shared" si="154"/>
        <v>240.14969468799293</v>
      </c>
      <c r="N44" s="37">
        <f t="shared" si="154"/>
        <v>235.65853490719479</v>
      </c>
      <c r="O44" s="37">
        <f t="shared" si="154"/>
        <v>196.85824921810959</v>
      </c>
      <c r="P44" s="37">
        <f t="shared" si="154"/>
        <v>125.8806838665207</v>
      </c>
      <c r="Q44" s="203">
        <v>200</v>
      </c>
      <c r="R44" s="148"/>
      <c r="S44" s="24">
        <f t="shared" si="147"/>
        <v>55.087817075129855</v>
      </c>
      <c r="T44" s="24">
        <f t="shared" si="147"/>
        <v>55.920021327908785</v>
      </c>
      <c r="U44" s="24">
        <f t="shared" si="147"/>
        <v>83.567633801063394</v>
      </c>
      <c r="V44" s="24">
        <f t="shared" si="147"/>
        <v>125.4934226822694</v>
      </c>
      <c r="W44" s="24">
        <f t="shared" si="147"/>
        <v>189.45618085184469</v>
      </c>
      <c r="X44" s="37">
        <f t="shared" ref="X44:AB44" si="155">X36-W36+X42</f>
        <v>709.3431539383904</v>
      </c>
      <c r="Y44" s="37">
        <f t="shared" si="155"/>
        <v>513.9399885674278</v>
      </c>
      <c r="Z44" s="37">
        <f t="shared" si="155"/>
        <v>562.04616161149465</v>
      </c>
      <c r="AA44" s="37">
        <f t="shared" si="155"/>
        <v>544.21049775671599</v>
      </c>
      <c r="AB44" s="37">
        <f t="shared" si="155"/>
        <v>270.6281087694943</v>
      </c>
      <c r="AC44" s="132">
        <v>200</v>
      </c>
      <c r="AD44" s="148"/>
      <c r="AE44" s="169">
        <f>AE36-F36+AE42</f>
        <v>48.053340145557264</v>
      </c>
      <c r="AF44" s="37">
        <f t="shared" ref="AF44:AM44" si="156">AF36-AE36+AF42</f>
        <v>42.672543921996734</v>
      </c>
      <c r="AG44" s="37">
        <f t="shared" si="156"/>
        <v>59.813819330051032</v>
      </c>
      <c r="AH44" s="37">
        <f t="shared" si="156"/>
        <v>84.173007306320272</v>
      </c>
      <c r="AI44" s="37">
        <f t="shared" si="156"/>
        <v>118.98260508797868</v>
      </c>
      <c r="AJ44" s="37">
        <f t="shared" si="156"/>
        <v>107.03385073524018</v>
      </c>
      <c r="AK44" s="37">
        <f t="shared" si="156"/>
        <v>102.83594468410196</v>
      </c>
      <c r="AL44" s="37">
        <f t="shared" si="156"/>
        <v>83.271205068320825</v>
      </c>
      <c r="AM44" s="37">
        <f t="shared" si="156"/>
        <v>50.029505760186524</v>
      </c>
      <c r="AN44" s="37">
        <f t="shared" ref="AN44" si="157">AN36-AM36+AN42</f>
        <v>56.135874178687381</v>
      </c>
      <c r="AO44" s="132">
        <v>20</v>
      </c>
    </row>
    <row r="45" spans="2:41">
      <c r="B45" s="177" t="s">
        <v>42</v>
      </c>
      <c r="C45" s="42"/>
      <c r="D45" s="42"/>
      <c r="E45" s="30">
        <v>0.16921522565129268</v>
      </c>
      <c r="F45" s="93">
        <v>7.2082447334371677E-2</v>
      </c>
      <c r="G45" s="30">
        <f t="shared" ref="E45:K45" si="158">G44/G27</f>
        <v>0.13420145096878563</v>
      </c>
      <c r="H45" s="30">
        <f t="shared" si="158"/>
        <v>9.2038616025181805E-2</v>
      </c>
      <c r="I45" s="30">
        <f t="shared" si="158"/>
        <v>9.2571910324925399E-2</v>
      </c>
      <c r="J45" s="30">
        <f t="shared" si="158"/>
        <v>9.3163844884436117E-2</v>
      </c>
      <c r="K45" s="30">
        <f t="shared" si="158"/>
        <v>9.3815082047436688E-2</v>
      </c>
      <c r="L45" s="30"/>
      <c r="M45" s="30"/>
      <c r="N45" s="30"/>
      <c r="O45" s="30"/>
      <c r="P45" s="30"/>
      <c r="Q45" s="197"/>
      <c r="R45" s="144"/>
      <c r="S45" s="30">
        <f t="shared" si="147"/>
        <v>0.13420145096878563</v>
      </c>
      <c r="T45" s="30">
        <f t="shared" si="147"/>
        <v>9.2038616025181805E-2</v>
      </c>
      <c r="U45" s="30">
        <f t="shared" si="147"/>
        <v>9.2571910324925399E-2</v>
      </c>
      <c r="V45" s="30">
        <f t="shared" si="147"/>
        <v>9.3163844884436117E-2</v>
      </c>
      <c r="W45" s="30">
        <f t="shared" si="147"/>
        <v>9.3815082047436688E-2</v>
      </c>
      <c r="X45" s="30"/>
      <c r="Y45" s="30"/>
      <c r="Z45" s="30"/>
      <c r="AA45" s="30"/>
      <c r="AB45" s="30"/>
      <c r="AC45" s="30"/>
      <c r="AD45" s="144"/>
      <c r="AE45" s="162">
        <f t="shared" si="153"/>
        <v>0.13420145096878563</v>
      </c>
      <c r="AF45" s="30">
        <f t="shared" si="148"/>
        <v>9.2038616025181805E-2</v>
      </c>
      <c r="AG45" s="30">
        <f t="shared" si="149"/>
        <v>9.2571910324925399E-2</v>
      </c>
      <c r="AH45" s="30">
        <f t="shared" si="150"/>
        <v>9.3163844884436117E-2</v>
      </c>
      <c r="AI45" s="30">
        <f t="shared" si="151"/>
        <v>9.3815082047436688E-2</v>
      </c>
      <c r="AJ45" s="30"/>
      <c r="AK45" s="30"/>
      <c r="AL45" s="30"/>
      <c r="AM45" s="30"/>
      <c r="AN45" s="30"/>
      <c r="AO45" s="30"/>
    </row>
    <row r="46" spans="2:41">
      <c r="B46" s="174" t="s">
        <v>1</v>
      </c>
      <c r="C46" s="42"/>
      <c r="D46" s="43">
        <v>-6.3159639866977111</v>
      </c>
      <c r="E46" s="43">
        <v>-13.688453100089843</v>
      </c>
      <c r="F46" s="95">
        <v>-23.121850503118964</v>
      </c>
      <c r="G46" s="43">
        <f>(G27-G29)*BS!$T$18</f>
        <v>-32.034991907191284</v>
      </c>
      <c r="H46" s="43">
        <f>(H27-H29)*BS!$T$18</f>
        <v>-46.014357963763466</v>
      </c>
      <c r="I46" s="43">
        <f>(I27-I29)*BS!$T$18</f>
        <v>-66.149009392581419</v>
      </c>
      <c r="J46" s="43">
        <f>(J27-J29)*BS!$T$18</f>
        <v>-95.175311051216283</v>
      </c>
      <c r="K46" s="43">
        <f>(K27-K29)*BS!$T$18</f>
        <v>-137.04835403842162</v>
      </c>
      <c r="L46" s="43">
        <f>(L27-L29)*BS!$T$18</f>
        <v>-185.91430483815202</v>
      </c>
      <c r="M46" s="43">
        <f>(M27-M29)*BS!$T$18</f>
        <v>-236.18924065656805</v>
      </c>
      <c r="N46" s="43">
        <f>(N27-N29)*BS!$T$18</f>
        <v>-279.71418503527894</v>
      </c>
      <c r="O46" s="43">
        <f>(O27-O29)*BS!$T$18</f>
        <v>-307.16532989082378</v>
      </c>
      <c r="P46" s="43">
        <f>(P27-P29)*BS!$T$18</f>
        <v>-310.85131384951364</v>
      </c>
      <c r="Q46" s="204">
        <f>(Q27-Q29)*BS!$T$18</f>
        <v>-314.58152961570789</v>
      </c>
      <c r="R46" s="150"/>
      <c r="S46" s="43">
        <f t="shared" si="147"/>
        <v>-32.034991907191284</v>
      </c>
      <c r="T46" s="43">
        <f t="shared" si="147"/>
        <v>-46.014357963763466</v>
      </c>
      <c r="U46" s="43">
        <f t="shared" si="147"/>
        <v>-66.149009392581419</v>
      </c>
      <c r="V46" s="43">
        <f t="shared" si="147"/>
        <v>-95.175311051216283</v>
      </c>
      <c r="W46" s="43">
        <f t="shared" si="147"/>
        <v>-137.04835403842162</v>
      </c>
      <c r="X46" s="43">
        <f>(X27-X29)*BS!$T$18</f>
        <v>-320.38119143635157</v>
      </c>
      <c r="Y46" s="43">
        <f>(Y27-Y29)*BS!$T$18</f>
        <v>-431.91994542220829</v>
      </c>
      <c r="Z46" s="43">
        <f>(Z27-Z29)*BS!$T$18</f>
        <v>-545.0846590371516</v>
      </c>
      <c r="AA46" s="43">
        <f>(AA27-AA29)*BS!$T$18</f>
        <v>-640.94538758760575</v>
      </c>
      <c r="AB46" s="43">
        <f>(AB27-AB29)*BS!$T$18</f>
        <v>-648.63673223865703</v>
      </c>
      <c r="AC46" s="43">
        <f>(AC27-AC29)*BS!$T$18</f>
        <v>-656.42037302552092</v>
      </c>
      <c r="AD46" s="150"/>
      <c r="AE46" s="166">
        <f>(AE27-AE29)*BS!$T$18</f>
        <v>-29.725173197517456</v>
      </c>
      <c r="AF46" s="43">
        <f>(AF27-AF29)*BS!$T$18</f>
        <v>-39.56832535548245</v>
      </c>
      <c r="AG46" s="43">
        <f>(AG27-AG29)*BS!$T$18</f>
        <v>-52.642510935386618</v>
      </c>
      <c r="AH46" s="43">
        <f>(AH27-AH29)*BS!$T$18</f>
        <v>-69.995254322306451</v>
      </c>
      <c r="AI46" s="43">
        <f>(AI27-AI29)*BS!$T$18</f>
        <v>-93.007542795756962</v>
      </c>
      <c r="AJ46" s="43">
        <f>(AJ27-AJ29)*BS!$T$18</f>
        <v>-116.93186500361783</v>
      </c>
      <c r="AK46" s="43">
        <f>(AK27-AK29)*BS!$T$18</f>
        <v>-136.9377298976876</v>
      </c>
      <c r="AL46" s="43">
        <f>(AL27-AL29)*BS!$T$18</f>
        <v>-148.57058339027071</v>
      </c>
      <c r="AM46" s="43">
        <f>(AM27-AM29)*BS!$T$18</f>
        <v>-148.39377996373915</v>
      </c>
      <c r="AN46" s="43">
        <f>(AN27-AN29)*BS!$T$18</f>
        <v>-150.174505323304</v>
      </c>
      <c r="AO46" s="43">
        <f>(AO27-AO29)*BS!$T$18</f>
        <v>-151.97659938718368</v>
      </c>
    </row>
    <row r="47" spans="2:41">
      <c r="B47" s="174" t="s">
        <v>43</v>
      </c>
      <c r="C47" s="32"/>
      <c r="D47" s="32"/>
      <c r="E47" s="24">
        <v>-7.372489113392132</v>
      </c>
      <c r="F47" s="91">
        <v>-9.4333974030291206</v>
      </c>
      <c r="G47" s="24">
        <f t="shared" ref="F47:K47" si="159">G46-F46</f>
        <v>-8.91314140407232</v>
      </c>
      <c r="H47" s="24">
        <f t="shared" si="159"/>
        <v>-13.979366056572182</v>
      </c>
      <c r="I47" s="24">
        <f t="shared" si="159"/>
        <v>-20.134651428817953</v>
      </c>
      <c r="J47" s="24">
        <f t="shared" si="159"/>
        <v>-29.026301658634864</v>
      </c>
      <c r="K47" s="24">
        <f t="shared" si="159"/>
        <v>-41.873042987205338</v>
      </c>
      <c r="L47" s="24">
        <f t="shared" ref="L47" si="160">L46-K46</f>
        <v>-48.865950799730399</v>
      </c>
      <c r="M47" s="24">
        <f t="shared" ref="M47" si="161">M46-L46</f>
        <v>-50.274935818416026</v>
      </c>
      <c r="N47" s="24">
        <f t="shared" ref="N47" si="162">N46-M46</f>
        <v>-43.524944378710899</v>
      </c>
      <c r="O47" s="24">
        <f t="shared" ref="O47" si="163">O46-N46</f>
        <v>-27.45114485554484</v>
      </c>
      <c r="P47" s="24">
        <f t="shared" ref="P47" si="164">P46-O46</f>
        <v>-3.6859839586898602</v>
      </c>
      <c r="Q47" s="191">
        <f t="shared" ref="Q47" si="165">Q46-P46</f>
        <v>-3.7302157661942488</v>
      </c>
      <c r="R47" s="139"/>
      <c r="S47" s="24">
        <f t="shared" si="147"/>
        <v>-8.91314140407232</v>
      </c>
      <c r="T47" s="24">
        <f t="shared" si="147"/>
        <v>-13.979366056572182</v>
      </c>
      <c r="U47" s="24">
        <f t="shared" si="147"/>
        <v>-20.134651428817953</v>
      </c>
      <c r="V47" s="24">
        <f t="shared" si="147"/>
        <v>-29.026301658634864</v>
      </c>
      <c r="W47" s="24">
        <f t="shared" si="147"/>
        <v>-41.873042987205338</v>
      </c>
      <c r="X47" s="24">
        <f t="shared" ref="X47" si="166">X46-W46</f>
        <v>-183.33283739792995</v>
      </c>
      <c r="Y47" s="24">
        <f t="shared" ref="Y47" si="167">Y46-X46</f>
        <v>-111.53875398585672</v>
      </c>
      <c r="Z47" s="24">
        <f t="shared" ref="Z47" si="168">Z46-Y46</f>
        <v>-113.16471361494331</v>
      </c>
      <c r="AA47" s="24">
        <f t="shared" ref="AA47" si="169">AA46-Z46</f>
        <v>-95.860728550454155</v>
      </c>
      <c r="AB47" s="24">
        <f t="shared" ref="AB47" si="170">AB46-AA46</f>
        <v>-7.6913446510512813</v>
      </c>
      <c r="AC47" s="24">
        <f t="shared" ref="AC47" si="171">AC46-AB46</f>
        <v>-7.7836407868638844</v>
      </c>
      <c r="AD47" s="139"/>
      <c r="AE47" s="160">
        <f t="shared" si="153"/>
        <v>-8.91314140407232</v>
      </c>
      <c r="AF47" s="24">
        <f t="shared" si="148"/>
        <v>-13.979366056572182</v>
      </c>
      <c r="AG47" s="24">
        <f t="shared" si="149"/>
        <v>-20.134651428817953</v>
      </c>
      <c r="AH47" s="24">
        <f t="shared" si="150"/>
        <v>-29.026301658634864</v>
      </c>
      <c r="AI47" s="24">
        <f t="shared" si="151"/>
        <v>-41.873042987205338</v>
      </c>
      <c r="AJ47" s="24">
        <f t="shared" ref="AJ47" si="172">AJ46-AI46</f>
        <v>-23.924322207860868</v>
      </c>
      <c r="AK47" s="24">
        <f t="shared" ref="AK47" si="173">AK46-AJ46</f>
        <v>-20.005864894069774</v>
      </c>
      <c r="AL47" s="24">
        <f t="shared" ref="AL47" si="174">AL46-AK46</f>
        <v>-11.632853492583109</v>
      </c>
      <c r="AM47" s="24">
        <f t="shared" ref="AM47" si="175">AM46-AL46</f>
        <v>0.17680342653156345</v>
      </c>
      <c r="AN47" s="24">
        <f t="shared" ref="AN47" si="176">AN46-AM46</f>
        <v>-1.7807253595648547</v>
      </c>
      <c r="AO47" s="24">
        <f t="shared" ref="AO47" si="177">AO46-AN46</f>
        <v>-1.8020940638796787</v>
      </c>
    </row>
    <row r="48" spans="2:41" ht="15" thickBot="1">
      <c r="B48" s="178" t="s">
        <v>44</v>
      </c>
      <c r="C48" s="27"/>
      <c r="D48" s="27">
        <v>-1</v>
      </c>
      <c r="E48" s="28">
        <v>-40.527510886607871</v>
      </c>
      <c r="F48" s="98">
        <v>-19.991602596970914</v>
      </c>
      <c r="G48" s="28">
        <f t="shared" ref="E48:Q48" si="178">G41+(G42*G40)-G44-G47</f>
        <v>-48.397093426259609</v>
      </c>
      <c r="H48" s="28">
        <f t="shared" si="178"/>
        <v>-35.97544200475582</v>
      </c>
      <c r="I48" s="28">
        <f t="shared" si="178"/>
        <v>-39.930525494463915</v>
      </c>
      <c r="J48" s="28">
        <f t="shared" si="178"/>
        <v>-38.140267767659893</v>
      </c>
      <c r="K48" s="28">
        <f t="shared" si="178"/>
        <v>-23.541834348931715</v>
      </c>
      <c r="L48" s="28">
        <f t="shared" si="178"/>
        <v>0.53664399900210924</v>
      </c>
      <c r="M48" s="28">
        <f t="shared" si="178"/>
        <v>24.809913542233573</v>
      </c>
      <c r="N48" s="28">
        <f t="shared" si="178"/>
        <v>62.113165235263267</v>
      </c>
      <c r="O48" s="28">
        <f t="shared" si="178"/>
        <v>109.79142322727952</v>
      </c>
      <c r="P48" s="28">
        <f t="shared" si="178"/>
        <v>160.35421001309146</v>
      </c>
      <c r="Q48" s="196">
        <f t="shared" si="178"/>
        <v>89.66971260616782</v>
      </c>
      <c r="R48" s="139"/>
      <c r="S48" s="28">
        <f t="shared" ref="S48:AC48" si="179">S41+(S42*S40)-S44-S47</f>
        <v>-41.966565940754407</v>
      </c>
      <c r="T48" s="28">
        <f t="shared" si="179"/>
        <v>-12.803988085307598</v>
      </c>
      <c r="U48" s="28">
        <f t="shared" si="179"/>
        <v>21.950049504894103</v>
      </c>
      <c r="V48" s="28">
        <f t="shared" si="179"/>
        <v>107.80115027434921</v>
      </c>
      <c r="W48" s="28">
        <f t="shared" si="179"/>
        <v>330.59497768953236</v>
      </c>
      <c r="X48" s="28">
        <f t="shared" si="179"/>
        <v>173.04570054982986</v>
      </c>
      <c r="Y48" s="28">
        <f t="shared" si="179"/>
        <v>540.02686300757352</v>
      </c>
      <c r="Z48" s="28">
        <f t="shared" si="179"/>
        <v>740.46649410706641</v>
      </c>
      <c r="AA48" s="28">
        <f t="shared" si="179"/>
        <v>950.1615722699031</v>
      </c>
      <c r="AB48" s="28">
        <f t="shared" si="179"/>
        <v>1152.356713455436</v>
      </c>
      <c r="AC48" s="28">
        <f t="shared" si="179"/>
        <v>1240.0606400916295</v>
      </c>
      <c r="AD48" s="139"/>
      <c r="AE48" s="164">
        <f t="shared" ref="AE48:AO48" si="180">AE41+(AE42*AE40)-AE44-AE47</f>
        <v>-43.834505835379929</v>
      </c>
      <c r="AF48" s="28">
        <f t="shared" si="180"/>
        <v>-31.267494640954503</v>
      </c>
      <c r="AG48" s="28">
        <f t="shared" si="180"/>
        <v>-37.946883194959007</v>
      </c>
      <c r="AH48" s="28">
        <f t="shared" si="180"/>
        <v>-45.616279997330963</v>
      </c>
      <c r="AI48" s="28">
        <f t="shared" si="180"/>
        <v>-54.670805238175504</v>
      </c>
      <c r="AJ48" s="28">
        <f t="shared" si="180"/>
        <v>-43.371152503414919</v>
      </c>
      <c r="AK48" s="28">
        <f t="shared" si="180"/>
        <v>-36.292867693278041</v>
      </c>
      <c r="AL48" s="28">
        <f t="shared" si="180"/>
        <v>-21.147805575469306</v>
      </c>
      <c r="AM48" s="28">
        <f t="shared" si="180"/>
        <v>0.22415155752859306</v>
      </c>
      <c r="AN48" s="28">
        <f t="shared" si="180"/>
        <v>-3.3195225459449134</v>
      </c>
      <c r="AO48" s="28">
        <f t="shared" si="180"/>
        <v>33.450147852335448</v>
      </c>
    </row>
    <row r="49" spans="2:41" ht="15.5" thickTop="1" thickBot="1">
      <c r="B49" s="205" t="s">
        <v>153</v>
      </c>
      <c r="C49" s="206"/>
      <c r="D49" s="207"/>
      <c r="E49" s="208"/>
      <c r="F49" s="209"/>
      <c r="G49" s="208">
        <f>G48/(1+$E$54)^1</f>
        <v>-45.867529358032293</v>
      </c>
      <c r="H49" s="208">
        <f>H48/(1+$E$54)^2</f>
        <v>-32.313073876720409</v>
      </c>
      <c r="I49" s="208">
        <f>I48/(1+$E$54)^3</f>
        <v>-33.990944168334075</v>
      </c>
      <c r="J49" s="208">
        <f>J48/(1+$E$54)^4</f>
        <v>-30.77003624163947</v>
      </c>
      <c r="K49" s="208">
        <f>K48/(1+$E$54)^5</f>
        <v>-17.999922575155839</v>
      </c>
      <c r="L49" s="208">
        <f>(L48+J54)/(1+$E$54)^6</f>
        <v>0.38886842606643929</v>
      </c>
      <c r="M49" s="208">
        <f>(M48+K54)/(1+$E$54)^7</f>
        <v>17.038357382746089</v>
      </c>
      <c r="N49" s="208">
        <f>(N48+L54)/(1+$E$54)^8</f>
        <v>40.427063922378373</v>
      </c>
      <c r="O49" s="208">
        <f>(O48+M54)/(1+$E$54)^9</f>
        <v>67.724065717983791</v>
      </c>
      <c r="P49" s="208">
        <f>(P48+N54)/(1+$E$54)^10</f>
        <v>93.743473538446253</v>
      </c>
      <c r="Q49" s="210">
        <f>Q48/(E54-E8)</f>
        <v>1625.943468738471</v>
      </c>
      <c r="R49" s="139"/>
      <c r="S49" s="171">
        <f>S48/(1+$E$54)^1</f>
        <v>-39.773105347250556</v>
      </c>
      <c r="T49" s="171">
        <f>T48/(1+$E$54)^2</f>
        <v>-11.500517849440124</v>
      </c>
      <c r="U49" s="171">
        <f>U48/(1+$E$54)^3</f>
        <v>18.685026003889341</v>
      </c>
      <c r="V49" s="171">
        <f>V48/(1+$E$54)^4</f>
        <v>86.969638520596746</v>
      </c>
      <c r="W49" s="171">
        <f>W48/(1+$E$54)^5</f>
        <v>252.77061735917727</v>
      </c>
      <c r="X49" s="171">
        <f>(X48+V54)/(1+$E$54)^6</f>
        <v>125.39413342086439</v>
      </c>
      <c r="Y49" s="171">
        <f>(Y48+W54)/(1+$E$54)^7</f>
        <v>370.86669699768498</v>
      </c>
      <c r="Z49" s="171">
        <f>(Z48+X54)/(1+$E$54)^8</f>
        <v>481.9410856983821</v>
      </c>
      <c r="AA49" s="171">
        <f>(AA48+Y54)/(1+$E$54)^9</f>
        <v>586.10047006951606</v>
      </c>
      <c r="AB49" s="171">
        <f>(AB48+Z54)/(1+$E$54)^10</f>
        <v>673.67062620832473</v>
      </c>
      <c r="AC49" s="171">
        <f>Q48/(E54-Q8)</f>
        <v>2078.1246764125822</v>
      </c>
      <c r="AD49" s="139"/>
      <c r="AE49" s="172">
        <f>AE48/(1+$E$54)^1</f>
        <v>-41.543413890393118</v>
      </c>
      <c r="AF49" s="171">
        <f>AF48/(1+$E$54)^2</f>
        <v>-28.084404470681914</v>
      </c>
      <c r="AG49" s="171">
        <f>AG48/(1+$E$54)^3</f>
        <v>-32.302364471035446</v>
      </c>
      <c r="AH49" s="171">
        <f>AH48/(1+$E$54)^4</f>
        <v>-36.801382656175477</v>
      </c>
      <c r="AI49" s="171">
        <f>(AI48+AG54)/(1+$E$54)^5</f>
        <v>-41.800916904898649</v>
      </c>
      <c r="AJ49" s="171">
        <f>(AJ48+AH54)/(1+$E$54)^6</f>
        <v>-31.428045113803982</v>
      </c>
      <c r="AK49" s="171">
        <f>(AK48+AI54)/(1+$E$54)^7</f>
        <v>-24.924345227972953</v>
      </c>
      <c r="AL49" s="171">
        <f>(AL48+AJ54)/(1+$E$54)^8</f>
        <v>-13.764291106068983</v>
      </c>
      <c r="AM49" s="171">
        <f>(AM48+AK54)/(1+$E$54)^9</f>
        <v>0.138266308666295</v>
      </c>
      <c r="AN49" s="171">
        <f>(AN48+AL54)/(1+$E$54)^10</f>
        <v>-1.9406012097883643</v>
      </c>
      <c r="AO49" s="171">
        <f>AO48/(E54-AC8)</f>
        <v>775.2180269261421</v>
      </c>
    </row>
    <row r="50" spans="2:41" ht="15" thickBot="1">
      <c r="B50" s="180" t="s">
        <v>154</v>
      </c>
      <c r="E50" s="98">
        <f>SUM(G49:P49)+Q49/(1+$E$54)^10</f>
        <v>1008.910954450253</v>
      </c>
      <c r="H50" s="32"/>
      <c r="I50" s="32"/>
      <c r="J50" s="32"/>
      <c r="K50" s="32"/>
      <c r="L50" s="32"/>
      <c r="M50" s="32"/>
      <c r="N50" s="32"/>
      <c r="O50" s="32"/>
      <c r="P50" s="32"/>
      <c r="Q50" s="32"/>
      <c r="S50" s="98">
        <f>SUM(S49:AB49)+AC49/(1+$E$54)^10</f>
        <v>3760.001571394936</v>
      </c>
      <c r="T50" s="32"/>
      <c r="U50" s="32"/>
      <c r="V50" s="32"/>
      <c r="W50" s="32"/>
      <c r="X50" s="32"/>
      <c r="Y50" s="32"/>
      <c r="Z50" s="32"/>
      <c r="AA50" s="32"/>
      <c r="AB50" s="32"/>
      <c r="AC50" s="32"/>
      <c r="AE50" s="170">
        <f>SUM(AE49:AN49)+AO49/(1+$E$54)^10</f>
        <v>200.7429049953254</v>
      </c>
      <c r="AF50" s="32"/>
      <c r="AG50" s="32"/>
      <c r="AH50" s="32"/>
      <c r="AI50" s="32"/>
      <c r="AJ50" s="32"/>
      <c r="AK50" s="32"/>
      <c r="AL50" s="32"/>
      <c r="AM50" s="32"/>
      <c r="AN50" s="32"/>
      <c r="AO50" s="32"/>
    </row>
    <row r="51" spans="2:41" ht="15" thickTop="1">
      <c r="B51" s="174" t="s">
        <v>155</v>
      </c>
      <c r="E51" s="91">
        <f>E50-E56</f>
        <v>940.01095445025305</v>
      </c>
      <c r="H51" s="32"/>
      <c r="I51" s="32"/>
      <c r="J51" s="32"/>
      <c r="K51" s="32"/>
      <c r="L51" s="32"/>
      <c r="M51" s="32"/>
      <c r="N51" s="32"/>
      <c r="O51" s="32"/>
      <c r="P51" s="32"/>
      <c r="Q51" s="32"/>
      <c r="S51" s="91">
        <f>S50-O56</f>
        <v>3760.001571394936</v>
      </c>
      <c r="T51" s="32"/>
      <c r="U51" s="32"/>
      <c r="V51" s="32"/>
      <c r="W51" s="32"/>
      <c r="X51" s="32"/>
      <c r="Y51" s="32"/>
      <c r="Z51" s="32"/>
      <c r="AA51" s="32"/>
      <c r="AB51" s="32"/>
      <c r="AC51" s="32"/>
      <c r="AE51" s="158">
        <f>AE50-AA56</f>
        <v>200.7429049953254</v>
      </c>
      <c r="AF51" s="32"/>
      <c r="AG51" s="32"/>
      <c r="AH51" s="32"/>
      <c r="AI51" s="32"/>
      <c r="AJ51" s="32"/>
      <c r="AK51" s="32"/>
      <c r="AL51" s="32"/>
      <c r="AM51" s="32"/>
      <c r="AN51" s="32"/>
      <c r="AO51" s="32"/>
    </row>
    <row r="52" spans="2:41" ht="15" thickBot="1">
      <c r="B52" s="181" t="s">
        <v>156</v>
      </c>
      <c r="E52" s="98">
        <f>E51/59.1</f>
        <v>15.90543070135792</v>
      </c>
      <c r="H52" s="32"/>
      <c r="I52" s="32"/>
      <c r="J52" s="32"/>
      <c r="K52" s="32"/>
      <c r="L52" s="32"/>
      <c r="M52" s="32"/>
      <c r="N52" s="32"/>
      <c r="O52" s="32"/>
      <c r="P52" s="32"/>
      <c r="Q52" s="32"/>
      <c r="S52" s="98">
        <f>S51/59.1</f>
        <v>63.621007976225648</v>
      </c>
      <c r="T52" s="32"/>
      <c r="U52" s="32"/>
      <c r="V52" s="32"/>
      <c r="W52" s="32"/>
      <c r="X52" s="32"/>
      <c r="Y52" s="32"/>
      <c r="Z52" s="32"/>
      <c r="AA52" s="32"/>
      <c r="AB52" s="32"/>
      <c r="AC52" s="32"/>
      <c r="AE52" s="157">
        <f>AE51/59.1</f>
        <v>3.3966650591425616</v>
      </c>
      <c r="AF52" s="32"/>
      <c r="AG52" s="32"/>
      <c r="AH52" s="32"/>
      <c r="AI52" s="32"/>
      <c r="AJ52" s="32"/>
      <c r="AK52" s="32"/>
      <c r="AL52" s="32"/>
      <c r="AM52" s="32"/>
      <c r="AN52" s="32"/>
      <c r="AO52" s="32"/>
    </row>
    <row r="53" spans="2:41" ht="15" thickBot="1">
      <c r="F53" s="4"/>
      <c r="G53" s="4"/>
      <c r="H53" s="4"/>
      <c r="I53" s="4"/>
      <c r="S53" s="32"/>
      <c r="T53" s="37"/>
      <c r="U53" s="155"/>
      <c r="V53" s="32"/>
      <c r="W53" s="32"/>
      <c r="X53" s="32"/>
      <c r="Y53" s="32"/>
      <c r="Z53" s="32"/>
      <c r="AA53" s="32"/>
      <c r="AB53" s="32"/>
      <c r="AC53" s="32"/>
      <c r="AE53" s="32"/>
      <c r="AF53" s="156"/>
      <c r="AG53" s="156"/>
      <c r="AH53" s="156"/>
      <c r="AI53" s="32"/>
      <c r="AJ53" s="156"/>
      <c r="AK53" s="156"/>
      <c r="AL53" s="156"/>
      <c r="AM53" s="156"/>
      <c r="AN53" s="156"/>
      <c r="AO53" s="156"/>
    </row>
    <row r="54" spans="2:41" ht="15" thickBot="1">
      <c r="B54" s="81" t="s">
        <v>150</v>
      </c>
      <c r="E54" s="85">
        <f>(E57*E59)+(E58*(1-E61)*E60)</f>
        <v>5.5149342108271646E-2</v>
      </c>
      <c r="S54" s="32"/>
      <c r="T54" s="37"/>
      <c r="U54" s="155"/>
      <c r="V54" s="156"/>
      <c r="W54" s="32"/>
      <c r="X54" s="32"/>
      <c r="Y54" s="32"/>
      <c r="Z54" s="32"/>
      <c r="AA54" s="32"/>
      <c r="AB54" s="32"/>
      <c r="AC54" s="32"/>
      <c r="AE54" s="32"/>
      <c r="AF54" s="156"/>
      <c r="AG54" s="156"/>
      <c r="AH54" s="156"/>
      <c r="AI54" s="32"/>
      <c r="AJ54" s="156"/>
      <c r="AK54" s="156"/>
      <c r="AL54" s="156"/>
      <c r="AM54" s="156"/>
      <c r="AN54" s="156"/>
      <c r="AO54" s="156"/>
    </row>
    <row r="55" spans="2:41">
      <c r="B55" s="35" t="s">
        <v>143</v>
      </c>
      <c r="E55" s="75">
        <v>466.42699199999998</v>
      </c>
      <c r="J55" s="37"/>
      <c r="S55"/>
      <c r="T55"/>
      <c r="U55"/>
      <c r="V55"/>
      <c r="AE55" s="32"/>
      <c r="AF55"/>
      <c r="AG55"/>
      <c r="AH55"/>
      <c r="AI55" s="32"/>
    </row>
    <row r="56" spans="2:41">
      <c r="B56" s="35" t="s">
        <v>144</v>
      </c>
      <c r="E56" s="36">
        <f>BS!F32+BS!F33+BS!F34+BS!F27+BS!F28+BS!F25</f>
        <v>68.899999999999991</v>
      </c>
      <c r="J56" s="32"/>
      <c r="S56"/>
      <c r="T56"/>
      <c r="U56"/>
      <c r="V56"/>
      <c r="AE56" s="32"/>
      <c r="AF56"/>
      <c r="AG56"/>
      <c r="AH56"/>
      <c r="AI56" s="32"/>
    </row>
    <row r="57" spans="2:41">
      <c r="B57" s="35" t="s">
        <v>145</v>
      </c>
      <c r="E57" s="38">
        <f>E55/(E55+E56)</f>
        <v>0.8712936186113327</v>
      </c>
      <c r="J57" s="25"/>
      <c r="S57"/>
      <c r="T57"/>
      <c r="U57"/>
      <c r="V57"/>
      <c r="AE57"/>
      <c r="AF57"/>
      <c r="AG57"/>
      <c r="AH57"/>
    </row>
    <row r="58" spans="2:41">
      <c r="B58" s="35" t="s">
        <v>146</v>
      </c>
      <c r="E58" s="86">
        <f>1-E57</f>
        <v>0.1287063813886673</v>
      </c>
      <c r="J58" s="82"/>
      <c r="S58"/>
      <c r="T58"/>
      <c r="U58"/>
      <c r="V58"/>
      <c r="AE58"/>
      <c r="AF58"/>
      <c r="AG58"/>
      <c r="AH58"/>
    </row>
    <row r="59" spans="2:41">
      <c r="B59" s="35" t="s">
        <v>147</v>
      </c>
      <c r="E59" s="87">
        <f>BS!S33*BS!S35+BS!S34</f>
        <v>5.7299999999999997E-2</v>
      </c>
      <c r="J59" s="84"/>
      <c r="S59"/>
      <c r="T59"/>
      <c r="U59"/>
      <c r="V59"/>
      <c r="AE59"/>
      <c r="AF59"/>
      <c r="AG59"/>
      <c r="AH59"/>
    </row>
    <row r="60" spans="2:41">
      <c r="B60" s="35" t="s">
        <v>148</v>
      </c>
      <c r="E60" s="88">
        <v>5.5300000000000002E-2</v>
      </c>
      <c r="J60" s="83"/>
      <c r="S60"/>
      <c r="T60"/>
      <c r="U60"/>
      <c r="V60"/>
      <c r="AE60"/>
      <c r="AF60"/>
      <c r="AG60"/>
      <c r="AH60"/>
    </row>
    <row r="61" spans="2:41" ht="15" thickBot="1">
      <c r="B61" s="45" t="s">
        <v>149</v>
      </c>
      <c r="E61" s="89">
        <f>BS!S26</f>
        <v>0.26600000000000001</v>
      </c>
      <c r="J61" s="83"/>
      <c r="S61"/>
      <c r="T61"/>
      <c r="U61"/>
      <c r="V61"/>
      <c r="AE61"/>
      <c r="AF61"/>
      <c r="AG61"/>
      <c r="AH61"/>
    </row>
    <row r="62" spans="2:41" ht="15" thickBot="1">
      <c r="S62"/>
      <c r="T62"/>
      <c r="U62"/>
      <c r="V62"/>
      <c r="AE62"/>
      <c r="AF62"/>
      <c r="AG62"/>
      <c r="AH62"/>
    </row>
    <row r="63" spans="2:41">
      <c r="B63" s="48" t="s">
        <v>46</v>
      </c>
      <c r="E63" s="49"/>
      <c r="F63" s="49" t="s">
        <v>47</v>
      </c>
      <c r="G63" s="50" t="s">
        <v>48</v>
      </c>
      <c r="S63"/>
      <c r="T63"/>
      <c r="U63"/>
      <c r="V63"/>
      <c r="AE63"/>
      <c r="AF63"/>
      <c r="AG63"/>
      <c r="AH63"/>
    </row>
    <row r="64" spans="2:41">
      <c r="B64" s="35" t="s">
        <v>49</v>
      </c>
      <c r="E64" s="32"/>
      <c r="F64" s="32"/>
      <c r="G64" s="36"/>
      <c r="S64"/>
      <c r="T64"/>
      <c r="U64"/>
      <c r="V64"/>
      <c r="AE64"/>
      <c r="AF64"/>
      <c r="AG64"/>
      <c r="AH64"/>
    </row>
    <row r="65" spans="2:34">
      <c r="B65" s="35" t="s">
        <v>50</v>
      </c>
      <c r="E65" s="32"/>
      <c r="F65" s="32"/>
      <c r="G65" s="36"/>
      <c r="S65"/>
      <c r="T65"/>
      <c r="U65"/>
      <c r="V65"/>
      <c r="AE65"/>
      <c r="AF65"/>
      <c r="AG65"/>
      <c r="AH65"/>
    </row>
    <row r="66" spans="2:34">
      <c r="B66" s="35" t="s">
        <v>51</v>
      </c>
      <c r="E66" s="32"/>
      <c r="F66" s="32"/>
      <c r="G66" s="36"/>
      <c r="S66"/>
      <c r="T66"/>
      <c r="U66"/>
      <c r="V66"/>
      <c r="AE66"/>
      <c r="AF66"/>
      <c r="AG66"/>
      <c r="AH66"/>
    </row>
    <row r="67" spans="2:34" ht="15" thickBot="1">
      <c r="B67" s="51" t="s">
        <v>52</v>
      </c>
      <c r="E67" s="52"/>
      <c r="F67" s="52"/>
      <c r="G67" s="53"/>
      <c r="S67"/>
      <c r="T67"/>
      <c r="U67"/>
      <c r="V67"/>
      <c r="AE67"/>
      <c r="AF67"/>
      <c r="AG67"/>
      <c r="AH67"/>
    </row>
    <row r="68" spans="2:34" ht="15" thickBot="1">
      <c r="S68"/>
      <c r="T68"/>
      <c r="U68"/>
      <c r="V68"/>
      <c r="AE68"/>
      <c r="AF68"/>
      <c r="AG68"/>
      <c r="AH68"/>
    </row>
    <row r="69" spans="2:34">
      <c r="B69" s="48" t="s">
        <v>53</v>
      </c>
      <c r="E69" s="54"/>
      <c r="F69" s="49" t="s">
        <v>54</v>
      </c>
      <c r="G69" s="49" t="s">
        <v>34</v>
      </c>
      <c r="H69" s="50" t="s">
        <v>55</v>
      </c>
      <c r="S69"/>
      <c r="T69"/>
      <c r="U69"/>
      <c r="V69"/>
      <c r="AE69"/>
      <c r="AF69"/>
      <c r="AG69"/>
      <c r="AH69"/>
    </row>
    <row r="70" spans="2:34">
      <c r="B70" s="35" t="s">
        <v>56</v>
      </c>
      <c r="E70" s="32"/>
      <c r="F70" s="32"/>
      <c r="G70" s="32"/>
      <c r="H70" s="36"/>
      <c r="S70"/>
      <c r="T70"/>
      <c r="U70"/>
      <c r="V70"/>
      <c r="AE70"/>
      <c r="AF70"/>
      <c r="AG70"/>
      <c r="AH70"/>
    </row>
    <row r="71" spans="2:34">
      <c r="B71" s="35" t="s">
        <v>57</v>
      </c>
      <c r="E71" s="32"/>
      <c r="F71" s="32"/>
      <c r="G71" s="32"/>
      <c r="H71" s="36"/>
      <c r="S71"/>
      <c r="T71"/>
      <c r="U71"/>
      <c r="V71"/>
      <c r="AE71"/>
      <c r="AF71"/>
      <c r="AG71"/>
      <c r="AH71"/>
    </row>
    <row r="72" spans="2:34" ht="15" thickBot="1">
      <c r="B72" s="45" t="s">
        <v>58</v>
      </c>
      <c r="E72" s="46"/>
      <c r="F72" s="46"/>
      <c r="G72" s="46"/>
      <c r="H72" s="47"/>
      <c r="S72"/>
      <c r="T72"/>
      <c r="U72"/>
      <c r="V72"/>
      <c r="AE72"/>
      <c r="AF72"/>
      <c r="AG72"/>
      <c r="AH72"/>
    </row>
    <row r="73" spans="2:34">
      <c r="S73"/>
      <c r="T73"/>
      <c r="U73"/>
      <c r="V73"/>
      <c r="AE73"/>
      <c r="AF73"/>
      <c r="AG73"/>
      <c r="AH73"/>
    </row>
    <row r="74" spans="2:34">
      <c r="S74"/>
      <c r="T74"/>
      <c r="U74"/>
      <c r="V74"/>
      <c r="AE74"/>
      <c r="AF74"/>
      <c r="AG74"/>
      <c r="AH74"/>
    </row>
  </sheetData>
  <mergeCells count="3">
    <mergeCell ref="AE1:AO1"/>
    <mergeCell ref="S1:AC1"/>
    <mergeCell ref="G1:Q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3DCE75-FC1F-49C1-8484-385340B0506E}">
  <dimension ref="B1:AS44"/>
  <sheetViews>
    <sheetView showGridLines="0" topLeftCell="A17" zoomScale="70" zoomScaleNormal="70" workbookViewId="0">
      <selection activeCell="A45" sqref="A45:XFD1048576"/>
    </sheetView>
  </sheetViews>
  <sheetFormatPr defaultRowHeight="14.5"/>
  <cols>
    <col min="1" max="1" width="8.7265625" style="2"/>
    <col min="2" max="2" width="34.90625" style="1" customWidth="1"/>
    <col min="3" max="11" width="8.7265625" style="1"/>
    <col min="17" max="17" width="8.7265625" style="2"/>
    <col min="18" max="18" width="63.1796875" style="2" customWidth="1"/>
    <col min="19" max="19" width="8.7265625" style="2"/>
    <col min="20" max="20" width="12.6328125" style="2" customWidth="1"/>
    <col min="21" max="16384" width="8.7265625" style="2"/>
  </cols>
  <sheetData>
    <row r="1" spans="2:43">
      <c r="X1" s="3" t="s">
        <v>157</v>
      </c>
      <c r="Y1" s="3"/>
      <c r="AJ1" s="18" t="s">
        <v>82</v>
      </c>
      <c r="AK1" s="18"/>
      <c r="AL1" s="18"/>
      <c r="AM1" s="18"/>
      <c r="AN1" s="18"/>
      <c r="AO1"/>
      <c r="AP1"/>
      <c r="AQ1"/>
    </row>
    <row r="2" spans="2:43">
      <c r="B2" s="60" t="s">
        <v>32</v>
      </c>
      <c r="C2" s="60" t="s">
        <v>30</v>
      </c>
      <c r="D2" s="60" t="s">
        <v>29</v>
      </c>
      <c r="E2" s="60" t="s">
        <v>28</v>
      </c>
      <c r="F2" s="5" t="s">
        <v>59</v>
      </c>
      <c r="G2" s="69" t="s">
        <v>125</v>
      </c>
      <c r="H2" s="69" t="s">
        <v>126</v>
      </c>
      <c r="I2" s="69" t="s">
        <v>127</v>
      </c>
      <c r="J2" s="69" t="s">
        <v>128</v>
      </c>
      <c r="K2" s="69" t="s">
        <v>129</v>
      </c>
      <c r="R2" s="3" t="s">
        <v>119</v>
      </c>
      <c r="S2" s="17" t="s">
        <v>121</v>
      </c>
      <c r="X2" s="2" t="s">
        <v>158</v>
      </c>
      <c r="AJ2" s="18" t="s">
        <v>83</v>
      </c>
      <c r="AK2" s="18"/>
      <c r="AL2" s="18"/>
      <c r="AM2" s="18"/>
      <c r="AN2" s="18"/>
      <c r="AO2"/>
      <c r="AP2"/>
      <c r="AQ2"/>
    </row>
    <row r="3" spans="2:43">
      <c r="B3"/>
      <c r="C3"/>
      <c r="D3"/>
      <c r="E3"/>
      <c r="G3"/>
      <c r="H3"/>
      <c r="I3"/>
      <c r="J3"/>
      <c r="K3"/>
      <c r="R3" s="2" t="s">
        <v>120</v>
      </c>
      <c r="S3" s="66">
        <f>45.4/2.24</f>
        <v>20.267857142857139</v>
      </c>
      <c r="X3" s="2" t="s">
        <v>159</v>
      </c>
      <c r="AJ3" s="18" t="s">
        <v>84</v>
      </c>
      <c r="AK3" s="18"/>
      <c r="AL3" s="18"/>
      <c r="AM3" s="18"/>
      <c r="AN3" s="18"/>
      <c r="AO3"/>
      <c r="AP3"/>
      <c r="AQ3"/>
    </row>
    <row r="4" spans="2:43">
      <c r="B4" t="s">
        <v>27</v>
      </c>
      <c r="C4"/>
      <c r="D4"/>
      <c r="E4">
        <v>45.1</v>
      </c>
      <c r="F4" s="1">
        <v>77.900000000000006</v>
      </c>
      <c r="G4"/>
      <c r="H4"/>
      <c r="I4"/>
      <c r="J4"/>
      <c r="K4"/>
      <c r="R4" s="2" t="s">
        <v>122</v>
      </c>
      <c r="S4" s="66">
        <f>27.3/1.8</f>
        <v>15.166666666666666</v>
      </c>
      <c r="X4" s="2" t="s">
        <v>160</v>
      </c>
      <c r="AJ4" s="18" t="s">
        <v>85</v>
      </c>
      <c r="AK4" s="18"/>
      <c r="AL4" s="18"/>
      <c r="AM4" s="18"/>
      <c r="AN4" s="18"/>
      <c r="AO4"/>
      <c r="AP4"/>
      <c r="AQ4"/>
    </row>
    <row r="5" spans="2:43" ht="15" thickBot="1">
      <c r="B5" t="s">
        <v>26</v>
      </c>
      <c r="C5"/>
      <c r="D5"/>
      <c r="E5"/>
      <c r="G5"/>
      <c r="H5"/>
      <c r="I5"/>
      <c r="J5"/>
      <c r="K5"/>
      <c r="S5" s="67">
        <f>(S3+S4)/2</f>
        <v>17.717261904761902</v>
      </c>
      <c r="U5" s="10"/>
      <c r="X5" s="2" t="s">
        <v>161</v>
      </c>
      <c r="AJ5" s="18" t="s">
        <v>86</v>
      </c>
      <c r="AK5" s="18"/>
      <c r="AL5" s="18"/>
      <c r="AM5" s="18"/>
      <c r="AN5" s="18"/>
      <c r="AO5"/>
      <c r="AP5"/>
      <c r="AQ5"/>
    </row>
    <row r="6" spans="2:43" ht="15" thickTop="1">
      <c r="B6" t="s">
        <v>25</v>
      </c>
      <c r="C6"/>
      <c r="D6"/>
      <c r="E6">
        <f>E4</f>
        <v>45.1</v>
      </c>
      <c r="F6" s="1">
        <f>F4</f>
        <v>77.900000000000006</v>
      </c>
      <c r="G6"/>
      <c r="H6"/>
      <c r="I6"/>
      <c r="J6"/>
      <c r="K6"/>
      <c r="X6" s="2" t="s">
        <v>162</v>
      </c>
      <c r="AJ6" s="18" t="s">
        <v>87</v>
      </c>
      <c r="AK6" s="18"/>
      <c r="AL6" s="18"/>
      <c r="AM6" s="18"/>
      <c r="AN6" s="18"/>
      <c r="AO6"/>
      <c r="AP6"/>
      <c r="AQ6"/>
    </row>
    <row r="7" spans="2:43">
      <c r="B7" t="s">
        <v>24</v>
      </c>
      <c r="C7"/>
      <c r="D7"/>
      <c r="E7">
        <v>2.6</v>
      </c>
      <c r="F7" s="1">
        <v>4.8</v>
      </c>
      <c r="G7"/>
      <c r="H7"/>
      <c r="I7"/>
      <c r="J7"/>
      <c r="K7"/>
      <c r="R7" s="2" t="s">
        <v>123</v>
      </c>
      <c r="S7" s="9">
        <f>-(F14+F16)/(F13+F15)</f>
        <v>0.12093227792436234</v>
      </c>
      <c r="X7" s="2" t="s">
        <v>163</v>
      </c>
      <c r="AJ7" s="18" t="s">
        <v>88</v>
      </c>
      <c r="AK7" s="18"/>
      <c r="AL7" s="18"/>
      <c r="AM7" s="18"/>
      <c r="AN7" s="18"/>
      <c r="AO7"/>
      <c r="AP7"/>
      <c r="AQ7"/>
    </row>
    <row r="8" spans="2:43">
      <c r="B8" t="s">
        <v>23</v>
      </c>
      <c r="C8"/>
      <c r="D8"/>
      <c r="E8">
        <v>4.7</v>
      </c>
      <c r="F8" s="1">
        <v>6.9</v>
      </c>
      <c r="G8"/>
      <c r="H8"/>
      <c r="I8"/>
      <c r="J8"/>
      <c r="K8"/>
      <c r="R8" s="2" t="s">
        <v>124</v>
      </c>
      <c r="S8" s="9">
        <f>-(E14+E16)/(E13+E15)</f>
        <v>9.5238095238095247E-2</v>
      </c>
      <c r="X8" s="2" t="s">
        <v>164</v>
      </c>
      <c r="AJ8" s="18" t="s">
        <v>89</v>
      </c>
      <c r="AK8" s="18"/>
      <c r="AL8" s="18"/>
      <c r="AM8" s="18"/>
      <c r="AN8" s="18"/>
      <c r="AO8"/>
      <c r="AP8"/>
      <c r="AQ8"/>
    </row>
    <row r="9" spans="2:43" ht="15" thickBot="1">
      <c r="B9" t="s">
        <v>22</v>
      </c>
      <c r="C9"/>
      <c r="D9"/>
      <c r="E9">
        <v>0</v>
      </c>
      <c r="G9"/>
      <c r="H9"/>
      <c r="I9"/>
      <c r="J9"/>
      <c r="K9"/>
      <c r="S9" s="68">
        <f>(S7+S8)/2</f>
        <v>0.10808518658122879</v>
      </c>
      <c r="X9" s="2" t="s">
        <v>165</v>
      </c>
      <c r="AJ9" s="18" t="s">
        <v>90</v>
      </c>
      <c r="AK9" s="18"/>
      <c r="AL9" s="18"/>
      <c r="AM9" s="18"/>
      <c r="AN9" s="18"/>
      <c r="AO9"/>
      <c r="AP9"/>
      <c r="AQ9"/>
    </row>
    <row r="10" spans="2:43" ht="15" thickTop="1">
      <c r="B10" t="s">
        <v>21</v>
      </c>
      <c r="C10"/>
      <c r="D10"/>
      <c r="E10">
        <v>0.3</v>
      </c>
      <c r="F10" s="1">
        <v>0.6</v>
      </c>
      <c r="G10"/>
      <c r="H10"/>
      <c r="I10"/>
      <c r="J10"/>
      <c r="K10"/>
      <c r="X10" s="2" t="s">
        <v>166</v>
      </c>
      <c r="AJ10" s="18" t="s">
        <v>91</v>
      </c>
      <c r="AK10" s="18"/>
      <c r="AL10" s="18"/>
      <c r="AM10" s="18"/>
      <c r="AN10" s="18"/>
      <c r="AO10"/>
      <c r="AP10"/>
      <c r="AQ10"/>
    </row>
    <row r="11" spans="2:43" ht="15" thickBot="1">
      <c r="B11" s="56" t="s">
        <v>20</v>
      </c>
      <c r="C11" s="57"/>
      <c r="D11" s="57"/>
      <c r="E11" s="61">
        <f>SUM(E6:E10)</f>
        <v>52.7</v>
      </c>
      <c r="F11" s="61">
        <f>SUM(F6:F10)</f>
        <v>90.2</v>
      </c>
      <c r="G11" s="57"/>
      <c r="H11" s="57"/>
      <c r="I11" s="57"/>
      <c r="J11" s="57"/>
      <c r="K11" s="57"/>
      <c r="R11" s="3" t="s">
        <v>2</v>
      </c>
      <c r="X11" s="2" t="s">
        <v>167</v>
      </c>
      <c r="AJ11" s="18" t="s">
        <v>92</v>
      </c>
      <c r="AK11" s="18"/>
      <c r="AL11" s="18"/>
      <c r="AM11" s="18"/>
      <c r="AN11" s="18"/>
      <c r="AO11"/>
      <c r="AP11"/>
      <c r="AQ11"/>
    </row>
    <row r="12" spans="2:43" ht="15" thickTop="1">
      <c r="B12" t="s">
        <v>106</v>
      </c>
      <c r="C12"/>
      <c r="D12"/>
      <c r="E12">
        <v>2.5</v>
      </c>
      <c r="F12" s="1">
        <v>2.5</v>
      </c>
      <c r="G12" s="72">
        <f>F12</f>
        <v>2.5</v>
      </c>
      <c r="H12" s="72">
        <f t="shared" ref="H12:K12" si="0">G12</f>
        <v>2.5</v>
      </c>
      <c r="I12" s="72">
        <f t="shared" si="0"/>
        <v>2.5</v>
      </c>
      <c r="J12" s="72">
        <f t="shared" si="0"/>
        <v>2.5</v>
      </c>
      <c r="K12" s="72">
        <f t="shared" si="0"/>
        <v>2.5</v>
      </c>
      <c r="R12" s="2" t="s">
        <v>130</v>
      </c>
      <c r="X12" s="2" t="s">
        <v>168</v>
      </c>
      <c r="AJ12" s="18" t="s">
        <v>96</v>
      </c>
      <c r="AK12" s="18"/>
      <c r="AL12" s="18"/>
      <c r="AM12" s="18"/>
      <c r="AN12" s="18"/>
      <c r="AO12"/>
      <c r="AP12"/>
      <c r="AQ12"/>
    </row>
    <row r="13" spans="2:43">
      <c r="B13" t="s">
        <v>108</v>
      </c>
      <c r="C13"/>
      <c r="D13"/>
      <c r="E13">
        <v>15.2</v>
      </c>
      <c r="F13" s="62">
        <v>21.28</v>
      </c>
      <c r="G13" s="73"/>
      <c r="H13" s="73"/>
      <c r="I13" s="73"/>
      <c r="J13" s="73"/>
      <c r="K13" s="73"/>
      <c r="X13" s="2" t="s">
        <v>169</v>
      </c>
      <c r="AJ13" s="18" t="s">
        <v>95</v>
      </c>
      <c r="AK13" s="18"/>
      <c r="AL13" s="18"/>
      <c r="AM13" s="18"/>
      <c r="AN13" s="18"/>
      <c r="AO13"/>
      <c r="AP13"/>
      <c r="AQ13"/>
    </row>
    <row r="14" spans="2:43">
      <c r="B14" t="s">
        <v>19</v>
      </c>
      <c r="C14"/>
      <c r="D14"/>
      <c r="E14">
        <v>-1.6</v>
      </c>
      <c r="F14" s="1">
        <v>-3.3</v>
      </c>
      <c r="G14" s="73"/>
      <c r="H14" s="73"/>
      <c r="I14" s="73"/>
      <c r="J14" s="73"/>
      <c r="K14" s="73"/>
      <c r="R14" s="3" t="s">
        <v>131</v>
      </c>
      <c r="V14" s="10"/>
      <c r="X14" s="2" t="s">
        <v>170</v>
      </c>
      <c r="AJ14" s="18"/>
      <c r="AK14" s="18"/>
      <c r="AL14" s="18"/>
      <c r="AM14" s="18"/>
      <c r="AN14" s="18"/>
      <c r="AO14"/>
      <c r="AP14"/>
      <c r="AQ14"/>
    </row>
    <row r="15" spans="2:43">
      <c r="B15" t="s">
        <v>109</v>
      </c>
      <c r="C15"/>
      <c r="D15"/>
      <c r="E15">
        <v>12.1</v>
      </c>
      <c r="F15" s="62">
        <f>11.1+13.1</f>
        <v>24.2</v>
      </c>
      <c r="G15" s="73"/>
      <c r="H15" s="73"/>
      <c r="I15" s="73"/>
      <c r="J15" s="73"/>
      <c r="K15" s="73"/>
      <c r="R15" s="2" t="s">
        <v>132</v>
      </c>
      <c r="T15" s="2" t="s">
        <v>216</v>
      </c>
      <c r="X15" s="2" t="s">
        <v>171</v>
      </c>
      <c r="AJ15" s="18"/>
      <c r="AK15" s="18"/>
      <c r="AL15" s="18"/>
      <c r="AM15" s="18"/>
      <c r="AN15" s="18"/>
      <c r="AO15"/>
      <c r="AP15"/>
      <c r="AQ15"/>
    </row>
    <row r="16" spans="2:43">
      <c r="B16" t="s">
        <v>19</v>
      </c>
      <c r="C16"/>
      <c r="D16"/>
      <c r="E16">
        <v>-1</v>
      </c>
      <c r="F16" s="1">
        <v>-2.2000000000000002</v>
      </c>
      <c r="G16" s="73"/>
      <c r="H16" s="73"/>
      <c r="I16" s="73"/>
      <c r="J16" s="73"/>
      <c r="K16" s="73"/>
      <c r="R16" s="2" t="s">
        <v>133</v>
      </c>
      <c r="S16" s="10">
        <f>(F7+F8)-F24</f>
        <v>-30.27</v>
      </c>
      <c r="T16" s="9">
        <f>S17/Model!F27</f>
        <v>-8.1170802099340578E-2</v>
      </c>
      <c r="U16" s="8"/>
      <c r="X16" s="2" t="s">
        <v>172</v>
      </c>
      <c r="AJ16" s="18" t="s">
        <v>97</v>
      </c>
      <c r="AK16" s="18"/>
      <c r="AL16" s="18"/>
      <c r="AM16" s="18"/>
      <c r="AN16" s="18"/>
      <c r="AO16"/>
      <c r="AP16"/>
      <c r="AQ16"/>
    </row>
    <row r="17" spans="2:45">
      <c r="B17" s="70" t="s">
        <v>18</v>
      </c>
      <c r="C17" s="70"/>
      <c r="D17" s="70"/>
      <c r="E17" s="74">
        <f>11.1+13.6</f>
        <v>24.7</v>
      </c>
      <c r="F17" s="74">
        <f>SUM(F13:F16)</f>
        <v>39.979999999999997</v>
      </c>
      <c r="G17" s="71">
        <f>$S$5*Model!G25*(1-$S$9)</f>
        <v>84.792394328694314</v>
      </c>
      <c r="H17" s="71">
        <f>$S$5*Model!H25*(1-$S$9)</f>
        <v>125.50348795606374</v>
      </c>
      <c r="I17" s="71">
        <f>$S$5*Model!I25*(1-$S$9)</f>
        <v>186.47363055326124</v>
      </c>
      <c r="J17" s="71">
        <f>$S$5*Model!J25*(1-$S$9)</f>
        <v>278.24803607937218</v>
      </c>
      <c r="K17" s="71">
        <f>$S$5*Model!K25*(1-$S$9)</f>
        <v>417.15231937937881</v>
      </c>
      <c r="R17" s="2" t="s">
        <v>134</v>
      </c>
      <c r="S17" s="10">
        <f>(E7+E8)-E24</f>
        <v>-23.4</v>
      </c>
      <c r="T17" s="9">
        <f>S17/Model!E27</f>
        <v>-0.14504162198682227</v>
      </c>
      <c r="U17" s="8"/>
      <c r="X17" s="2" t="s">
        <v>173</v>
      </c>
      <c r="AJ17" s="18" t="s">
        <v>98</v>
      </c>
      <c r="AK17" s="18"/>
      <c r="AL17" s="18"/>
      <c r="AM17" s="18"/>
      <c r="AN17" s="18"/>
      <c r="AO17"/>
      <c r="AP17"/>
      <c r="AQ17"/>
    </row>
    <row r="18" spans="2:45" ht="15" thickBot="1">
      <c r="B18" t="s">
        <v>17</v>
      </c>
      <c r="C18"/>
      <c r="D18"/>
      <c r="E18">
        <v>0.5</v>
      </c>
      <c r="F18" s="1">
        <v>1.5</v>
      </c>
      <c r="G18"/>
      <c r="H18"/>
      <c r="I18"/>
      <c r="J18"/>
      <c r="K18"/>
      <c r="S18" s="76">
        <f>AVERAGE(S17:S17)</f>
        <v>-23.4</v>
      </c>
      <c r="T18" s="79">
        <f>AVERAGE(T16:T17)</f>
        <v>-0.11310621204308142</v>
      </c>
      <c r="X18" s="2" t="s">
        <v>174</v>
      </c>
      <c r="AJ18" s="18" t="s">
        <v>99</v>
      </c>
      <c r="AK18" s="18"/>
      <c r="AL18" s="18"/>
      <c r="AM18" s="18"/>
      <c r="AN18" s="18"/>
      <c r="AO18"/>
      <c r="AP18"/>
      <c r="AQ18"/>
    </row>
    <row r="19" spans="2:45" ht="15" thickTop="1">
      <c r="B19" t="s">
        <v>107</v>
      </c>
      <c r="C19"/>
      <c r="D19"/>
      <c r="E19">
        <v>0.4</v>
      </c>
      <c r="F19" s="1">
        <v>1.9</v>
      </c>
      <c r="G19"/>
      <c r="H19"/>
      <c r="I19"/>
      <c r="J19"/>
      <c r="K19"/>
      <c r="X19" s="2" t="s">
        <v>175</v>
      </c>
      <c r="AJ19" s="18"/>
      <c r="AK19" s="18"/>
      <c r="AL19" s="18"/>
      <c r="AM19" s="18"/>
      <c r="AN19" s="18"/>
      <c r="AO19"/>
      <c r="AP19"/>
      <c r="AQ19"/>
    </row>
    <row r="20" spans="2:45" ht="15" thickBot="1">
      <c r="B20" s="56" t="s">
        <v>16</v>
      </c>
      <c r="C20" s="57"/>
      <c r="D20" s="57"/>
      <c r="E20" s="61">
        <f>E12+E17+E18+E19</f>
        <v>28.099999999999998</v>
      </c>
      <c r="F20" s="61">
        <f>F12+F17+F18+F19</f>
        <v>45.879999999999995</v>
      </c>
      <c r="G20" s="57"/>
      <c r="H20" s="57"/>
      <c r="I20" s="57"/>
      <c r="J20" s="57"/>
      <c r="K20" s="57"/>
      <c r="R20" s="2" t="s">
        <v>135</v>
      </c>
      <c r="S20" s="8">
        <f>(S18*365)/Model!F27</f>
        <v>-29.627342766259314</v>
      </c>
      <c r="X20" s="2" t="s">
        <v>176</v>
      </c>
      <c r="AJ20" s="18"/>
      <c r="AK20" s="18"/>
      <c r="AL20" s="18"/>
      <c r="AM20" s="18"/>
      <c r="AN20" s="18"/>
      <c r="AO20"/>
      <c r="AP20"/>
      <c r="AQ20"/>
    </row>
    <row r="21" spans="2:45" ht="15.5" thickTop="1" thickBot="1">
      <c r="B21" s="58" t="s">
        <v>0</v>
      </c>
      <c r="C21" s="59"/>
      <c r="D21" s="59"/>
      <c r="E21" s="63">
        <f>E20+E11</f>
        <v>80.8</v>
      </c>
      <c r="F21" s="63">
        <f>F20+F11</f>
        <v>136.07999999999998</v>
      </c>
      <c r="G21" s="63"/>
      <c r="H21" s="63"/>
      <c r="I21" s="63"/>
      <c r="J21" s="63"/>
      <c r="K21" s="63"/>
      <c r="U21" s="8"/>
      <c r="X21" s="2" t="s">
        <v>177</v>
      </c>
      <c r="AJ21" s="18"/>
      <c r="AK21" s="18"/>
      <c r="AL21" s="18"/>
      <c r="AM21" s="18"/>
      <c r="AN21" s="18"/>
      <c r="AO21"/>
      <c r="AP21"/>
      <c r="AQ21"/>
    </row>
    <row r="22" spans="2:45" ht="15" thickTop="1">
      <c r="B22" t="s">
        <v>15</v>
      </c>
      <c r="C22"/>
      <c r="D22"/>
      <c r="E22"/>
      <c r="G22"/>
      <c r="H22"/>
      <c r="I22"/>
      <c r="J22"/>
      <c r="K22"/>
      <c r="R22" s="3" t="s">
        <v>136</v>
      </c>
      <c r="X22" s="2" t="s">
        <v>178</v>
      </c>
      <c r="AJ22" s="100">
        <f>(Model!K27/Model!G27)^0.25-1</f>
        <v>0.48930772073712481</v>
      </c>
      <c r="AK22" s="18"/>
      <c r="AL22" s="18"/>
      <c r="AM22" s="18"/>
      <c r="AN22" s="18"/>
      <c r="AO22"/>
      <c r="AP22"/>
      <c r="AQ22"/>
    </row>
    <row r="23" spans="2:45">
      <c r="B23" t="s">
        <v>14</v>
      </c>
      <c r="C23"/>
      <c r="D23"/>
      <c r="E23"/>
      <c r="G23"/>
      <c r="H23"/>
      <c r="I23"/>
      <c r="J23"/>
      <c r="K23"/>
      <c r="R23" s="2" t="s">
        <v>142</v>
      </c>
      <c r="X23" s="2" t="s">
        <v>179</v>
      </c>
      <c r="AJ23" s="18"/>
      <c r="AK23" s="18"/>
      <c r="AL23" s="18"/>
      <c r="AM23" s="18"/>
      <c r="AN23" s="18"/>
      <c r="AO23"/>
      <c r="AP23"/>
      <c r="AQ23"/>
    </row>
    <row r="24" spans="2:45">
      <c r="B24" t="s">
        <v>110</v>
      </c>
      <c r="C24"/>
      <c r="D24"/>
      <c r="E24">
        <v>30.7</v>
      </c>
      <c r="F24" s="1">
        <v>41.97</v>
      </c>
      <c r="G24"/>
      <c r="H24"/>
      <c r="I24"/>
      <c r="J24"/>
      <c r="K24"/>
      <c r="X24" s="2" t="s">
        <v>180</v>
      </c>
    </row>
    <row r="25" spans="2:45">
      <c r="B25" t="s">
        <v>111</v>
      </c>
      <c r="C25"/>
      <c r="D25"/>
      <c r="E25">
        <v>1.5</v>
      </c>
      <c r="F25" s="1">
        <v>9.1</v>
      </c>
      <c r="G25"/>
      <c r="H25"/>
      <c r="I25"/>
      <c r="J25"/>
      <c r="K25"/>
      <c r="R25" s="3" t="s">
        <v>137</v>
      </c>
      <c r="X25" s="2" t="s">
        <v>181</v>
      </c>
    </row>
    <row r="26" spans="2:45">
      <c r="B26" t="s">
        <v>31</v>
      </c>
      <c r="C26"/>
      <c r="D26"/>
      <c r="E26">
        <v>5.9</v>
      </c>
      <c r="F26" s="1">
        <v>8</v>
      </c>
      <c r="G26"/>
      <c r="H26"/>
      <c r="I26"/>
      <c r="J26"/>
      <c r="K26"/>
      <c r="R26" s="2" t="s">
        <v>138</v>
      </c>
      <c r="S26" s="77">
        <v>0.26600000000000001</v>
      </c>
      <c r="X26" s="2" t="s">
        <v>182</v>
      </c>
      <c r="AJ26" t="s">
        <v>68</v>
      </c>
      <c r="AK26"/>
      <c r="AL26"/>
      <c r="AM26"/>
      <c r="AN26"/>
      <c r="AO26"/>
      <c r="AP26"/>
      <c r="AQ26"/>
      <c r="AR26" t="s">
        <v>71</v>
      </c>
      <c r="AS26" s="12">
        <f>(Model!K6/Model!F6)^0.2-1</f>
        <v>0.46301908447107332</v>
      </c>
    </row>
    <row r="27" spans="2:45">
      <c r="B27" t="s">
        <v>112</v>
      </c>
      <c r="C27"/>
      <c r="D27"/>
      <c r="E27">
        <v>0.03</v>
      </c>
      <c r="F27" s="1">
        <v>0.5</v>
      </c>
      <c r="G27"/>
      <c r="H27"/>
      <c r="I27"/>
      <c r="J27"/>
      <c r="K27"/>
      <c r="R27" s="2" t="s">
        <v>139</v>
      </c>
      <c r="S27" s="9">
        <v>0</v>
      </c>
      <c r="AJ27" t="s">
        <v>69</v>
      </c>
      <c r="AK27"/>
      <c r="AL27"/>
      <c r="AM27"/>
      <c r="AN27"/>
      <c r="AO27"/>
      <c r="AP27"/>
      <c r="AQ27"/>
      <c r="AR27" t="s">
        <v>71</v>
      </c>
      <c r="AS27" s="12">
        <f>(Model!K7/Model!F7)^0.2-1</f>
        <v>0.41034979513458292</v>
      </c>
    </row>
    <row r="28" spans="2:45">
      <c r="B28" t="s">
        <v>113</v>
      </c>
      <c r="C28"/>
      <c r="D28"/>
      <c r="E28">
        <v>1.3</v>
      </c>
      <c r="F28" s="1">
        <v>3.1</v>
      </c>
      <c r="G28"/>
      <c r="H28"/>
      <c r="I28"/>
      <c r="J28"/>
      <c r="K28"/>
      <c r="AJ28" t="s">
        <v>70</v>
      </c>
      <c r="AK28"/>
      <c r="AP28" s="4"/>
      <c r="AQ28"/>
      <c r="AR28"/>
      <c r="AS28"/>
    </row>
    <row r="29" spans="2:45">
      <c r="B29" t="s">
        <v>13</v>
      </c>
      <c r="C29"/>
      <c r="D29"/>
      <c r="E29">
        <v>0</v>
      </c>
      <c r="F29" s="1">
        <v>0</v>
      </c>
      <c r="G29"/>
      <c r="H29"/>
      <c r="I29"/>
      <c r="J29"/>
      <c r="K29"/>
      <c r="R29" s="3" t="s">
        <v>140</v>
      </c>
      <c r="AJ29"/>
      <c r="AK29"/>
      <c r="AM29" s="9"/>
      <c r="AP29" s="9"/>
      <c r="AQ29"/>
      <c r="AR29"/>
      <c r="AS29"/>
    </row>
    <row r="30" spans="2:45" ht="15" thickBot="1">
      <c r="B30" s="56" t="s">
        <v>12</v>
      </c>
      <c r="C30" s="57"/>
      <c r="D30" s="57"/>
      <c r="E30" s="61">
        <f>SUM(E24:E29)</f>
        <v>39.43</v>
      </c>
      <c r="F30" s="61">
        <f>SUM(F24:F29)</f>
        <v>62.67</v>
      </c>
      <c r="G30" s="57"/>
      <c r="H30" s="57"/>
      <c r="I30" s="57"/>
      <c r="J30" s="57"/>
      <c r="K30" s="57"/>
      <c r="AJ30"/>
      <c r="AK30"/>
      <c r="AM30" s="10"/>
      <c r="AP30" s="4"/>
      <c r="AQ30"/>
      <c r="AR30"/>
      <c r="AS30"/>
    </row>
    <row r="31" spans="2:45" ht="15" thickTop="1">
      <c r="B31" t="s">
        <v>11</v>
      </c>
      <c r="C31"/>
      <c r="D31"/>
      <c r="E31"/>
      <c r="G31"/>
      <c r="H31"/>
      <c r="I31"/>
      <c r="J31"/>
      <c r="K31"/>
      <c r="AJ31" t="s">
        <v>72</v>
      </c>
      <c r="AK31"/>
      <c r="AM31" s="9"/>
      <c r="AP31" s="19"/>
      <c r="AQ31"/>
      <c r="AR31" t="s">
        <v>71</v>
      </c>
      <c r="AS31" s="12">
        <f>(Model!K18/Model!F18)^0.2-1</f>
        <v>0.41015716176099803</v>
      </c>
    </row>
    <row r="32" spans="2:45">
      <c r="B32" t="s">
        <v>10</v>
      </c>
      <c r="C32"/>
      <c r="D32"/>
      <c r="E32">
        <v>12.5</v>
      </c>
      <c r="F32" s="1">
        <v>12.1</v>
      </c>
      <c r="G32"/>
      <c r="H32"/>
      <c r="I32"/>
      <c r="J32"/>
      <c r="K32"/>
      <c r="R32" s="20" t="s">
        <v>75</v>
      </c>
      <c r="S32" s="21"/>
      <c r="AJ32"/>
      <c r="AK32"/>
      <c r="AM32" s="9"/>
      <c r="AP32" s="19"/>
      <c r="AQ32"/>
      <c r="AR32" t="s">
        <v>71</v>
      </c>
      <c r="AS32" s="12">
        <f>(Model!K20/Model!F20)^0.2-1</f>
        <v>0.73260324582606962</v>
      </c>
    </row>
    <row r="33" spans="2:44">
      <c r="B33" t="s">
        <v>114</v>
      </c>
      <c r="C33"/>
      <c r="D33"/>
      <c r="E33">
        <v>0</v>
      </c>
      <c r="F33" s="1">
        <v>23.2</v>
      </c>
      <c r="G33"/>
      <c r="H33"/>
      <c r="I33"/>
      <c r="J33"/>
      <c r="K33"/>
      <c r="R33" s="21" t="s">
        <v>76</v>
      </c>
      <c r="S33" s="22">
        <v>1</v>
      </c>
    </row>
    <row r="34" spans="2:44">
      <c r="B34" t="s">
        <v>115</v>
      </c>
      <c r="C34"/>
      <c r="D34"/>
      <c r="E34">
        <v>11.45</v>
      </c>
      <c r="F34" s="1">
        <v>20.9</v>
      </c>
      <c r="G34"/>
      <c r="H34"/>
      <c r="I34"/>
      <c r="J34"/>
      <c r="K34"/>
      <c r="M34">
        <f>F28+F34</f>
        <v>24</v>
      </c>
      <c r="R34" s="21" t="s">
        <v>77</v>
      </c>
      <c r="S34" s="23">
        <v>5.0000000000000001E-3</v>
      </c>
      <c r="T34" s="2" t="s">
        <v>152</v>
      </c>
    </row>
    <row r="35" spans="2:44" ht="15" thickBot="1">
      <c r="B35" s="56" t="s">
        <v>9</v>
      </c>
      <c r="C35" s="57"/>
      <c r="D35" s="57"/>
      <c r="E35" s="61">
        <f>SUM(E32:E34)</f>
        <v>23.95</v>
      </c>
      <c r="F35" s="61">
        <f>SUM(F32:F34)</f>
        <v>56.199999999999996</v>
      </c>
      <c r="G35" s="57"/>
      <c r="H35" s="57"/>
      <c r="I35" s="57"/>
      <c r="J35" s="57"/>
      <c r="K35" s="57"/>
      <c r="R35" s="21" t="s">
        <v>78</v>
      </c>
      <c r="S35" s="23">
        <v>5.2299999999999999E-2</v>
      </c>
      <c r="T35" s="2" t="s">
        <v>151</v>
      </c>
    </row>
    <row r="36" spans="2:44" ht="15.5" thickTop="1" thickBot="1">
      <c r="B36" s="58" t="s">
        <v>8</v>
      </c>
      <c r="C36" s="63"/>
      <c r="D36" s="63"/>
      <c r="E36" s="63">
        <f>E35+E30</f>
        <v>63.379999999999995</v>
      </c>
      <c r="F36" s="63">
        <f>F35+F30</f>
        <v>118.87</v>
      </c>
      <c r="G36" s="63"/>
      <c r="H36" s="63"/>
      <c r="I36" s="63"/>
      <c r="J36" s="63"/>
      <c r="K36" s="63"/>
      <c r="AJ36"/>
      <c r="AK36"/>
      <c r="AL36"/>
      <c r="AN36" s="9"/>
      <c r="AQ36" s="19"/>
      <c r="AR36"/>
    </row>
    <row r="37" spans="2:44" ht="15" thickTop="1">
      <c r="B37" s="6" t="s">
        <v>7</v>
      </c>
      <c r="C37"/>
      <c r="D37"/>
      <c r="E37"/>
      <c r="G37"/>
      <c r="H37"/>
      <c r="I37"/>
      <c r="J37"/>
      <c r="K37"/>
      <c r="AJ37"/>
      <c r="AK37"/>
      <c r="AL37"/>
      <c r="AN37" s="9"/>
      <c r="AQ37" s="19"/>
      <c r="AR37"/>
    </row>
    <row r="38" spans="2:44">
      <c r="B38" t="s">
        <v>6</v>
      </c>
      <c r="C38"/>
      <c r="D38"/>
      <c r="E38" s="1">
        <v>56.6</v>
      </c>
      <c r="F38" s="1">
        <v>57</v>
      </c>
      <c r="G38"/>
      <c r="H38"/>
      <c r="I38"/>
      <c r="J38"/>
      <c r="K38"/>
      <c r="AJ38"/>
      <c r="AK38"/>
      <c r="AL38"/>
      <c r="AN38" s="9"/>
      <c r="AQ38" s="19"/>
      <c r="AR38"/>
    </row>
    <row r="39" spans="2:44">
      <c r="B39" t="s">
        <v>116</v>
      </c>
      <c r="C39"/>
      <c r="D39"/>
      <c r="E39">
        <v>2.35</v>
      </c>
      <c r="F39" s="1">
        <v>3.6</v>
      </c>
      <c r="G39"/>
      <c r="H39"/>
      <c r="I39"/>
      <c r="J39"/>
      <c r="K39"/>
      <c r="AJ39"/>
      <c r="AK39"/>
      <c r="AL39"/>
      <c r="AN39" s="9"/>
      <c r="AQ39" s="19"/>
      <c r="AR39"/>
    </row>
    <row r="40" spans="2:44">
      <c r="B40" t="s">
        <v>114</v>
      </c>
      <c r="C40"/>
      <c r="D40"/>
      <c r="E40">
        <v>0</v>
      </c>
      <c r="F40" s="1">
        <v>3.7</v>
      </c>
      <c r="G40"/>
      <c r="H40"/>
      <c r="I40"/>
      <c r="J40"/>
      <c r="K40"/>
      <c r="AJ40"/>
      <c r="AK40"/>
      <c r="AL40"/>
      <c r="AM40"/>
      <c r="AN40"/>
      <c r="AO40"/>
      <c r="AP40"/>
      <c r="AQ40"/>
      <c r="AR40"/>
    </row>
    <row r="41" spans="2:44">
      <c r="B41" s="1" t="s">
        <v>117</v>
      </c>
      <c r="E41" s="1">
        <f>-(41.5)</f>
        <v>-41.5</v>
      </c>
      <c r="F41" s="1">
        <f>-(47.3)</f>
        <v>-47.3</v>
      </c>
      <c r="AJ41" t="s">
        <v>74</v>
      </c>
      <c r="AK41"/>
      <c r="AL41"/>
      <c r="AM41"/>
      <c r="AN41"/>
      <c r="AO41"/>
      <c r="AP41"/>
      <c r="AQ41"/>
      <c r="AR41"/>
    </row>
    <row r="42" spans="2:44" ht="15" thickBot="1">
      <c r="B42" s="58" t="s">
        <v>5</v>
      </c>
      <c r="C42" s="59"/>
      <c r="D42" s="59"/>
      <c r="E42" s="64">
        <f>SUM(E38:E41)</f>
        <v>17.450000000000003</v>
      </c>
      <c r="F42" s="59">
        <f>SUM(F38:F41)</f>
        <v>17</v>
      </c>
      <c r="G42" s="59"/>
      <c r="H42" s="59"/>
      <c r="I42" s="59"/>
      <c r="J42" s="59"/>
      <c r="K42" s="59"/>
      <c r="AJ42"/>
      <c r="AK42"/>
      <c r="AL42"/>
      <c r="AM42"/>
      <c r="AN42"/>
      <c r="AO42"/>
      <c r="AP42"/>
      <c r="AQ42"/>
      <c r="AR42"/>
    </row>
    <row r="43" spans="2:44" ht="15" thickTop="1">
      <c r="B43" t="s">
        <v>4</v>
      </c>
      <c r="C43"/>
      <c r="D43"/>
      <c r="E43" s="65">
        <f>E36+E42</f>
        <v>80.83</v>
      </c>
      <c r="F43" s="65">
        <f>F36+F42</f>
        <v>135.87</v>
      </c>
      <c r="G43"/>
      <c r="H43"/>
      <c r="I43"/>
      <c r="J43"/>
      <c r="K43"/>
      <c r="AJ43"/>
      <c r="AK43"/>
      <c r="AL43"/>
      <c r="AM43"/>
      <c r="AN43"/>
      <c r="AO43"/>
      <c r="AP43"/>
      <c r="AQ43"/>
      <c r="AR43"/>
    </row>
    <row r="44" spans="2:44">
      <c r="AJ44"/>
      <c r="AK44"/>
      <c r="AL44"/>
      <c r="AM44" t="s">
        <v>62</v>
      </c>
      <c r="AN44" s="6"/>
      <c r="AO44" s="6"/>
      <c r="AP44" s="6"/>
      <c r="AQ44" s="14">
        <v>272</v>
      </c>
      <c r="AR44" s="6"/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CE93B-0B95-490A-8925-BA6B03396BD4}">
  <dimension ref="A1:Z25"/>
  <sheetViews>
    <sheetView showGridLines="0" topLeftCell="A7" workbookViewId="0">
      <selection activeCell="A27" sqref="A27:XFD1048576"/>
    </sheetView>
  </sheetViews>
  <sheetFormatPr defaultRowHeight="14.5"/>
  <cols>
    <col min="1" max="1" width="18" style="2" customWidth="1"/>
    <col min="2" max="2" width="8.90625" style="2" customWidth="1"/>
    <col min="3" max="3" width="9.08984375" style="2" customWidth="1"/>
    <col min="4" max="4" width="9.36328125" style="2" customWidth="1"/>
  </cols>
  <sheetData>
    <row r="1" spans="1:5" ht="15" thickBot="1"/>
    <row r="2" spans="1:5">
      <c r="B2" s="212" t="s">
        <v>221</v>
      </c>
      <c r="C2" s="213" t="s">
        <v>220</v>
      </c>
      <c r="D2" s="213" t="s">
        <v>219</v>
      </c>
    </row>
    <row r="3" spans="1:5">
      <c r="A3" s="2" t="s">
        <v>224</v>
      </c>
      <c r="B3" s="2">
        <v>0.38</v>
      </c>
      <c r="C3" s="2">
        <v>0.32</v>
      </c>
      <c r="D3" s="2">
        <v>-5.5</v>
      </c>
    </row>
    <row r="4" spans="1:5">
      <c r="A4" s="2" t="s">
        <v>222</v>
      </c>
      <c r="B4" s="7">
        <v>7.0497427101200687</v>
      </c>
      <c r="C4" s="7">
        <v>46.137598068799036</v>
      </c>
      <c r="D4" s="7">
        <v>8.6285714285714281</v>
      </c>
    </row>
    <row r="5" spans="1:5">
      <c r="A5" s="2" t="s">
        <v>223</v>
      </c>
      <c r="B5" s="2">
        <v>411</v>
      </c>
      <c r="C5" s="4">
        <v>7645</v>
      </c>
      <c r="D5" s="2">
        <v>151</v>
      </c>
    </row>
    <row r="6" spans="1:5">
      <c r="A6" s="2" t="s">
        <v>229</v>
      </c>
      <c r="B6" s="9">
        <v>0.27</v>
      </c>
      <c r="C6" s="9">
        <v>0.26200000000000001</v>
      </c>
      <c r="D6" s="9">
        <v>0.31900000000000001</v>
      </c>
    </row>
    <row r="7" spans="1:5">
      <c r="A7" s="2" t="s">
        <v>236</v>
      </c>
      <c r="B7" s="211">
        <v>-4.5999999999999999E-2</v>
      </c>
      <c r="C7" s="211">
        <v>7.5999999999999998E-2</v>
      </c>
      <c r="D7" s="211">
        <v>-0.12180000000000001</v>
      </c>
    </row>
    <row r="8" spans="1:5">
      <c r="A8" s="2" t="s">
        <v>228</v>
      </c>
      <c r="B8" s="2">
        <v>37.700000000000003</v>
      </c>
      <c r="C8" s="2">
        <v>1129</v>
      </c>
      <c r="D8" s="2">
        <v>144.5</v>
      </c>
      <c r="E8" s="11"/>
    </row>
    <row r="9" spans="1:5">
      <c r="A9" s="2" t="s">
        <v>235</v>
      </c>
      <c r="B9" s="4">
        <v>139.62962962962962</v>
      </c>
      <c r="C9" s="4">
        <v>4309.160305343511</v>
      </c>
      <c r="D9" s="4">
        <v>452.97805642633227</v>
      </c>
    </row>
    <row r="10" spans="1:5">
      <c r="A10" s="2" t="s">
        <v>227</v>
      </c>
      <c r="B10" s="16">
        <v>-6.976</v>
      </c>
      <c r="C10" s="2">
        <v>243</v>
      </c>
      <c r="D10" s="2">
        <v>-24.8</v>
      </c>
    </row>
    <row r="11" spans="1:5">
      <c r="A11" s="2" t="s">
        <v>226</v>
      </c>
      <c r="B11" s="2">
        <v>-6.2</v>
      </c>
      <c r="C11" s="2">
        <v>282</v>
      </c>
      <c r="D11" s="2">
        <v>-22</v>
      </c>
    </row>
    <row r="12" spans="1:5">
      <c r="A12" s="2" t="s">
        <v>230</v>
      </c>
      <c r="B12" s="2">
        <v>68.900000000000006</v>
      </c>
      <c r="C12" s="2">
        <v>270</v>
      </c>
      <c r="D12" s="2">
        <v>90</v>
      </c>
    </row>
    <row r="13" spans="1:5">
      <c r="A13" s="2" t="s">
        <v>231</v>
      </c>
      <c r="B13" s="2">
        <v>4.03</v>
      </c>
      <c r="C13" s="2">
        <v>0.62</v>
      </c>
      <c r="D13" s="2">
        <v>1.67</v>
      </c>
    </row>
    <row r="14" spans="1:5">
      <c r="A14" s="2" t="s">
        <v>232</v>
      </c>
      <c r="B14" s="2">
        <v>1.44</v>
      </c>
      <c r="C14" s="2">
        <v>2.12</v>
      </c>
      <c r="D14" s="2">
        <v>1.3</v>
      </c>
    </row>
    <row r="15" spans="1:5">
      <c r="A15" s="2" t="s">
        <v>233</v>
      </c>
      <c r="B15" s="2">
        <v>2.4</v>
      </c>
      <c r="C15" s="2">
        <v>4.2</v>
      </c>
      <c r="D15" s="2">
        <v>0.24</v>
      </c>
    </row>
    <row r="16" spans="1:5">
      <c r="A16" s="2" t="s">
        <v>234</v>
      </c>
      <c r="B16" s="2">
        <v>23.5</v>
      </c>
      <c r="C16" s="2">
        <v>30.8</v>
      </c>
      <c r="D16" s="16">
        <v>1.62</v>
      </c>
    </row>
    <row r="17" spans="1:26">
      <c r="A17" s="2" t="s">
        <v>225</v>
      </c>
      <c r="B17" s="4">
        <v>1800</v>
      </c>
      <c r="C17" s="4">
        <v>4477</v>
      </c>
      <c r="D17" s="4">
        <v>1612</v>
      </c>
      <c r="Z17">
        <f>150+90</f>
        <v>240</v>
      </c>
    </row>
    <row r="18" spans="1:26">
      <c r="A18" s="2" t="s">
        <v>1</v>
      </c>
      <c r="B18" s="2">
        <v>-39</v>
      </c>
      <c r="C18" s="2">
        <v>-122</v>
      </c>
    </row>
    <row r="21" spans="1:26">
      <c r="A21" s="218" t="s">
        <v>241</v>
      </c>
    </row>
    <row r="22" spans="1:26">
      <c r="A22" s="2" t="s">
        <v>237</v>
      </c>
      <c r="E22" s="2"/>
      <c r="F22" s="2"/>
      <c r="G22" s="2"/>
      <c r="H22" s="2"/>
    </row>
    <row r="23" spans="1:26">
      <c r="A23" s="2" t="s">
        <v>238</v>
      </c>
      <c r="E23" s="2"/>
      <c r="F23" s="2"/>
      <c r="G23" s="2"/>
      <c r="H23" s="2"/>
    </row>
    <row r="24" spans="1:26">
      <c r="A24" s="2" t="s">
        <v>239</v>
      </c>
      <c r="E24" s="2"/>
      <c r="F24" s="2"/>
      <c r="G24" s="2"/>
      <c r="H24" s="2"/>
    </row>
    <row r="25" spans="1:26">
      <c r="A25" s="2" t="s">
        <v>240</v>
      </c>
      <c r="E25" s="2"/>
      <c r="F25" s="2"/>
      <c r="G25" s="2"/>
      <c r="H25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Bull-Bear</vt:lpstr>
      <vt:lpstr>Model</vt:lpstr>
      <vt:lpstr>BS</vt:lpstr>
      <vt:lpstr>Comparable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Loutrel</dc:creator>
  <cp:lastModifiedBy>Martin Loutrel</cp:lastModifiedBy>
  <cp:lastPrinted>2020-08-09T19:01:12Z</cp:lastPrinted>
  <dcterms:created xsi:type="dcterms:W3CDTF">2020-05-27T00:31:12Z</dcterms:created>
  <dcterms:modified xsi:type="dcterms:W3CDTF">2020-08-13T23:02:44Z</dcterms:modified>
</cp:coreProperties>
</file>