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utrel\Documents\Goodfood\"/>
    </mc:Choice>
  </mc:AlternateContent>
  <xr:revisionPtr revIDLastSave="0" documentId="13_ncr:1_{45911321-1E5F-4AB4-A3E7-66E1BC9DAE3F}" xr6:coauthVersionLast="44" xr6:coauthVersionMax="44" xr10:uidLastSave="{00000000-0000-0000-0000-000000000000}"/>
  <bookViews>
    <workbookView xWindow="-13700" yWindow="-16310" windowWidth="29020" windowHeight="15820" tabRatio="886" xr2:uid="{CFE333F9-D0B0-4715-85BC-A2E27350A00B}"/>
  </bookViews>
  <sheets>
    <sheet name="Bull-Bear" sheetId="15" r:id="rId1"/>
    <sheet name="Model 7%" sheetId="12" r:id="rId2"/>
    <sheet name="Model 10%" sheetId="17" r:id="rId3"/>
    <sheet name="Model 13%" sheetId="19" r:id="rId4"/>
    <sheet name="BS" sheetId="13" state="hidden" r:id="rId5"/>
    <sheet name="Comparable" sheetId="10" state="hidden" r:id="rId6"/>
  </sheets>
  <definedNames>
    <definedName name="ID" localSheetId="5" hidden="1">"a1ff2f57-9f23-4d65-9937-9906668cd0dd"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6" i="12" l="1"/>
  <c r="E57" i="12" s="1"/>
  <c r="E59" i="12"/>
  <c r="E61" i="12"/>
  <c r="X40" i="17"/>
  <c r="F11" i="12"/>
  <c r="E58" i="12" l="1"/>
  <c r="E54" i="12" s="1"/>
  <c r="S5" i="13"/>
  <c r="S3" i="13"/>
  <c r="K33" i="12"/>
  <c r="E61" i="19"/>
  <c r="E59" i="19"/>
  <c r="E56" i="19"/>
  <c r="E57" i="19" s="1"/>
  <c r="AJ40" i="19"/>
  <c r="AK40" i="19" s="1"/>
  <c r="AL40" i="19" s="1"/>
  <c r="AM40" i="19" s="1"/>
  <c r="AN40" i="19" s="1"/>
  <c r="AO40" i="19" s="1"/>
  <c r="X40" i="19"/>
  <c r="Y40" i="19" s="1"/>
  <c r="Z40" i="19" s="1"/>
  <c r="AA40" i="19" s="1"/>
  <c r="AB40" i="19" s="1"/>
  <c r="AC40" i="19" s="1"/>
  <c r="G40" i="19"/>
  <c r="H40" i="19" s="1"/>
  <c r="I40" i="19" s="1"/>
  <c r="J40" i="19" s="1"/>
  <c r="K40" i="19" s="1"/>
  <c r="L40" i="19" s="1"/>
  <c r="M40" i="19" s="1"/>
  <c r="N40" i="19" s="1"/>
  <c r="O40" i="19" s="1"/>
  <c r="P40" i="19" s="1"/>
  <c r="Q40" i="19" s="1"/>
  <c r="AI33" i="19"/>
  <c r="AE33" i="19" s="1"/>
  <c r="W33" i="19"/>
  <c r="X33" i="19" s="1"/>
  <c r="K33" i="19"/>
  <c r="G33" i="19" s="1"/>
  <c r="AI30" i="19"/>
  <c r="AJ30" i="19" s="1"/>
  <c r="AK30" i="19" s="1"/>
  <c r="AL30" i="19" s="1"/>
  <c r="AM30" i="19" s="1"/>
  <c r="AN30" i="19" s="1"/>
  <c r="AO30" i="19" s="1"/>
  <c r="W30" i="19"/>
  <c r="S30" i="19" s="1"/>
  <c r="T30" i="19" s="1"/>
  <c r="U30" i="19" s="1"/>
  <c r="V30" i="19" s="1"/>
  <c r="K30" i="19"/>
  <c r="AE26" i="19"/>
  <c r="S26" i="19"/>
  <c r="G26" i="19"/>
  <c r="K17" i="19"/>
  <c r="W17" i="19" s="1"/>
  <c r="AI17" i="19" s="1"/>
  <c r="AE17" i="19" s="1"/>
  <c r="AF17" i="19" s="1"/>
  <c r="AG17" i="19" s="1"/>
  <c r="AH17" i="19" s="1"/>
  <c r="AI11" i="19"/>
  <c r="AE11" i="19" s="1"/>
  <c r="W11" i="19"/>
  <c r="K11" i="19"/>
  <c r="G11" i="19" s="1"/>
  <c r="H11" i="19" s="1"/>
  <c r="U11" i="19" s="1"/>
  <c r="AI10" i="19"/>
  <c r="AE10" i="19" s="1"/>
  <c r="W10" i="19"/>
  <c r="K10" i="19"/>
  <c r="K9" i="19"/>
  <c r="AI4" i="19"/>
  <c r="AE4" i="19" s="1"/>
  <c r="AF4" i="19" s="1"/>
  <c r="K4" i="19"/>
  <c r="G3" i="19"/>
  <c r="H3" i="19" s="1"/>
  <c r="I3" i="19" s="1"/>
  <c r="J3" i="19" s="1"/>
  <c r="K3" i="19" s="1"/>
  <c r="S3" i="19" s="1"/>
  <c r="T3" i="19" s="1"/>
  <c r="U3" i="19" s="1"/>
  <c r="V3" i="19" s="1"/>
  <c r="W3" i="19" s="1"/>
  <c r="AE3" i="19" s="1"/>
  <c r="AJ2" i="19"/>
  <c r="AK2" i="19" s="1"/>
  <c r="AL2" i="19" s="1"/>
  <c r="AM2" i="19" s="1"/>
  <c r="AN2" i="19" s="1"/>
  <c r="X2" i="19"/>
  <c r="Y2" i="19" s="1"/>
  <c r="Z2" i="19" s="1"/>
  <c r="AA2" i="19" s="1"/>
  <c r="AB2" i="19" s="1"/>
  <c r="M2" i="19"/>
  <c r="N2" i="19" s="1"/>
  <c r="O2" i="19" s="1"/>
  <c r="P2" i="19" s="1"/>
  <c r="L2" i="19"/>
  <c r="E61" i="17"/>
  <c r="E59" i="17"/>
  <c r="E56" i="17"/>
  <c r="E57" i="17" s="1"/>
  <c r="AJ40" i="17"/>
  <c r="AK40" i="17" s="1"/>
  <c r="AL40" i="17" s="1"/>
  <c r="AM40" i="17" s="1"/>
  <c r="AN40" i="17" s="1"/>
  <c r="AO40" i="17" s="1"/>
  <c r="Y40" i="17"/>
  <c r="Z40" i="17" s="1"/>
  <c r="AA40" i="17" s="1"/>
  <c r="AB40" i="17" s="1"/>
  <c r="AC40" i="17" s="1"/>
  <c r="G40" i="17"/>
  <c r="H40" i="17" s="1"/>
  <c r="I40" i="17" s="1"/>
  <c r="J40" i="17" s="1"/>
  <c r="K40" i="17" s="1"/>
  <c r="L40" i="17" s="1"/>
  <c r="M40" i="17" s="1"/>
  <c r="N40" i="17" s="1"/>
  <c r="O40" i="17" s="1"/>
  <c r="P40" i="17" s="1"/>
  <c r="Q40" i="17" s="1"/>
  <c r="AI33" i="17"/>
  <c r="AJ33" i="17" s="1"/>
  <c r="AK33" i="17" s="1"/>
  <c r="W33" i="17"/>
  <c r="X33" i="17" s="1"/>
  <c r="K33" i="17"/>
  <c r="AI30" i="17"/>
  <c r="AE30" i="17" s="1"/>
  <c r="AF30" i="17" s="1"/>
  <c r="AG30" i="17" s="1"/>
  <c r="AH30" i="17" s="1"/>
  <c r="W30" i="17"/>
  <c r="S30" i="17" s="1"/>
  <c r="T30" i="17" s="1"/>
  <c r="U30" i="17" s="1"/>
  <c r="V30" i="17" s="1"/>
  <c r="K30" i="17"/>
  <c r="L30" i="17" s="1"/>
  <c r="M30" i="17" s="1"/>
  <c r="N30" i="17" s="1"/>
  <c r="O30" i="17" s="1"/>
  <c r="P30" i="17" s="1"/>
  <c r="Q30" i="17" s="1"/>
  <c r="AE26" i="17"/>
  <c r="AF26" i="17" s="1"/>
  <c r="T26" i="17"/>
  <c r="S26" i="17"/>
  <c r="H26" i="17"/>
  <c r="G26" i="17"/>
  <c r="AH17" i="17"/>
  <c r="S17" i="17"/>
  <c r="T17" i="17" s="1"/>
  <c r="U17" i="17" s="1"/>
  <c r="V17" i="17" s="1"/>
  <c r="K17" i="17"/>
  <c r="W17" i="17" s="1"/>
  <c r="AI17" i="17" s="1"/>
  <c r="AE17" i="17" s="1"/>
  <c r="AF17" i="17" s="1"/>
  <c r="AG17" i="17" s="1"/>
  <c r="AI11" i="17"/>
  <c r="AE11" i="17" s="1"/>
  <c r="W11" i="17"/>
  <c r="S11" i="17" s="1"/>
  <c r="K11" i="17"/>
  <c r="G11" i="17" s="1"/>
  <c r="AI10" i="17"/>
  <c r="AE10" i="17" s="1"/>
  <c r="W10" i="17"/>
  <c r="K10" i="17"/>
  <c r="G10" i="17" s="1"/>
  <c r="H10" i="17" s="1"/>
  <c r="K9" i="17"/>
  <c r="AI4" i="17"/>
  <c r="AE4" i="17" s="1"/>
  <c r="AF4" i="17" s="1"/>
  <c r="AG4" i="17" s="1"/>
  <c r="K4" i="17"/>
  <c r="J3" i="17"/>
  <c r="K3" i="17" s="1"/>
  <c r="S3" i="17" s="1"/>
  <c r="T3" i="17" s="1"/>
  <c r="U3" i="17" s="1"/>
  <c r="V3" i="17" s="1"/>
  <c r="W3" i="17" s="1"/>
  <c r="AE3" i="17" s="1"/>
  <c r="AF3" i="17" s="1"/>
  <c r="AG3" i="17" s="1"/>
  <c r="AH3" i="17" s="1"/>
  <c r="AI3" i="17" s="1"/>
  <c r="G3" i="17"/>
  <c r="H3" i="17" s="1"/>
  <c r="I3" i="17" s="1"/>
  <c r="AJ2" i="17"/>
  <c r="AK2" i="17" s="1"/>
  <c r="AL2" i="17" s="1"/>
  <c r="AM2" i="17" s="1"/>
  <c r="AN2" i="17" s="1"/>
  <c r="X2" i="17"/>
  <c r="Y2" i="17" s="1"/>
  <c r="Z2" i="17" s="1"/>
  <c r="AA2" i="17" s="1"/>
  <c r="AB2" i="17" s="1"/>
  <c r="L2" i="17"/>
  <c r="M2" i="17" s="1"/>
  <c r="N2" i="17" s="1"/>
  <c r="O2" i="17" s="1"/>
  <c r="P2" i="17" s="1"/>
  <c r="AI4" i="12"/>
  <c r="K4" i="12"/>
  <c r="W4" i="12" s="1"/>
  <c r="K17" i="12"/>
  <c r="G17" i="12" s="1"/>
  <c r="H17" i="12" s="1"/>
  <c r="I17" i="12" s="1"/>
  <c r="J17" i="12" s="1"/>
  <c r="W17" i="12" l="1"/>
  <c r="AI17" i="12" s="1"/>
  <c r="K7" i="19"/>
  <c r="S10" i="19"/>
  <c r="T10" i="19" s="1"/>
  <c r="G30" i="17"/>
  <c r="H30" i="17" s="1"/>
  <c r="I30" i="17" s="1"/>
  <c r="J30" i="17" s="1"/>
  <c r="G10" i="19"/>
  <c r="G4" i="19"/>
  <c r="H4" i="19" s="1"/>
  <c r="H7" i="19" s="1"/>
  <c r="AJ30" i="17"/>
  <c r="AK30" i="17" s="1"/>
  <c r="AL30" i="17" s="1"/>
  <c r="AM30" i="17" s="1"/>
  <c r="AN30" i="17" s="1"/>
  <c r="AO30" i="17" s="1"/>
  <c r="X30" i="19"/>
  <c r="Y30" i="19" s="1"/>
  <c r="Z30" i="19" s="1"/>
  <c r="AA30" i="19" s="1"/>
  <c r="AB30" i="19" s="1"/>
  <c r="AC30" i="19" s="1"/>
  <c r="AJ33" i="19"/>
  <c r="AK33" i="19" s="1"/>
  <c r="AL33" i="19" s="1"/>
  <c r="T11" i="19"/>
  <c r="S33" i="19"/>
  <c r="T33" i="19" s="1"/>
  <c r="U33" i="19" s="1"/>
  <c r="U10" i="19"/>
  <c r="AF10" i="19"/>
  <c r="AE6" i="19"/>
  <c r="AE20" i="19" s="1"/>
  <c r="AE7" i="19"/>
  <c r="AE8" i="19" s="1"/>
  <c r="AF3" i="19"/>
  <c r="AG3" i="19" s="1"/>
  <c r="AH3" i="19" s="1"/>
  <c r="AI3" i="19" s="1"/>
  <c r="K18" i="19"/>
  <c r="O16" i="15" s="1"/>
  <c r="AF11" i="19"/>
  <c r="K6" i="19"/>
  <c r="AG4" i="19"/>
  <c r="H10" i="19"/>
  <c r="I11" i="19"/>
  <c r="S17" i="19"/>
  <c r="T17" i="19" s="1"/>
  <c r="U17" i="19" s="1"/>
  <c r="V17" i="19" s="1"/>
  <c r="AF26" i="19"/>
  <c r="H33" i="19"/>
  <c r="G30" i="19"/>
  <c r="H30" i="19" s="1"/>
  <c r="I30" i="19" s="1"/>
  <c r="J30" i="19" s="1"/>
  <c r="L30" i="19"/>
  <c r="M30" i="19" s="1"/>
  <c r="N30" i="19" s="1"/>
  <c r="O30" i="19" s="1"/>
  <c r="P30" i="19" s="1"/>
  <c r="Q30" i="19" s="1"/>
  <c r="S11" i="19"/>
  <c r="G17" i="19"/>
  <c r="H17" i="19" s="1"/>
  <c r="I17" i="19" s="1"/>
  <c r="J17" i="19" s="1"/>
  <c r="T26" i="19"/>
  <c r="Y33" i="19"/>
  <c r="E58" i="19"/>
  <c r="E54" i="19"/>
  <c r="AF7" i="19"/>
  <c r="H26" i="19"/>
  <c r="W4" i="19"/>
  <c r="AF33" i="19"/>
  <c r="AE30" i="19"/>
  <c r="AF30" i="19" s="1"/>
  <c r="AG30" i="19" s="1"/>
  <c r="AH30" i="19" s="1"/>
  <c r="L33" i="19"/>
  <c r="S33" i="17"/>
  <c r="T33" i="17" s="1"/>
  <c r="U33" i="17" s="1"/>
  <c r="AI7" i="17"/>
  <c r="AI6" i="17"/>
  <c r="AI20" i="17" s="1"/>
  <c r="AF10" i="17"/>
  <c r="AL33" i="17"/>
  <c r="H11" i="17"/>
  <c r="T11" i="17"/>
  <c r="AF6" i="17"/>
  <c r="S10" i="17"/>
  <c r="AF11" i="17"/>
  <c r="AG26" i="17"/>
  <c r="K6" i="17"/>
  <c r="K20" i="17" s="1"/>
  <c r="K7" i="17"/>
  <c r="W4" i="17"/>
  <c r="G4" i="17"/>
  <c r="I10" i="17"/>
  <c r="AG6" i="17"/>
  <c r="AG7" i="17"/>
  <c r="AH4" i="17"/>
  <c r="AE6" i="17"/>
  <c r="U26" i="17"/>
  <c r="X30" i="17"/>
  <c r="Y30" i="17" s="1"/>
  <c r="Z30" i="17" s="1"/>
  <c r="AA30" i="17" s="1"/>
  <c r="AB30" i="17" s="1"/>
  <c r="AC30" i="17" s="1"/>
  <c r="Y33" i="17"/>
  <c r="AE7" i="17"/>
  <c r="AE8" i="17" s="1"/>
  <c r="G17" i="17"/>
  <c r="H17" i="17" s="1"/>
  <c r="I17" i="17" s="1"/>
  <c r="J17" i="17" s="1"/>
  <c r="AF7" i="17"/>
  <c r="AF8" i="17" s="1"/>
  <c r="G33" i="17"/>
  <c r="L33" i="17"/>
  <c r="E58" i="17"/>
  <c r="E54" i="17"/>
  <c r="I26" i="17"/>
  <c r="AE33" i="17"/>
  <c r="Z17" i="10"/>
  <c r="H6" i="19" l="1"/>
  <c r="H20" i="19" s="1"/>
  <c r="H15" i="19" s="1"/>
  <c r="H22" i="19" s="1"/>
  <c r="G6" i="19"/>
  <c r="G7" i="19"/>
  <c r="G8" i="19" s="1"/>
  <c r="I4" i="19"/>
  <c r="I7" i="19" s="1"/>
  <c r="I8" i="19" s="1"/>
  <c r="AE5" i="17"/>
  <c r="J17" i="15"/>
  <c r="K17" i="15"/>
  <c r="W6" i="19"/>
  <c r="W7" i="19"/>
  <c r="S4" i="19"/>
  <c r="AF8" i="19"/>
  <c r="AG26" i="19"/>
  <c r="AG7" i="19"/>
  <c r="AG8" i="19" s="1"/>
  <c r="AH4" i="19"/>
  <c r="AG6" i="19"/>
  <c r="AI7" i="19"/>
  <c r="AI6" i="19"/>
  <c r="AE5" i="19"/>
  <c r="AG11" i="19"/>
  <c r="V33" i="19"/>
  <c r="AM33" i="19"/>
  <c r="AF6" i="19"/>
  <c r="AF5" i="19" s="1"/>
  <c r="M33" i="19"/>
  <c r="AG33" i="19"/>
  <c r="Z33" i="19"/>
  <c r="K20" i="19"/>
  <c r="O17" i="15" s="1"/>
  <c r="K5" i="19"/>
  <c r="AF18" i="19"/>
  <c r="AG10" i="19"/>
  <c r="J11" i="19"/>
  <c r="V11" i="19"/>
  <c r="AE15" i="19"/>
  <c r="AE22" i="19" s="1"/>
  <c r="AE18" i="19"/>
  <c r="I26" i="19"/>
  <c r="U26" i="19"/>
  <c r="I33" i="19"/>
  <c r="H18" i="19"/>
  <c r="I10" i="19"/>
  <c r="K14" i="19"/>
  <c r="V10" i="19"/>
  <c r="AG8" i="17"/>
  <c r="AG5" i="17"/>
  <c r="T10" i="17"/>
  <c r="AM33" i="17"/>
  <c r="AH6" i="17"/>
  <c r="AH7" i="17"/>
  <c r="AH8" i="17" s="1"/>
  <c r="K15" i="17"/>
  <c r="K22" i="17" s="1"/>
  <c r="AF33" i="17"/>
  <c r="AH26" i="17"/>
  <c r="W6" i="17"/>
  <c r="W7" i="17"/>
  <c r="S4" i="17"/>
  <c r="K5" i="17"/>
  <c r="J26" i="17"/>
  <c r="V26" i="17"/>
  <c r="V33" i="17"/>
  <c r="AI15" i="17"/>
  <c r="AI22" i="17" s="1"/>
  <c r="AF18" i="17"/>
  <c r="AG10" i="17"/>
  <c r="AE18" i="17"/>
  <c r="J10" i="17"/>
  <c r="Z33" i="17"/>
  <c r="K18" i="17"/>
  <c r="AF20" i="17"/>
  <c r="AG11" i="17"/>
  <c r="AF5" i="17"/>
  <c r="AI5" i="17"/>
  <c r="H33" i="17"/>
  <c r="U11" i="17"/>
  <c r="I11" i="17"/>
  <c r="M33" i="17"/>
  <c r="H4" i="17"/>
  <c r="G6" i="17"/>
  <c r="G7" i="17"/>
  <c r="AE20" i="17"/>
  <c r="AI18" i="17"/>
  <c r="AE26" i="12"/>
  <c r="AF26" i="12" s="1"/>
  <c r="AG26" i="12" s="1"/>
  <c r="AH26" i="12" s="1"/>
  <c r="J4" i="19" l="1"/>
  <c r="H8" i="19"/>
  <c r="I6" i="19"/>
  <c r="I20" i="19" s="1"/>
  <c r="G18" i="19"/>
  <c r="H5" i="19"/>
  <c r="G5" i="19"/>
  <c r="G20" i="19"/>
  <c r="G15" i="19" s="1"/>
  <c r="G22" i="19" s="1"/>
  <c r="K18" i="15"/>
  <c r="J18" i="15"/>
  <c r="J16" i="15"/>
  <c r="K16" i="15"/>
  <c r="G14" i="19"/>
  <c r="N33" i="19"/>
  <c r="K15" i="19"/>
  <c r="K22" i="19" s="1"/>
  <c r="O18" i="15" s="1"/>
  <c r="AI5" i="19"/>
  <c r="AI20" i="19"/>
  <c r="P17" i="15" s="1"/>
  <c r="AH10" i="19"/>
  <c r="AG18" i="19"/>
  <c r="AN33" i="19"/>
  <c r="AI18" i="19"/>
  <c r="P16" i="15" s="1"/>
  <c r="S6" i="19"/>
  <c r="T4" i="19"/>
  <c r="S7" i="19"/>
  <c r="J26" i="19"/>
  <c r="V26" i="19"/>
  <c r="I18" i="19"/>
  <c r="J10" i="19"/>
  <c r="AE14" i="19"/>
  <c r="AE12" i="19" s="1"/>
  <c r="AF14" i="19"/>
  <c r="AA33" i="19"/>
  <c r="AG5" i="19"/>
  <c r="W18" i="19"/>
  <c r="N16" i="15" s="1"/>
  <c r="I15" i="19"/>
  <c r="I22" i="19" s="1"/>
  <c r="AE24" i="19"/>
  <c r="AE19" i="19" s="1"/>
  <c r="J6" i="19"/>
  <c r="J7" i="19"/>
  <c r="AH6" i="19"/>
  <c r="AH7" i="19"/>
  <c r="AH8" i="19" s="1"/>
  <c r="W5" i="19"/>
  <c r="W20" i="19"/>
  <c r="N17" i="15" s="1"/>
  <c r="AH33" i="19"/>
  <c r="H14" i="19"/>
  <c r="H12" i="19" s="1"/>
  <c r="H23" i="19" s="1"/>
  <c r="AG20" i="19"/>
  <c r="AH11" i="19"/>
  <c r="J33" i="19"/>
  <c r="I5" i="19"/>
  <c r="AF20" i="19"/>
  <c r="AH26" i="19"/>
  <c r="H24" i="19"/>
  <c r="W5" i="17"/>
  <c r="W20" i="17"/>
  <c r="AI14" i="17"/>
  <c r="AI12" i="17" s="1"/>
  <c r="AN33" i="17"/>
  <c r="AE14" i="17"/>
  <c r="AG18" i="17"/>
  <c r="AH10" i="17"/>
  <c r="AH18" i="17" s="1"/>
  <c r="AF15" i="17"/>
  <c r="AF22" i="17" s="1"/>
  <c r="AG33" i="17"/>
  <c r="U10" i="17"/>
  <c r="I4" i="17"/>
  <c r="H6" i="17"/>
  <c r="H7" i="17"/>
  <c r="AA33" i="17"/>
  <c r="AI24" i="17"/>
  <c r="AI25" i="17" s="1"/>
  <c r="K24" i="17"/>
  <c r="K25" i="17" s="1"/>
  <c r="K36" i="17" s="1"/>
  <c r="AH5" i="17"/>
  <c r="AI8" i="17"/>
  <c r="AF14" i="17"/>
  <c r="N33" i="17"/>
  <c r="AG20" i="17"/>
  <c r="AH11" i="17"/>
  <c r="AH20" i="17" s="1"/>
  <c r="V11" i="17"/>
  <c r="J11" i="17"/>
  <c r="K14" i="17"/>
  <c r="K12" i="17" s="1"/>
  <c r="AE15" i="17"/>
  <c r="AE22" i="17" s="1"/>
  <c r="G8" i="17"/>
  <c r="G18" i="17"/>
  <c r="S6" i="17"/>
  <c r="S7" i="17"/>
  <c r="T4" i="17"/>
  <c r="G5" i="17"/>
  <c r="G20" i="17"/>
  <c r="I33" i="17"/>
  <c r="W18" i="17"/>
  <c r="K11" i="12"/>
  <c r="K10" i="12"/>
  <c r="K9" i="12"/>
  <c r="M34" i="13"/>
  <c r="K42" i="17" l="1"/>
  <c r="W36" i="17"/>
  <c r="AH20" i="19"/>
  <c r="K12" i="19"/>
  <c r="O31" i="15" s="1"/>
  <c r="J5" i="19"/>
  <c r="I16" i="15"/>
  <c r="K19" i="15"/>
  <c r="K31" i="15"/>
  <c r="J31" i="15"/>
  <c r="I17" i="15"/>
  <c r="AI23" i="17"/>
  <c r="J18" i="19"/>
  <c r="J14" i="19" s="1"/>
  <c r="AH15" i="19"/>
  <c r="AH22" i="19" s="1"/>
  <c r="I24" i="19"/>
  <c r="S8" i="19"/>
  <c r="S18" i="19"/>
  <c r="AH18" i="19"/>
  <c r="W15" i="19"/>
  <c r="W22" i="19" s="1"/>
  <c r="N18" i="15" s="1"/>
  <c r="T7" i="19"/>
  <c r="U4" i="19"/>
  <c r="T6" i="19"/>
  <c r="O33" i="19"/>
  <c r="AH5" i="19"/>
  <c r="W14" i="19"/>
  <c r="S5" i="19"/>
  <c r="S20" i="19"/>
  <c r="G24" i="19"/>
  <c r="H25" i="19"/>
  <c r="H21" i="19"/>
  <c r="H27" i="19"/>
  <c r="AG15" i="19"/>
  <c r="AG22" i="19" s="1"/>
  <c r="AI15" i="19"/>
  <c r="AI22" i="19" s="1"/>
  <c r="P18" i="15" s="1"/>
  <c r="AF15" i="19"/>
  <c r="AF22" i="19" s="1"/>
  <c r="H19" i="19"/>
  <c r="AI8" i="19"/>
  <c r="K23" i="19"/>
  <c r="K24" i="19"/>
  <c r="G12" i="19"/>
  <c r="G13" i="19" s="1"/>
  <c r="AE25" i="19"/>
  <c r="AE9" i="19"/>
  <c r="AE27" i="19"/>
  <c r="AE21" i="19"/>
  <c r="AG14" i="19"/>
  <c r="J8" i="19"/>
  <c r="K8" i="19"/>
  <c r="L8" i="19" s="1"/>
  <c r="M8" i="19" s="1"/>
  <c r="N8" i="19" s="1"/>
  <c r="O8" i="19" s="1"/>
  <c r="I19" i="19"/>
  <c r="I14" i="19"/>
  <c r="I12" i="19" s="1"/>
  <c r="I13" i="19" s="1"/>
  <c r="AI14" i="19"/>
  <c r="AI12" i="19" s="1"/>
  <c r="P31" i="15" s="1"/>
  <c r="J20" i="19"/>
  <c r="AB33" i="19"/>
  <c r="AE23" i="19"/>
  <c r="AO33" i="19"/>
  <c r="AF12" i="17"/>
  <c r="AF23" i="17" s="1"/>
  <c r="K19" i="17"/>
  <c r="J19" i="15"/>
  <c r="K23" i="17"/>
  <c r="H8" i="17"/>
  <c r="H18" i="17"/>
  <c r="AF24" i="17"/>
  <c r="AH15" i="17"/>
  <c r="AH22" i="17" s="1"/>
  <c r="AH33" i="17"/>
  <c r="G15" i="17"/>
  <c r="G22" i="17" s="1"/>
  <c r="AG15" i="17"/>
  <c r="AG22" i="17" s="1"/>
  <c r="W14" i="17"/>
  <c r="O33" i="17"/>
  <c r="H5" i="17"/>
  <c r="H20" i="17"/>
  <c r="S8" i="17"/>
  <c r="S18" i="17"/>
  <c r="AI27" i="17"/>
  <c r="AI31" i="17" s="1"/>
  <c r="AI21" i="17"/>
  <c r="AI19" i="17"/>
  <c r="J4" i="17"/>
  <c r="I6" i="17"/>
  <c r="I7" i="17"/>
  <c r="AG14" i="17"/>
  <c r="S5" i="17"/>
  <c r="S20" i="17"/>
  <c r="G14" i="17"/>
  <c r="V10" i="17"/>
  <c r="AE12" i="17"/>
  <c r="W15" i="17"/>
  <c r="W22" i="17" s="1"/>
  <c r="AO33" i="17"/>
  <c r="AE24" i="17"/>
  <c r="K27" i="17"/>
  <c r="K21" i="17"/>
  <c r="T7" i="17"/>
  <c r="U4" i="17"/>
  <c r="T6" i="17"/>
  <c r="AH14" i="17"/>
  <c r="J33" i="17"/>
  <c r="AB33" i="17"/>
  <c r="AJ40" i="12"/>
  <c r="AK40" i="12" s="1"/>
  <c r="AL40" i="12" s="1"/>
  <c r="AM40" i="12" s="1"/>
  <c r="AN40" i="12" s="1"/>
  <c r="AO40" i="12" s="1"/>
  <c r="AJ2" i="12"/>
  <c r="AK2" i="12" s="1"/>
  <c r="AL2" i="12" s="1"/>
  <c r="AM2" i="12" s="1"/>
  <c r="AN2" i="12" s="1"/>
  <c r="X40" i="12"/>
  <c r="Y40" i="12" s="1"/>
  <c r="Z40" i="12" s="1"/>
  <c r="AA40" i="12" s="1"/>
  <c r="AB40" i="12" s="1"/>
  <c r="AC40" i="12" s="1"/>
  <c r="X2" i="12"/>
  <c r="Y2" i="12" s="1"/>
  <c r="Z2" i="12" s="1"/>
  <c r="AA2" i="12" s="1"/>
  <c r="AB2" i="12" s="1"/>
  <c r="L33" i="12"/>
  <c r="M33" i="12" s="1"/>
  <c r="N33" i="12" s="1"/>
  <c r="O33" i="12" s="1"/>
  <c r="P33" i="12" s="1"/>
  <c r="Q33" i="12" s="1"/>
  <c r="L2" i="12"/>
  <c r="M2" i="12" s="1"/>
  <c r="N2" i="12" s="1"/>
  <c r="O2" i="12" s="1"/>
  <c r="P2" i="12" s="1"/>
  <c r="K43" i="17" l="1"/>
  <c r="W43" i="17" s="1"/>
  <c r="W42" i="17"/>
  <c r="K31" i="17"/>
  <c r="O19" i="15"/>
  <c r="K25" i="19"/>
  <c r="W12" i="19"/>
  <c r="N31" i="15" s="1"/>
  <c r="I18" i="15"/>
  <c r="AG12" i="19"/>
  <c r="AG23" i="19" s="1"/>
  <c r="AJ8" i="19"/>
  <c r="AK8" i="19" s="1"/>
  <c r="AL8" i="19" s="1"/>
  <c r="AM8" i="19" s="1"/>
  <c r="G12" i="17"/>
  <c r="G13" i="17" s="1"/>
  <c r="G23" i="19"/>
  <c r="J20" i="15"/>
  <c r="K20" i="15"/>
  <c r="AG24" i="19"/>
  <c r="T5" i="19"/>
  <c r="T20" i="19"/>
  <c r="AH14" i="19"/>
  <c r="AH12" i="19" s="1"/>
  <c r="AH23" i="19" s="1"/>
  <c r="AF24" i="19"/>
  <c r="H29" i="19"/>
  <c r="H31" i="19"/>
  <c r="T8" i="19"/>
  <c r="T18" i="19"/>
  <c r="S14" i="19"/>
  <c r="I25" i="19"/>
  <c r="I27" i="19"/>
  <c r="I21" i="19"/>
  <c r="V4" i="19"/>
  <c r="U6" i="19"/>
  <c r="U7" i="19"/>
  <c r="AC33" i="19"/>
  <c r="J15" i="19"/>
  <c r="J22" i="19" s="1"/>
  <c r="K27" i="19"/>
  <c r="L24" i="19"/>
  <c r="L25" i="19" s="1"/>
  <c r="K19" i="19"/>
  <c r="K21" i="19"/>
  <c r="AI23" i="19"/>
  <c r="AI24" i="19"/>
  <c r="I23" i="19"/>
  <c r="G25" i="19"/>
  <c r="G9" i="19"/>
  <c r="G27" i="19"/>
  <c r="G21" i="19"/>
  <c r="G19" i="19"/>
  <c r="H13" i="19"/>
  <c r="AH24" i="19"/>
  <c r="AH19" i="19" s="1"/>
  <c r="AE28" i="19"/>
  <c r="AE29" i="19"/>
  <c r="AE31" i="19"/>
  <c r="AE13" i="19"/>
  <c r="S15" i="19"/>
  <c r="S22" i="19" s="1"/>
  <c r="P33" i="19"/>
  <c r="W24" i="19"/>
  <c r="W23" i="19"/>
  <c r="AF12" i="19"/>
  <c r="AF13" i="19" s="1"/>
  <c r="W12" i="17"/>
  <c r="AE13" i="17" s="1"/>
  <c r="AE23" i="17"/>
  <c r="AG12" i="17"/>
  <c r="AG13" i="17" s="1"/>
  <c r="AC33" i="17"/>
  <c r="T8" i="17"/>
  <c r="T18" i="17"/>
  <c r="I5" i="17"/>
  <c r="I20" i="17"/>
  <c r="AI29" i="17"/>
  <c r="P33" i="17"/>
  <c r="S15" i="17"/>
  <c r="S22" i="17" s="1"/>
  <c r="AG24" i="17"/>
  <c r="V4" i="17"/>
  <c r="U6" i="17"/>
  <c r="U7" i="17"/>
  <c r="I8" i="17"/>
  <c r="I18" i="17"/>
  <c r="AF13" i="17"/>
  <c r="S14" i="17"/>
  <c r="AH12" i="17"/>
  <c r="AH23" i="17" s="1"/>
  <c r="W24" i="17"/>
  <c r="W25" i="17" s="1"/>
  <c r="H15" i="17"/>
  <c r="H22" i="17" s="1"/>
  <c r="AF25" i="17"/>
  <c r="AF27" i="17"/>
  <c r="AF21" i="17"/>
  <c r="AF19" i="17"/>
  <c r="J6" i="17"/>
  <c r="J7" i="17"/>
  <c r="AH24" i="17"/>
  <c r="K29" i="17"/>
  <c r="G23" i="17"/>
  <c r="G24" i="17"/>
  <c r="H14" i="17"/>
  <c r="T5" i="17"/>
  <c r="T20" i="17"/>
  <c r="AE9" i="17"/>
  <c r="AE25" i="17"/>
  <c r="AE27" i="17"/>
  <c r="AE19" i="17"/>
  <c r="AE21" i="17"/>
  <c r="S4" i="12"/>
  <c r="T4" i="12" s="1"/>
  <c r="U4" i="12" s="1"/>
  <c r="V4" i="12" s="1"/>
  <c r="AI33" i="12"/>
  <c r="AI30" i="12"/>
  <c r="AJ30" i="12" s="1"/>
  <c r="AK30" i="12" s="1"/>
  <c r="AL30" i="12" s="1"/>
  <c r="AM30" i="12" s="1"/>
  <c r="AN30" i="12" s="1"/>
  <c r="AO30" i="12" s="1"/>
  <c r="AI11" i="12"/>
  <c r="AI10" i="12"/>
  <c r="AE4" i="12"/>
  <c r="AF4" i="12" s="1"/>
  <c r="AG4" i="12" s="1"/>
  <c r="AH4" i="12" s="1"/>
  <c r="W33" i="12"/>
  <c r="W30" i="12"/>
  <c r="X30" i="12" s="1"/>
  <c r="Y30" i="12" s="1"/>
  <c r="Z30" i="12" s="1"/>
  <c r="AA30" i="12" s="1"/>
  <c r="AB30" i="12" s="1"/>
  <c r="AC30" i="12" s="1"/>
  <c r="W11" i="12"/>
  <c r="W10" i="12"/>
  <c r="C16" i="15"/>
  <c r="P19" i="15" l="1"/>
  <c r="AI25" i="19"/>
  <c r="O20" i="15"/>
  <c r="K31" i="19"/>
  <c r="N19" i="15"/>
  <c r="W25" i="19"/>
  <c r="X33" i="12"/>
  <c r="Y33" i="12" s="1"/>
  <c r="AJ33" i="12"/>
  <c r="AK33" i="12" s="1"/>
  <c r="W23" i="17"/>
  <c r="H12" i="17"/>
  <c r="H13" i="17" s="1"/>
  <c r="J12" i="19"/>
  <c r="AG23" i="17"/>
  <c r="I19" i="15"/>
  <c r="K21" i="15"/>
  <c r="I31" i="15"/>
  <c r="AE34" i="19"/>
  <c r="AE35" i="19" s="1"/>
  <c r="H34" i="19"/>
  <c r="J21" i="15"/>
  <c r="S12" i="19"/>
  <c r="S13" i="19" s="1"/>
  <c r="AF23" i="19"/>
  <c r="K29" i="19"/>
  <c r="O21" i="15" s="1"/>
  <c r="L27" i="19"/>
  <c r="U5" i="19"/>
  <c r="U20" i="19"/>
  <c r="T14" i="19"/>
  <c r="Q33" i="19"/>
  <c r="M24" i="19"/>
  <c r="M25" i="19" s="1"/>
  <c r="V6" i="19"/>
  <c r="V7" i="19"/>
  <c r="U8" i="19"/>
  <c r="U18" i="19"/>
  <c r="AF25" i="19"/>
  <c r="AF27" i="19"/>
  <c r="AF19" i="19"/>
  <c r="AF21" i="19"/>
  <c r="W27" i="19"/>
  <c r="W21" i="19"/>
  <c r="W19" i="19"/>
  <c r="G28" i="19"/>
  <c r="G29" i="19"/>
  <c r="G31" i="19"/>
  <c r="AI27" i="19"/>
  <c r="AJ24" i="19"/>
  <c r="AJ25" i="19" s="1"/>
  <c r="AI21" i="19"/>
  <c r="AI19" i="19"/>
  <c r="AG13" i="19"/>
  <c r="T15" i="19"/>
  <c r="T22" i="19" s="1"/>
  <c r="I28" i="19"/>
  <c r="I32" i="19" s="1"/>
  <c r="I29" i="19"/>
  <c r="I31" i="19"/>
  <c r="S23" i="19"/>
  <c r="S24" i="19"/>
  <c r="J24" i="19"/>
  <c r="J23" i="19"/>
  <c r="H28" i="19"/>
  <c r="H32" i="19" s="1"/>
  <c r="AH25" i="19"/>
  <c r="AH21" i="19"/>
  <c r="AH27" i="19"/>
  <c r="AG25" i="19"/>
  <c r="AG27" i="19"/>
  <c r="AG19" i="19"/>
  <c r="AG21" i="19"/>
  <c r="I14" i="17"/>
  <c r="I15" i="17"/>
  <c r="I22" i="17" s="1"/>
  <c r="G25" i="17"/>
  <c r="G9" i="17"/>
  <c r="G27" i="17"/>
  <c r="G21" i="17"/>
  <c r="G19" i="17"/>
  <c r="AH25" i="17"/>
  <c r="AH27" i="17"/>
  <c r="AH19" i="17"/>
  <c r="AH21" i="17"/>
  <c r="AE28" i="17"/>
  <c r="AE29" i="17"/>
  <c r="AE31" i="17"/>
  <c r="J8" i="17"/>
  <c r="K8" i="17"/>
  <c r="J18" i="17"/>
  <c r="H23" i="17"/>
  <c r="H24" i="17"/>
  <c r="U8" i="17"/>
  <c r="U18" i="17"/>
  <c r="Q33" i="17"/>
  <c r="J5" i="17"/>
  <c r="J20" i="17"/>
  <c r="S12" i="17"/>
  <c r="S13" i="17" s="1"/>
  <c r="U5" i="17"/>
  <c r="U20" i="17"/>
  <c r="T14" i="17"/>
  <c r="S24" i="17"/>
  <c r="AF29" i="17"/>
  <c r="AF28" i="17"/>
  <c r="AF32" i="17" s="1"/>
  <c r="AF31" i="17"/>
  <c r="W27" i="17"/>
  <c r="W31" i="17" s="1"/>
  <c r="W19" i="17"/>
  <c r="W21" i="17"/>
  <c r="V6" i="17"/>
  <c r="V7" i="17"/>
  <c r="T15" i="17"/>
  <c r="T22" i="17" s="1"/>
  <c r="AG25" i="17"/>
  <c r="AG27" i="17"/>
  <c r="AG19" i="17"/>
  <c r="AG21" i="17"/>
  <c r="S26" i="12"/>
  <c r="N20" i="15" l="1"/>
  <c r="W31" i="19"/>
  <c r="P20" i="15"/>
  <c r="AI31" i="19"/>
  <c r="H35" i="19"/>
  <c r="I20" i="15"/>
  <c r="U14" i="19"/>
  <c r="AJ27" i="19"/>
  <c r="AI29" i="19"/>
  <c r="P21" i="15" s="1"/>
  <c r="AI28" i="19"/>
  <c r="AI32" i="19" s="1"/>
  <c r="T12" i="19"/>
  <c r="T13" i="19" s="1"/>
  <c r="I34" i="19"/>
  <c r="W29" i="19"/>
  <c r="N21" i="15" s="1"/>
  <c r="V8" i="19"/>
  <c r="V18" i="19"/>
  <c r="W8" i="19"/>
  <c r="X8" i="19" s="1"/>
  <c r="X27" i="19" s="1"/>
  <c r="U15" i="19"/>
  <c r="U22" i="19" s="1"/>
  <c r="G34" i="19"/>
  <c r="AG29" i="19"/>
  <c r="AG28" i="19"/>
  <c r="AG32" i="19" s="1"/>
  <c r="AG31" i="19"/>
  <c r="V5" i="19"/>
  <c r="V20" i="19"/>
  <c r="AH29" i="19"/>
  <c r="AH28" i="19"/>
  <c r="AH32" i="19" s="1"/>
  <c r="AH31" i="19"/>
  <c r="J25" i="19"/>
  <c r="J27" i="19"/>
  <c r="J19" i="19"/>
  <c r="J21" i="19"/>
  <c r="AK24" i="19"/>
  <c r="AK25" i="19" s="1"/>
  <c r="S27" i="19"/>
  <c r="S25" i="19"/>
  <c r="S9" i="19"/>
  <c r="S19" i="19"/>
  <c r="S21" i="19"/>
  <c r="T24" i="19"/>
  <c r="AF28" i="19"/>
  <c r="AF32" i="19" s="1"/>
  <c r="AF29" i="19"/>
  <c r="AF31" i="19"/>
  <c r="N24" i="19"/>
  <c r="N25" i="19" s="1"/>
  <c r="M27" i="19"/>
  <c r="L29" i="19"/>
  <c r="L31" i="19"/>
  <c r="S23" i="17"/>
  <c r="T24" i="17"/>
  <c r="L8" i="17"/>
  <c r="AJ8" i="17"/>
  <c r="W29" i="17"/>
  <c r="T12" i="17"/>
  <c r="T13" i="17" s="1"/>
  <c r="S9" i="17"/>
  <c r="S25" i="17"/>
  <c r="S27" i="17"/>
  <c r="S19" i="17"/>
  <c r="S21" i="17"/>
  <c r="AH29" i="17"/>
  <c r="AH28" i="17"/>
  <c r="AH32" i="17" s="1"/>
  <c r="AI28" i="17"/>
  <c r="AI32" i="17" s="1"/>
  <c r="AH31" i="17"/>
  <c r="AG29" i="17"/>
  <c r="AG28" i="17"/>
  <c r="AG32" i="17" s="1"/>
  <c r="AG31" i="17"/>
  <c r="V8" i="17"/>
  <c r="W8" i="17"/>
  <c r="X8" i="17" s="1"/>
  <c r="V18" i="17"/>
  <c r="I24" i="17"/>
  <c r="J14" i="17"/>
  <c r="V5" i="17"/>
  <c r="V20" i="17"/>
  <c r="U15" i="17"/>
  <c r="U22" i="17" s="1"/>
  <c r="U14" i="17"/>
  <c r="AF34" i="17"/>
  <c r="AE34" i="17"/>
  <c r="G29" i="17"/>
  <c r="G28" i="17"/>
  <c r="G31" i="17"/>
  <c r="H25" i="17"/>
  <c r="H27" i="17"/>
  <c r="H19" i="17"/>
  <c r="H21" i="17"/>
  <c r="J15" i="17"/>
  <c r="J22" i="17" s="1"/>
  <c r="I12" i="17"/>
  <c r="I13" i="17" s="1"/>
  <c r="AL33" i="12"/>
  <c r="Z33" i="12"/>
  <c r="AA33" i="12" s="1"/>
  <c r="G26" i="12"/>
  <c r="U12" i="17" l="1"/>
  <c r="U13" i="17" s="1"/>
  <c r="U12" i="19"/>
  <c r="U13" i="19" s="1"/>
  <c r="AH34" i="19"/>
  <c r="AH35" i="19" s="1"/>
  <c r="AG34" i="19"/>
  <c r="AG35" i="19" s="1"/>
  <c r="I21" i="15"/>
  <c r="AF34" i="19"/>
  <c r="AF35" i="19" s="1"/>
  <c r="G34" i="17"/>
  <c r="G35" i="17" s="1"/>
  <c r="J29" i="19"/>
  <c r="J28" i="19"/>
  <c r="J32" i="19" s="1"/>
  <c r="J31" i="19"/>
  <c r="K28" i="19"/>
  <c r="K32" i="19" s="1"/>
  <c r="X29" i="19"/>
  <c r="X31" i="19"/>
  <c r="V15" i="19"/>
  <c r="V22" i="19" s="1"/>
  <c r="U24" i="19"/>
  <c r="N27" i="19"/>
  <c r="M29" i="19"/>
  <c r="M31" i="19"/>
  <c r="T25" i="19"/>
  <c r="T27" i="19"/>
  <c r="T19" i="19"/>
  <c r="T21" i="19"/>
  <c r="Y8" i="19"/>
  <c r="Z8" i="19" s="1"/>
  <c r="AA8" i="19" s="1"/>
  <c r="X24" i="19"/>
  <c r="X25" i="19" s="1"/>
  <c r="AJ29" i="19"/>
  <c r="AK27" i="19"/>
  <c r="AJ31" i="19"/>
  <c r="I35" i="19"/>
  <c r="T23" i="19"/>
  <c r="AL24" i="19"/>
  <c r="AL25" i="19" s="1"/>
  <c r="G35" i="19"/>
  <c r="V14" i="19"/>
  <c r="S29" i="19"/>
  <c r="S28" i="19"/>
  <c r="S31" i="19"/>
  <c r="O24" i="19"/>
  <c r="O25" i="19" s="1"/>
  <c r="P22" i="15"/>
  <c r="L34" i="19"/>
  <c r="AH34" i="17"/>
  <c r="AH35" i="17" s="1"/>
  <c r="J12" i="17"/>
  <c r="J23" i="17" s="1"/>
  <c r="Y8" i="17"/>
  <c r="Z8" i="17" s="1"/>
  <c r="AA8" i="17" s="1"/>
  <c r="X24" i="17"/>
  <c r="X25" i="17" s="1"/>
  <c r="X36" i="17" s="1"/>
  <c r="X27" i="17"/>
  <c r="AK8" i="17"/>
  <c r="AL8" i="17" s="1"/>
  <c r="AM8" i="17" s="1"/>
  <c r="AJ24" i="17"/>
  <c r="AJ25" i="17" s="1"/>
  <c r="AJ27" i="17"/>
  <c r="V15" i="17"/>
  <c r="V22" i="17" s="1"/>
  <c r="AE35" i="17"/>
  <c r="AF35" i="17"/>
  <c r="H28" i="17"/>
  <c r="H32" i="17" s="1"/>
  <c r="H29" i="17"/>
  <c r="H31" i="17"/>
  <c r="I25" i="17"/>
  <c r="I36" i="17" s="1"/>
  <c r="I27" i="17"/>
  <c r="I19" i="17"/>
  <c r="I21" i="17"/>
  <c r="AG34" i="17"/>
  <c r="M8" i="17"/>
  <c r="N8" i="17" s="1"/>
  <c r="O8" i="17" s="1"/>
  <c r="L24" i="17"/>
  <c r="L25" i="17" s="1"/>
  <c r="L36" i="17" s="1"/>
  <c r="L27" i="17"/>
  <c r="I23" i="17"/>
  <c r="S29" i="17"/>
  <c r="S28" i="17"/>
  <c r="S31" i="17"/>
  <c r="T25" i="17"/>
  <c r="T27" i="17"/>
  <c r="T19" i="17"/>
  <c r="T21" i="17"/>
  <c r="J24" i="17"/>
  <c r="U23" i="17"/>
  <c r="U24" i="17"/>
  <c r="V14" i="17"/>
  <c r="T23" i="17"/>
  <c r="AM33" i="12"/>
  <c r="AB33" i="12"/>
  <c r="H26" i="12"/>
  <c r="T26" i="12"/>
  <c r="L42" i="17" l="1"/>
  <c r="L44" i="17"/>
  <c r="I42" i="17"/>
  <c r="U36" i="17"/>
  <c r="X42" i="17"/>
  <c r="X44" i="17"/>
  <c r="V12" i="17"/>
  <c r="H34" i="17"/>
  <c r="U23" i="19"/>
  <c r="M34" i="19"/>
  <c r="K22" i="15"/>
  <c r="Y24" i="19"/>
  <c r="Y25" i="19" s="1"/>
  <c r="O22" i="15"/>
  <c r="S34" i="19"/>
  <c r="AI34" i="19"/>
  <c r="P23" i="15" s="1"/>
  <c r="X34" i="19"/>
  <c r="Y27" i="19"/>
  <c r="AK29" i="19"/>
  <c r="AL27" i="19"/>
  <c r="AK31" i="19"/>
  <c r="T29" i="19"/>
  <c r="T28" i="19"/>
  <c r="T32" i="19" s="1"/>
  <c r="T31" i="19"/>
  <c r="U25" i="19"/>
  <c r="U27" i="19"/>
  <c r="U21" i="19"/>
  <c r="U19" i="19"/>
  <c r="J34" i="19"/>
  <c r="V24" i="19"/>
  <c r="O27" i="19"/>
  <c r="N29" i="19"/>
  <c r="N31" i="19"/>
  <c r="G32" i="19"/>
  <c r="S32" i="19"/>
  <c r="P24" i="19"/>
  <c r="P25" i="19" s="1"/>
  <c r="AM24" i="19"/>
  <c r="AM25" i="19" s="1"/>
  <c r="V12" i="19"/>
  <c r="V23" i="19" s="1"/>
  <c r="AJ34" i="19"/>
  <c r="I28" i="17"/>
  <c r="I32" i="17" s="1"/>
  <c r="I29" i="17"/>
  <c r="I31" i="17"/>
  <c r="Y24" i="17"/>
  <c r="Y25" i="17" s="1"/>
  <c r="T28" i="17"/>
  <c r="T32" i="17" s="1"/>
  <c r="T29" i="17"/>
  <c r="T31" i="17"/>
  <c r="L29" i="17"/>
  <c r="M27" i="17"/>
  <c r="L31" i="17"/>
  <c r="U25" i="17"/>
  <c r="U27" i="17"/>
  <c r="U21" i="17"/>
  <c r="U19" i="17"/>
  <c r="M24" i="17"/>
  <c r="M25" i="17" s="1"/>
  <c r="M36" i="17" s="1"/>
  <c r="AI34" i="17"/>
  <c r="H35" i="17"/>
  <c r="V23" i="17"/>
  <c r="V24" i="17"/>
  <c r="S34" i="17"/>
  <c r="AG35" i="17"/>
  <c r="X29" i="17"/>
  <c r="Y27" i="17"/>
  <c r="X31" i="17"/>
  <c r="J25" i="17"/>
  <c r="J36" i="17" s="1"/>
  <c r="J27" i="17"/>
  <c r="J21" i="17"/>
  <c r="J19" i="17"/>
  <c r="AJ29" i="17"/>
  <c r="AK27" i="17"/>
  <c r="AJ31" i="17"/>
  <c r="AK24" i="17"/>
  <c r="AK25" i="17" s="1"/>
  <c r="AN33" i="12"/>
  <c r="AC33" i="12"/>
  <c r="I26" i="12"/>
  <c r="U26" i="12"/>
  <c r="I43" i="17" l="1"/>
  <c r="U43" i="17" s="1"/>
  <c r="U42" i="17"/>
  <c r="J42" i="17"/>
  <c r="V36" i="17"/>
  <c r="K44" i="17"/>
  <c r="M42" i="17"/>
  <c r="M44" i="17"/>
  <c r="K23" i="15"/>
  <c r="T34" i="19"/>
  <c r="T35" i="19" s="1"/>
  <c r="AJ34" i="17"/>
  <c r="AK34" i="19"/>
  <c r="J35" i="19"/>
  <c r="Q24" i="19"/>
  <c r="Q25" i="19" s="1"/>
  <c r="K34" i="19"/>
  <c r="O23" i="15" s="1"/>
  <c r="Z27" i="19"/>
  <c r="Y29" i="19"/>
  <c r="Y31" i="19"/>
  <c r="S35" i="19"/>
  <c r="P27" i="19"/>
  <c r="O29" i="19"/>
  <c r="O31" i="19"/>
  <c r="AN24" i="19"/>
  <c r="AN25" i="19" s="1"/>
  <c r="Z24" i="19"/>
  <c r="Z25" i="19" s="1"/>
  <c r="V25" i="19"/>
  <c r="V27" i="19"/>
  <c r="V19" i="19"/>
  <c r="V21" i="19"/>
  <c r="U28" i="19"/>
  <c r="U32" i="19" s="1"/>
  <c r="U29" i="19"/>
  <c r="U31" i="19"/>
  <c r="AM27" i="19"/>
  <c r="AL29" i="19"/>
  <c r="AL31" i="19"/>
  <c r="N34" i="19"/>
  <c r="AI35" i="19"/>
  <c r="N24" i="17"/>
  <c r="N25" i="17" s="1"/>
  <c r="N36" i="17" s="1"/>
  <c r="N27" i="17"/>
  <c r="M29" i="17"/>
  <c r="M31" i="17"/>
  <c r="J29" i="17"/>
  <c r="J28" i="17"/>
  <c r="J32" i="17" s="1"/>
  <c r="J31" i="17"/>
  <c r="K28" i="17"/>
  <c r="K32" i="17" s="1"/>
  <c r="L34" i="17"/>
  <c r="L38" i="17" s="1"/>
  <c r="L41" i="17" s="1"/>
  <c r="Z24" i="17"/>
  <c r="Z25" i="17" s="1"/>
  <c r="T34" i="17"/>
  <c r="AL27" i="17"/>
  <c r="AK29" i="17"/>
  <c r="AK31" i="17"/>
  <c r="S35" i="17"/>
  <c r="V25" i="17"/>
  <c r="V27" i="17"/>
  <c r="V21" i="17"/>
  <c r="V19" i="17"/>
  <c r="U28" i="17"/>
  <c r="U32" i="17" s="1"/>
  <c r="U29" i="17"/>
  <c r="U31" i="17"/>
  <c r="AL24" i="17"/>
  <c r="AL25" i="17" s="1"/>
  <c r="Y29" i="17"/>
  <c r="Z27" i="17"/>
  <c r="Y31" i="17"/>
  <c r="X34" i="17"/>
  <c r="X38" i="17" s="1"/>
  <c r="X41" i="17" s="1"/>
  <c r="AI35" i="17"/>
  <c r="I34" i="17"/>
  <c r="I38" i="17" s="1"/>
  <c r="AO33" i="12"/>
  <c r="J26" i="12"/>
  <c r="V26" i="12"/>
  <c r="W44" i="17" l="1"/>
  <c r="K45" i="17"/>
  <c r="W45" i="17" s="1"/>
  <c r="V42" i="17"/>
  <c r="J43" i="17"/>
  <c r="V43" i="17" s="1"/>
  <c r="J44" i="17"/>
  <c r="N42" i="17"/>
  <c r="N44" i="17" s="1"/>
  <c r="I41" i="17"/>
  <c r="I39" i="17"/>
  <c r="Y34" i="19"/>
  <c r="AO24" i="19"/>
  <c r="AO25" i="19" s="1"/>
  <c r="V28" i="19"/>
  <c r="V32" i="19" s="1"/>
  <c r="V29" i="19"/>
  <c r="V31" i="19"/>
  <c r="W28" i="19"/>
  <c r="W32" i="19" s="1"/>
  <c r="AE32" i="19" s="1"/>
  <c r="AN27" i="19"/>
  <c r="AM29" i="19"/>
  <c r="AM31" i="19"/>
  <c r="O34" i="19"/>
  <c r="K35" i="19"/>
  <c r="AL34" i="19"/>
  <c r="Q27" i="19"/>
  <c r="P29" i="19"/>
  <c r="P31" i="19"/>
  <c r="U34" i="19"/>
  <c r="AA24" i="19"/>
  <c r="AA25" i="19" s="1"/>
  <c r="AA27" i="19"/>
  <c r="Z29" i="19"/>
  <c r="Z31" i="19"/>
  <c r="AK34" i="17"/>
  <c r="AM24" i="17"/>
  <c r="AM25" i="17" s="1"/>
  <c r="AL29" i="17"/>
  <c r="AM27" i="17"/>
  <c r="AL31" i="17"/>
  <c r="T35" i="17"/>
  <c r="AA24" i="17"/>
  <c r="AA25" i="17" s="1"/>
  <c r="M34" i="17"/>
  <c r="M38" i="17" s="1"/>
  <c r="M41" i="17" s="1"/>
  <c r="J34" i="17"/>
  <c r="J38" i="17" s="1"/>
  <c r="N29" i="17"/>
  <c r="O27" i="17"/>
  <c r="N31" i="17"/>
  <c r="G32" i="17"/>
  <c r="S32" i="17"/>
  <c r="V28" i="17"/>
  <c r="V32" i="17" s="1"/>
  <c r="V29" i="17"/>
  <c r="V31" i="17"/>
  <c r="W28" i="17"/>
  <c r="W32" i="17" s="1"/>
  <c r="AE32" i="17" s="1"/>
  <c r="U34" i="17"/>
  <c r="U38" i="17" s="1"/>
  <c r="I35" i="17"/>
  <c r="Z29" i="17"/>
  <c r="AA27" i="17"/>
  <c r="Z31" i="17"/>
  <c r="Y34" i="17"/>
  <c r="O24" i="17"/>
  <c r="O25" i="17" s="1"/>
  <c r="O36" i="17" s="1"/>
  <c r="G40" i="12"/>
  <c r="H40" i="12" s="1"/>
  <c r="I40" i="12" s="1"/>
  <c r="J40" i="12" s="1"/>
  <c r="K40" i="12" s="1"/>
  <c r="L40" i="12" s="1"/>
  <c r="M40" i="12" s="1"/>
  <c r="N40" i="12" s="1"/>
  <c r="O40" i="12" s="1"/>
  <c r="P40" i="12" s="1"/>
  <c r="Q40" i="12" s="1"/>
  <c r="S16" i="13"/>
  <c r="S17" i="13"/>
  <c r="T17" i="13" s="1"/>
  <c r="C27" i="15"/>
  <c r="C24" i="15"/>
  <c r="G12" i="13"/>
  <c r="H12" i="13" s="1"/>
  <c r="I12" i="13" s="1"/>
  <c r="J12" i="13" s="1"/>
  <c r="K12" i="13" s="1"/>
  <c r="S8" i="13"/>
  <c r="S4" i="13"/>
  <c r="P36" i="19"/>
  <c r="P42" i="19" s="1"/>
  <c r="E41" i="13"/>
  <c r="E42" i="13" s="1"/>
  <c r="F41" i="13"/>
  <c r="F42" i="13" s="1"/>
  <c r="E35" i="13"/>
  <c r="F35" i="13"/>
  <c r="E30" i="13"/>
  <c r="F30" i="13"/>
  <c r="E17" i="13"/>
  <c r="E20" i="13" s="1"/>
  <c r="F15" i="13"/>
  <c r="F17" i="13" s="1"/>
  <c r="F20" i="13" s="1"/>
  <c r="E6" i="13"/>
  <c r="E11" i="13" s="1"/>
  <c r="F6" i="13"/>
  <c r="F11" i="13" s="1"/>
  <c r="J41" i="17" l="1"/>
  <c r="J39" i="17"/>
  <c r="V44" i="17"/>
  <c r="J45" i="17"/>
  <c r="V45" i="17" s="1"/>
  <c r="U39" i="17"/>
  <c r="U41" i="17"/>
  <c r="O42" i="17"/>
  <c r="O44" i="17"/>
  <c r="AI36" i="17"/>
  <c r="AE36" i="19"/>
  <c r="H36" i="19"/>
  <c r="G36" i="19"/>
  <c r="AF36" i="17"/>
  <c r="AE36" i="17"/>
  <c r="K36" i="19"/>
  <c r="I36" i="19"/>
  <c r="AG36" i="19"/>
  <c r="AF36" i="19"/>
  <c r="G36" i="17"/>
  <c r="S36" i="17" s="1"/>
  <c r="AI36" i="19"/>
  <c r="AH36" i="19"/>
  <c r="AG36" i="17"/>
  <c r="L36" i="19"/>
  <c r="AH36" i="17"/>
  <c r="M36" i="19"/>
  <c r="M42" i="19" s="1"/>
  <c r="H36" i="17"/>
  <c r="AJ36" i="19"/>
  <c r="AJ42" i="19" s="1"/>
  <c r="J36" i="19"/>
  <c r="N36" i="19"/>
  <c r="N42" i="19" s="1"/>
  <c r="AK36" i="19"/>
  <c r="AK42" i="19" s="1"/>
  <c r="AL36" i="19"/>
  <c r="AL42" i="19" s="1"/>
  <c r="AL38" i="19" s="1"/>
  <c r="AL41" i="19" s="1"/>
  <c r="O36" i="19"/>
  <c r="X36" i="19"/>
  <c r="AJ36" i="17"/>
  <c r="AJ42" i="17" s="1"/>
  <c r="AL36" i="17"/>
  <c r="AL42" i="17" s="1"/>
  <c r="AL44" i="17" s="1"/>
  <c r="AN36" i="19"/>
  <c r="AM36" i="19"/>
  <c r="AM42" i="19" s="1"/>
  <c r="AO36" i="19"/>
  <c r="AO42" i="19" s="1"/>
  <c r="Z36" i="17"/>
  <c r="Z42" i="17" s="1"/>
  <c r="Z36" i="19"/>
  <c r="Z42" i="19" s="1"/>
  <c r="AK36" i="17"/>
  <c r="AK42" i="17" s="1"/>
  <c r="AK38" i="17" s="1"/>
  <c r="AK41" i="17" s="1"/>
  <c r="Q36" i="19"/>
  <c r="Q42" i="19" s="1"/>
  <c r="Y36" i="17"/>
  <c r="Y42" i="17" s="1"/>
  <c r="Y38" i="17" s="1"/>
  <c r="Y41" i="17" s="1"/>
  <c r="Y36" i="19"/>
  <c r="Y42" i="19" s="1"/>
  <c r="N22" i="15"/>
  <c r="AM34" i="19"/>
  <c r="J22" i="15"/>
  <c r="U35" i="19"/>
  <c r="AA36" i="19"/>
  <c r="AB24" i="19"/>
  <c r="AB25" i="19" s="1"/>
  <c r="Z34" i="19"/>
  <c r="AO27" i="19"/>
  <c r="AN29" i="19"/>
  <c r="AN31" i="19"/>
  <c r="AA29" i="19"/>
  <c r="AB27" i="19"/>
  <c r="AA31" i="19"/>
  <c r="AN42" i="19"/>
  <c r="AN44" i="19" s="1"/>
  <c r="Q29" i="19"/>
  <c r="Q31" i="19"/>
  <c r="V34" i="19"/>
  <c r="P34" i="19"/>
  <c r="P38" i="19" s="1"/>
  <c r="P41" i="19" s="1"/>
  <c r="P27" i="17"/>
  <c r="O29" i="17"/>
  <c r="O31" i="17"/>
  <c r="K34" i="17"/>
  <c r="K38" i="17" s="1"/>
  <c r="N34" i="17"/>
  <c r="N38" i="17" s="1"/>
  <c r="N41" i="17" s="1"/>
  <c r="AN24" i="17"/>
  <c r="AN25" i="17" s="1"/>
  <c r="AM36" i="17"/>
  <c r="AA29" i="17"/>
  <c r="AB27" i="17"/>
  <c r="AA31" i="17"/>
  <c r="U35" i="17"/>
  <c r="J35" i="17"/>
  <c r="AN27" i="17"/>
  <c r="AM29" i="17"/>
  <c r="AM31" i="17"/>
  <c r="Z34" i="17"/>
  <c r="AL34" i="17"/>
  <c r="P24" i="17"/>
  <c r="P25" i="17" s="1"/>
  <c r="P36" i="17" s="1"/>
  <c r="AB24" i="17"/>
  <c r="AB25" i="17" s="1"/>
  <c r="AA36" i="17"/>
  <c r="V34" i="17"/>
  <c r="V38" i="17" s="1"/>
  <c r="S18" i="13"/>
  <c r="C28" i="15"/>
  <c r="E36" i="13"/>
  <c r="E43" i="13" s="1"/>
  <c r="E21" i="13"/>
  <c r="S7" i="13"/>
  <c r="S9" i="13" s="1"/>
  <c r="F36" i="13"/>
  <c r="F43" i="13" s="1"/>
  <c r="F21" i="13"/>
  <c r="K41" i="17" l="1"/>
  <c r="K39" i="17"/>
  <c r="T36" i="17"/>
  <c r="I44" i="17"/>
  <c r="V41" i="17"/>
  <c r="V39" i="17"/>
  <c r="P42" i="17"/>
  <c r="P44" i="17"/>
  <c r="Q44" i="17" s="1"/>
  <c r="AM44" i="19"/>
  <c r="Y44" i="17"/>
  <c r="AK44" i="17"/>
  <c r="X42" i="19"/>
  <c r="N44" i="19"/>
  <c r="N38" i="19"/>
  <c r="N41" i="19" s="1"/>
  <c r="AJ44" i="17"/>
  <c r="AJ38" i="17"/>
  <c r="AJ41" i="17" s="1"/>
  <c r="V36" i="19"/>
  <c r="J42" i="19"/>
  <c r="J44" i="19" s="1"/>
  <c r="P24" i="15"/>
  <c r="S36" i="19"/>
  <c r="G42" i="19"/>
  <c r="O42" i="19"/>
  <c r="O44" i="19"/>
  <c r="AJ44" i="19"/>
  <c r="AJ38" i="19"/>
  <c r="AJ41" i="19" s="1"/>
  <c r="G42" i="17"/>
  <c r="T36" i="19"/>
  <c r="H42" i="19"/>
  <c r="H44" i="19"/>
  <c r="H42" i="17"/>
  <c r="T42" i="17" s="1"/>
  <c r="T38" i="17" s="1"/>
  <c r="Y38" i="19"/>
  <c r="Y41" i="19" s="1"/>
  <c r="AL44" i="19"/>
  <c r="M44" i="19"/>
  <c r="M38" i="19"/>
  <c r="M41" i="19" s="1"/>
  <c r="K24" i="15"/>
  <c r="I42" i="19"/>
  <c r="U36" i="19"/>
  <c r="I24" i="15"/>
  <c r="J24" i="15"/>
  <c r="Y44" i="19"/>
  <c r="P44" i="19"/>
  <c r="AM38" i="19"/>
  <c r="AM41" i="19" s="1"/>
  <c r="AK44" i="19"/>
  <c r="AK38" i="19"/>
  <c r="AK41" i="19" s="1"/>
  <c r="L42" i="19"/>
  <c r="L38" i="19" s="1"/>
  <c r="L41" i="19" s="1"/>
  <c r="O24" i="15"/>
  <c r="K42" i="19"/>
  <c r="K44" i="19" s="1"/>
  <c r="W36" i="19"/>
  <c r="N24" i="15" s="1"/>
  <c r="W34" i="19"/>
  <c r="N23" i="15" s="1"/>
  <c r="Z44" i="19"/>
  <c r="O34" i="17"/>
  <c r="O38" i="17" s="1"/>
  <c r="O41" i="17" s="1"/>
  <c r="I22" i="15"/>
  <c r="W34" i="17"/>
  <c r="W38" i="17" s="1"/>
  <c r="J23" i="15"/>
  <c r="AN34" i="19"/>
  <c r="AN38" i="19" s="1"/>
  <c r="AN41" i="19" s="1"/>
  <c r="AO29" i="19"/>
  <c r="AO31" i="19"/>
  <c r="AB36" i="19"/>
  <c r="AC24" i="19"/>
  <c r="Z38" i="19"/>
  <c r="Z41" i="19" s="1"/>
  <c r="AA42" i="19"/>
  <c r="V35" i="19"/>
  <c r="AB29" i="19"/>
  <c r="AC27" i="19"/>
  <c r="AB31" i="19"/>
  <c r="Q34" i="19"/>
  <c r="Q38" i="19" s="1"/>
  <c r="Q41" i="19" s="1"/>
  <c r="AA34" i="19"/>
  <c r="AA34" i="17"/>
  <c r="AM34" i="17"/>
  <c r="AL38" i="17"/>
  <c r="AL41" i="17" s="1"/>
  <c r="AM42" i="17"/>
  <c r="AM44" i="17" s="1"/>
  <c r="AB36" i="17"/>
  <c r="AC24" i="17"/>
  <c r="Q24" i="17"/>
  <c r="Q25" i="17" s="1"/>
  <c r="Q36" i="17" s="1"/>
  <c r="Q42" i="17" s="1"/>
  <c r="AO24" i="17"/>
  <c r="AN36" i="17"/>
  <c r="K35" i="17"/>
  <c r="V35" i="17"/>
  <c r="Z38" i="17"/>
  <c r="Z41" i="17" s="1"/>
  <c r="Q27" i="17"/>
  <c r="P29" i="17"/>
  <c r="P31" i="17"/>
  <c r="AA42" i="17"/>
  <c r="AA44" i="17" s="1"/>
  <c r="AB29" i="17"/>
  <c r="AC27" i="17"/>
  <c r="AB31" i="17"/>
  <c r="Z44" i="17"/>
  <c r="AN29" i="17"/>
  <c r="AO27" i="17"/>
  <c r="AN31" i="17"/>
  <c r="T41" i="17" l="1"/>
  <c r="T39" i="17"/>
  <c r="W39" i="17"/>
  <c r="W41" i="17"/>
  <c r="AO25" i="17"/>
  <c r="AO36" i="17" s="1"/>
  <c r="AO42" i="17" s="1"/>
  <c r="G44" i="17"/>
  <c r="S44" i="17" s="1"/>
  <c r="S42" i="17"/>
  <c r="S38" i="17" s="1"/>
  <c r="U44" i="17"/>
  <c r="I45" i="17"/>
  <c r="U45" i="17" s="1"/>
  <c r="AC25" i="17"/>
  <c r="AC36" i="17" s="1"/>
  <c r="AC42" i="17" s="1"/>
  <c r="AC25" i="19"/>
  <c r="AC36" i="19" s="1"/>
  <c r="AC42" i="19" s="1"/>
  <c r="L44" i="19"/>
  <c r="Q44" i="19" s="1"/>
  <c r="G45" i="17"/>
  <c r="V44" i="19"/>
  <c r="J45" i="19"/>
  <c r="V45" i="19" s="1"/>
  <c r="AH45" i="19" s="1"/>
  <c r="AI43" i="17"/>
  <c r="J27" i="15"/>
  <c r="T42" i="19"/>
  <c r="H43" i="19"/>
  <c r="T43" i="19" s="1"/>
  <c r="AF43" i="19" s="1"/>
  <c r="H38" i="19"/>
  <c r="AH45" i="17"/>
  <c r="G44" i="19"/>
  <c r="G37" i="19"/>
  <c r="S37" i="19" s="1"/>
  <c r="G43" i="19"/>
  <c r="S43" i="19" s="1"/>
  <c r="AE43" i="19" s="1"/>
  <c r="S42" i="19"/>
  <c r="G38" i="19"/>
  <c r="AH43" i="17"/>
  <c r="T44" i="19"/>
  <c r="H45" i="19"/>
  <c r="T45" i="19" s="1"/>
  <c r="AF45" i="19" s="1"/>
  <c r="AG43" i="17"/>
  <c r="O38" i="19"/>
  <c r="O41" i="19" s="1"/>
  <c r="H44" i="17"/>
  <c r="T44" i="17" s="1"/>
  <c r="H43" i="17"/>
  <c r="H38" i="17"/>
  <c r="G43" i="17"/>
  <c r="G37" i="17"/>
  <c r="S37" i="17" s="1"/>
  <c r="T37" i="17" s="1"/>
  <c r="U37" i="17" s="1"/>
  <c r="V37" i="17" s="1"/>
  <c r="W37" i="17" s="1"/>
  <c r="X37" i="17" s="1"/>
  <c r="G38" i="17"/>
  <c r="X44" i="19"/>
  <c r="O27" i="15"/>
  <c r="W42" i="19"/>
  <c r="W38" i="19" s="1"/>
  <c r="N25" i="15" s="1"/>
  <c r="K43" i="19"/>
  <c r="W43" i="19" s="1"/>
  <c r="AI43" i="19" s="1"/>
  <c r="K38" i="19"/>
  <c r="X38" i="19"/>
  <c r="X41" i="19" s="1"/>
  <c r="O28" i="15"/>
  <c r="K45" i="19"/>
  <c r="W45" i="19" s="1"/>
  <c r="AI45" i="19" s="1"/>
  <c r="W44" i="19"/>
  <c r="N28" i="15" s="1"/>
  <c r="I44" i="19"/>
  <c r="I43" i="19"/>
  <c r="U43" i="19" s="1"/>
  <c r="AG43" i="19" s="1"/>
  <c r="U42" i="19"/>
  <c r="I38" i="19"/>
  <c r="AO44" i="19"/>
  <c r="J43" i="19"/>
  <c r="V43" i="19" s="1"/>
  <c r="AH43" i="19" s="1"/>
  <c r="V42" i="19"/>
  <c r="J38" i="19"/>
  <c r="W35" i="19"/>
  <c r="I23" i="15"/>
  <c r="AB34" i="17"/>
  <c r="P34" i="17"/>
  <c r="P38" i="17" s="1"/>
  <c r="P41" i="17" s="1"/>
  <c r="AB34" i="19"/>
  <c r="W35" i="17"/>
  <c r="J25" i="15"/>
  <c r="AA44" i="19"/>
  <c r="AC29" i="19"/>
  <c r="AC31" i="19"/>
  <c r="AO34" i="19"/>
  <c r="AO38" i="19" s="1"/>
  <c r="AO41" i="19" s="1"/>
  <c r="AB42" i="19"/>
  <c r="AA38" i="19"/>
  <c r="AA41" i="19" s="1"/>
  <c r="Q29" i="17"/>
  <c r="Q31" i="17"/>
  <c r="AN42" i="17"/>
  <c r="AB42" i="17"/>
  <c r="AB44" i="17" s="1"/>
  <c r="AC29" i="17"/>
  <c r="AC31" i="17"/>
  <c r="AO29" i="17"/>
  <c r="AO31" i="17"/>
  <c r="AN34" i="17"/>
  <c r="AM38" i="17"/>
  <c r="AM41" i="17" s="1"/>
  <c r="AA38" i="17"/>
  <c r="AA41" i="17" s="1"/>
  <c r="C22" i="15"/>
  <c r="T43" i="17" l="1"/>
  <c r="AF43" i="17" s="1"/>
  <c r="S45" i="17"/>
  <c r="AE45" i="17" s="1"/>
  <c r="S41" i="17"/>
  <c r="S39" i="17"/>
  <c r="AE43" i="17"/>
  <c r="S43" i="17"/>
  <c r="I25" i="15"/>
  <c r="AC44" i="17"/>
  <c r="AE42" i="17"/>
  <c r="T37" i="19"/>
  <c r="U37" i="19" s="1"/>
  <c r="V37" i="19" s="1"/>
  <c r="W37" i="19" s="1"/>
  <c r="X37" i="19" s="1"/>
  <c r="Y37" i="19" s="1"/>
  <c r="Z37" i="19" s="1"/>
  <c r="AA37" i="19" s="1"/>
  <c r="AB37" i="19" s="1"/>
  <c r="AC37" i="19" s="1"/>
  <c r="I41" i="19"/>
  <c r="I39" i="19"/>
  <c r="AG42" i="19"/>
  <c r="U38" i="19"/>
  <c r="AH42" i="19"/>
  <c r="V38" i="19"/>
  <c r="O25" i="15"/>
  <c r="K41" i="19"/>
  <c r="O26" i="15" s="1"/>
  <c r="K39" i="19"/>
  <c r="G45" i="19"/>
  <c r="S45" i="19" s="1"/>
  <c r="AE45" i="19" s="1"/>
  <c r="S44" i="19"/>
  <c r="I27" i="15"/>
  <c r="AI42" i="17"/>
  <c r="I45" i="19"/>
  <c r="U45" i="19" s="1"/>
  <c r="AG45" i="19" s="1"/>
  <c r="U44" i="19"/>
  <c r="H39" i="17"/>
  <c r="H41" i="17"/>
  <c r="J39" i="19"/>
  <c r="J41" i="19"/>
  <c r="N27" i="15"/>
  <c r="AI42" i="19"/>
  <c r="H37" i="17"/>
  <c r="I37" i="17" s="1"/>
  <c r="J37" i="17" s="1"/>
  <c r="K37" i="17" s="1"/>
  <c r="L37" i="17" s="1"/>
  <c r="M37" i="17" s="1"/>
  <c r="N37" i="17" s="1"/>
  <c r="O37" i="17" s="1"/>
  <c r="P37" i="17" s="1"/>
  <c r="Q37" i="17" s="1"/>
  <c r="AH42" i="17"/>
  <c r="AF42" i="19"/>
  <c r="T38" i="19"/>
  <c r="H37" i="19"/>
  <c r="I37" i="19" s="1"/>
  <c r="J37" i="19" s="1"/>
  <c r="K37" i="19" s="1"/>
  <c r="L37" i="19" s="1"/>
  <c r="M37" i="19" s="1"/>
  <c r="N37" i="19" s="1"/>
  <c r="O37" i="19" s="1"/>
  <c r="P37" i="19" s="1"/>
  <c r="Q37" i="19" s="1"/>
  <c r="AF42" i="17"/>
  <c r="Y37" i="17"/>
  <c r="Z37" i="17" s="1"/>
  <c r="AA37" i="17" s="1"/>
  <c r="AB37" i="17" s="1"/>
  <c r="AC37" i="17" s="1"/>
  <c r="AG42" i="17"/>
  <c r="G41" i="19"/>
  <c r="G39" i="19"/>
  <c r="H39" i="19"/>
  <c r="H41" i="19"/>
  <c r="AG45" i="17"/>
  <c r="J28" i="15"/>
  <c r="AI45" i="17"/>
  <c r="I28" i="15"/>
  <c r="G41" i="17"/>
  <c r="G39" i="17"/>
  <c r="H45" i="17"/>
  <c r="AE42" i="19"/>
  <c r="S38" i="19"/>
  <c r="W39" i="19"/>
  <c r="W41" i="19"/>
  <c r="N26" i="15" s="1"/>
  <c r="AB44" i="19"/>
  <c r="AC44" i="19" s="1"/>
  <c r="I26" i="15"/>
  <c r="J26" i="15"/>
  <c r="AC34" i="19"/>
  <c r="AC38" i="19" s="1"/>
  <c r="AC41" i="19" s="1"/>
  <c r="AB38" i="19"/>
  <c r="AB41" i="19" s="1"/>
  <c r="AO34" i="17"/>
  <c r="AO38" i="17" s="1"/>
  <c r="AO41" i="17" s="1"/>
  <c r="AC34" i="17"/>
  <c r="AC38" i="17" s="1"/>
  <c r="AC41" i="17" s="1"/>
  <c r="AN38" i="17"/>
  <c r="AN41" i="17" s="1"/>
  <c r="AN44" i="17"/>
  <c r="AO44" i="17" s="1"/>
  <c r="AB38" i="17"/>
  <c r="AB41" i="17" s="1"/>
  <c r="Q34" i="17"/>
  <c r="Q38" i="17" s="1"/>
  <c r="Q41" i="17" s="1"/>
  <c r="C31" i="15"/>
  <c r="C19" i="15"/>
  <c r="C18" i="15"/>
  <c r="G3" i="12"/>
  <c r="AF45" i="17" l="1"/>
  <c r="T45" i="17"/>
  <c r="AF38" i="17"/>
  <c r="AF44" i="17"/>
  <c r="AG38" i="19"/>
  <c r="AG44" i="19"/>
  <c r="U39" i="19"/>
  <c r="U41" i="19"/>
  <c r="S39" i="19"/>
  <c r="S41" i="19"/>
  <c r="AH44" i="17"/>
  <c r="AH38" i="17"/>
  <c r="AF38" i="19"/>
  <c r="AF44" i="19"/>
  <c r="V39" i="19"/>
  <c r="V41" i="19"/>
  <c r="T39" i="19"/>
  <c r="T41" i="19"/>
  <c r="K27" i="15"/>
  <c r="AI38" i="17"/>
  <c r="AI44" i="17"/>
  <c r="K28" i="15" s="1"/>
  <c r="AG38" i="17"/>
  <c r="AG44" i="17"/>
  <c r="AH38" i="19"/>
  <c r="AH44" i="19"/>
  <c r="AE38" i="17"/>
  <c r="AE37" i="17"/>
  <c r="AF37" i="17" s="1"/>
  <c r="AG37" i="17" s="1"/>
  <c r="AH37" i="17" s="1"/>
  <c r="AI37" i="17" s="1"/>
  <c r="AJ37" i="17" s="1"/>
  <c r="AK37" i="17" s="1"/>
  <c r="AL37" i="17" s="1"/>
  <c r="AM37" i="17" s="1"/>
  <c r="AN37" i="17" s="1"/>
  <c r="AO37" i="17" s="1"/>
  <c r="AE44" i="17"/>
  <c r="AE38" i="19"/>
  <c r="AE37" i="19"/>
  <c r="AF37" i="19" s="1"/>
  <c r="AG37" i="19" s="1"/>
  <c r="AH37" i="19" s="1"/>
  <c r="AI37" i="19" s="1"/>
  <c r="AJ37" i="19" s="1"/>
  <c r="AK37" i="19" s="1"/>
  <c r="AL37" i="19" s="1"/>
  <c r="AM37" i="19" s="1"/>
  <c r="AN37" i="19" s="1"/>
  <c r="AO37" i="19" s="1"/>
  <c r="AE44" i="19"/>
  <c r="P27" i="15"/>
  <c r="AI38" i="19"/>
  <c r="AI44" i="19"/>
  <c r="P28" i="15" s="1"/>
  <c r="C20" i="15"/>
  <c r="T16" i="13"/>
  <c r="H3" i="12"/>
  <c r="AE17" i="12"/>
  <c r="AF17" i="12" s="1"/>
  <c r="AG17" i="12" s="1"/>
  <c r="AH17" i="12" s="1"/>
  <c r="C17" i="15"/>
  <c r="C10" i="15"/>
  <c r="S20" i="13"/>
  <c r="AI39" i="17" l="1"/>
  <c r="AI41" i="17"/>
  <c r="K26" i="15" s="1"/>
  <c r="K25" i="15"/>
  <c r="AF41" i="19"/>
  <c r="AF39" i="19"/>
  <c r="AH41" i="19"/>
  <c r="AH39" i="19"/>
  <c r="AE39" i="19"/>
  <c r="AE41" i="19"/>
  <c r="AG41" i="19"/>
  <c r="AG39" i="19"/>
  <c r="P25" i="15"/>
  <c r="AI41" i="19"/>
  <c r="P26" i="15" s="1"/>
  <c r="AI39" i="19"/>
  <c r="AF39" i="17"/>
  <c r="AF41" i="17"/>
  <c r="AH41" i="17"/>
  <c r="AH39" i="17"/>
  <c r="AE39" i="17"/>
  <c r="AE41" i="17"/>
  <c r="AG39" i="17"/>
  <c r="AG41" i="17"/>
  <c r="I3" i="12"/>
  <c r="C8" i="15"/>
  <c r="S11" i="12"/>
  <c r="AE11" i="12"/>
  <c r="AE33" i="12"/>
  <c r="S33" i="12"/>
  <c r="T33" i="12" s="1"/>
  <c r="S17" i="12"/>
  <c r="T17" i="12" s="1"/>
  <c r="U17" i="12" s="1"/>
  <c r="V17" i="12" s="1"/>
  <c r="C7" i="15"/>
  <c r="S10" i="12"/>
  <c r="AE10" i="12"/>
  <c r="C21" i="15"/>
  <c r="C23" i="15"/>
  <c r="AF10" i="12" l="1"/>
  <c r="J3" i="12"/>
  <c r="AF11" i="12"/>
  <c r="T10" i="12"/>
  <c r="U33" i="12"/>
  <c r="AF33" i="12"/>
  <c r="S30" i="12"/>
  <c r="T30" i="12" s="1"/>
  <c r="AE30" i="12"/>
  <c r="AF30" i="12" s="1"/>
  <c r="T18" i="13"/>
  <c r="C9" i="15"/>
  <c r="K46" i="17" l="1"/>
  <c r="I46" i="17"/>
  <c r="U46" i="17" s="1"/>
  <c r="X46" i="17"/>
  <c r="J46" i="17"/>
  <c r="L46" i="17"/>
  <c r="L47" i="17" s="1"/>
  <c r="L48" i="17" s="1"/>
  <c r="L49" i="17" s="1"/>
  <c r="M46" i="17"/>
  <c r="M47" i="17" s="1"/>
  <c r="M48" i="17" s="1"/>
  <c r="M49" i="17" s="1"/>
  <c r="N46" i="17"/>
  <c r="O46" i="17"/>
  <c r="P46" i="17"/>
  <c r="Q46" i="17"/>
  <c r="Q47" i="17" s="1"/>
  <c r="Q48" i="17" s="1"/>
  <c r="Q49" i="17" s="1"/>
  <c r="AI46" i="17"/>
  <c r="K29" i="15" s="1"/>
  <c r="AE46" i="19"/>
  <c r="H46" i="19"/>
  <c r="G46" i="19"/>
  <c r="I46" i="19"/>
  <c r="K46" i="19"/>
  <c r="AF46" i="17"/>
  <c r="AE46" i="17"/>
  <c r="L46" i="19"/>
  <c r="AG46" i="17"/>
  <c r="AH46" i="19"/>
  <c r="G46" i="17"/>
  <c r="S46" i="17" s="1"/>
  <c r="AI46" i="19"/>
  <c r="P29" i="15" s="1"/>
  <c r="AF46" i="19"/>
  <c r="AH46" i="17"/>
  <c r="AG46" i="19"/>
  <c r="J46" i="19"/>
  <c r="H46" i="17"/>
  <c r="AJ46" i="19"/>
  <c r="M46" i="19"/>
  <c r="X46" i="19"/>
  <c r="AJ46" i="17"/>
  <c r="N46" i="19"/>
  <c r="AK46" i="19"/>
  <c r="AK46" i="17"/>
  <c r="Y46" i="19"/>
  <c r="O46" i="19"/>
  <c r="Y46" i="17"/>
  <c r="AL46" i="19"/>
  <c r="Z46" i="19"/>
  <c r="AL46" i="17"/>
  <c r="AM46" i="19"/>
  <c r="Z46" i="17"/>
  <c r="P46" i="19"/>
  <c r="AN46" i="19"/>
  <c r="AA46" i="19"/>
  <c r="AA46" i="17"/>
  <c r="Q46" i="19"/>
  <c r="AM46" i="17"/>
  <c r="AN46" i="17"/>
  <c r="AN47" i="17" s="1"/>
  <c r="AN48" i="17" s="1"/>
  <c r="AN49" i="17" s="1"/>
  <c r="AO46" i="19"/>
  <c r="AB46" i="17"/>
  <c r="AB46" i="19"/>
  <c r="AC46" i="19"/>
  <c r="AC47" i="19" s="1"/>
  <c r="AC48" i="19" s="1"/>
  <c r="AC46" i="17"/>
  <c r="AO46" i="17"/>
  <c r="AG10" i="12"/>
  <c r="C25" i="15"/>
  <c r="K3" i="12"/>
  <c r="U10" i="12"/>
  <c r="AG11" i="12"/>
  <c r="AG33" i="12"/>
  <c r="AG30" i="12"/>
  <c r="U30" i="12"/>
  <c r="V33" i="12"/>
  <c r="C29" i="15"/>
  <c r="N47" i="17" l="1"/>
  <c r="N48" i="17" s="1"/>
  <c r="N49" i="17" s="1"/>
  <c r="O47" i="17"/>
  <c r="O48" i="17" s="1"/>
  <c r="O49" i="17" s="1"/>
  <c r="M47" i="19"/>
  <c r="M48" i="19" s="1"/>
  <c r="M49" i="19" s="1"/>
  <c r="Y47" i="17"/>
  <c r="Y48" i="17" s="1"/>
  <c r="Y49" i="17" s="1"/>
  <c r="AK47" i="19"/>
  <c r="AK48" i="19" s="1"/>
  <c r="AK49" i="19" s="1"/>
  <c r="V46" i="17"/>
  <c r="J47" i="17"/>
  <c r="AM47" i="19"/>
  <c r="AM48" i="19" s="1"/>
  <c r="AM49" i="19" s="1"/>
  <c r="P47" i="17"/>
  <c r="P48" i="17" s="1"/>
  <c r="P49" i="17" s="1"/>
  <c r="W46" i="17"/>
  <c r="X47" i="17" s="1"/>
  <c r="X48" i="17" s="1"/>
  <c r="X49" i="17" s="1"/>
  <c r="K47" i="17"/>
  <c r="AO47" i="17"/>
  <c r="AO48" i="17" s="1"/>
  <c r="AO49" i="17" s="1"/>
  <c r="T46" i="17"/>
  <c r="I47" i="17"/>
  <c r="AB47" i="19"/>
  <c r="AB48" i="19" s="1"/>
  <c r="AB49" i="19" s="1"/>
  <c r="O47" i="19"/>
  <c r="O48" i="19" s="1"/>
  <c r="O49" i="19" s="1"/>
  <c r="AO47" i="19"/>
  <c r="AO48" i="19" s="1"/>
  <c r="AO49" i="19" s="1"/>
  <c r="AK47" i="17"/>
  <c r="AK48" i="17" s="1"/>
  <c r="AK49" i="17" s="1"/>
  <c r="AA47" i="17"/>
  <c r="AA48" i="17" s="1"/>
  <c r="AA49" i="17" s="1"/>
  <c r="Q47" i="19"/>
  <c r="Q48" i="19" s="1"/>
  <c r="Q49" i="19" s="1"/>
  <c r="Z47" i="19"/>
  <c r="Z48" i="19" s="1"/>
  <c r="Z49" i="19" s="1"/>
  <c r="L47" i="19"/>
  <c r="L48" i="19" s="1"/>
  <c r="L49" i="19" s="1"/>
  <c r="G47" i="17"/>
  <c r="S47" i="17" s="1"/>
  <c r="S48" i="17" s="1"/>
  <c r="S49" i="17" s="1"/>
  <c r="G47" i="19"/>
  <c r="S46" i="19"/>
  <c r="AJ47" i="19"/>
  <c r="AJ48" i="19" s="1"/>
  <c r="AJ49" i="19" s="1"/>
  <c r="I29" i="15"/>
  <c r="J29" i="15"/>
  <c r="AA47" i="19"/>
  <c r="AA48" i="19" s="1"/>
  <c r="AA49" i="19" s="1"/>
  <c r="AL47" i="19"/>
  <c r="AL48" i="19" s="1"/>
  <c r="AL49" i="19" s="1"/>
  <c r="H47" i="17"/>
  <c r="T47" i="17" s="1"/>
  <c r="T48" i="17" s="1"/>
  <c r="T49" i="17" s="1"/>
  <c r="T46" i="19"/>
  <c r="H47" i="19"/>
  <c r="I47" i="19"/>
  <c r="U46" i="19"/>
  <c r="AB47" i="17"/>
  <c r="AB48" i="17" s="1"/>
  <c r="AB49" i="17" s="1"/>
  <c r="AN47" i="19"/>
  <c r="AN48" i="19" s="1"/>
  <c r="AN49" i="19" s="1"/>
  <c r="V46" i="19"/>
  <c r="J47" i="19"/>
  <c r="AC49" i="17"/>
  <c r="P47" i="19"/>
  <c r="P48" i="19" s="1"/>
  <c r="P49" i="19" s="1"/>
  <c r="Z47" i="17"/>
  <c r="Z48" i="17" s="1"/>
  <c r="Z49" i="17" s="1"/>
  <c r="Y47" i="19"/>
  <c r="Y48" i="19" s="1"/>
  <c r="Y49" i="19" s="1"/>
  <c r="N47" i="19"/>
  <c r="N48" i="19" s="1"/>
  <c r="N49" i="19" s="1"/>
  <c r="AL47" i="17"/>
  <c r="AL48" i="17" s="1"/>
  <c r="AL49" i="17" s="1"/>
  <c r="AC47" i="17"/>
  <c r="AC48" i="17" s="1"/>
  <c r="AM47" i="17"/>
  <c r="AM48" i="17" s="1"/>
  <c r="AM49" i="17" s="1"/>
  <c r="AJ47" i="17"/>
  <c r="AJ48" i="17" s="1"/>
  <c r="AJ49" i="17" s="1"/>
  <c r="O29" i="15"/>
  <c r="W46" i="19"/>
  <c r="N29" i="15" s="1"/>
  <c r="K47" i="19"/>
  <c r="AH10" i="12"/>
  <c r="C30" i="15"/>
  <c r="S3" i="12"/>
  <c r="AH11" i="12"/>
  <c r="V10" i="12"/>
  <c r="AH30" i="12"/>
  <c r="V30" i="12"/>
  <c r="AH33" i="12"/>
  <c r="C26" i="15"/>
  <c r="W47" i="17" l="1"/>
  <c r="W48" i="17" s="1"/>
  <c r="W49" i="17" s="1"/>
  <c r="K48" i="17"/>
  <c r="K49" i="17" s="1"/>
  <c r="V47" i="17"/>
  <c r="V48" i="17" s="1"/>
  <c r="V49" i="17" s="1"/>
  <c r="J48" i="17"/>
  <c r="J49" i="17" s="1"/>
  <c r="U47" i="17"/>
  <c r="U48" i="17" s="1"/>
  <c r="U49" i="17" s="1"/>
  <c r="S50" i="17" s="1"/>
  <c r="S51" i="17" s="1"/>
  <c r="S52" i="17" s="1"/>
  <c r="I48" i="17"/>
  <c r="I49" i="17" s="1"/>
  <c r="AC49" i="19"/>
  <c r="U47" i="19"/>
  <c r="I48" i="19"/>
  <c r="I49" i="19" s="1"/>
  <c r="T47" i="19"/>
  <c r="H48" i="19"/>
  <c r="H49" i="19" s="1"/>
  <c r="S47" i="19"/>
  <c r="G48" i="19"/>
  <c r="G49" i="19" s="1"/>
  <c r="H48" i="17"/>
  <c r="H49" i="17" s="1"/>
  <c r="W47" i="19"/>
  <c r="K48" i="19"/>
  <c r="V47" i="19"/>
  <c r="J48" i="19"/>
  <c r="J49" i="19" s="1"/>
  <c r="X47" i="19"/>
  <c r="X48" i="19" s="1"/>
  <c r="X49" i="19" s="1"/>
  <c r="G48" i="17"/>
  <c r="G49" i="17" s="1"/>
  <c r="T3" i="12"/>
  <c r="S6" i="12"/>
  <c r="S7" i="12"/>
  <c r="AE47" i="17" l="1"/>
  <c r="AE48" i="17" s="1"/>
  <c r="AE49" i="17" s="1"/>
  <c r="AI47" i="19"/>
  <c r="AI48" i="19" s="1"/>
  <c r="W48" i="19"/>
  <c r="AG47" i="19"/>
  <c r="AG48" i="19" s="1"/>
  <c r="AG49" i="19" s="1"/>
  <c r="U48" i="19"/>
  <c r="U49" i="19" s="1"/>
  <c r="AF47" i="19"/>
  <c r="AF48" i="19" s="1"/>
  <c r="AF49" i="19" s="1"/>
  <c r="T48" i="19"/>
  <c r="T49" i="19" s="1"/>
  <c r="AH47" i="17"/>
  <c r="AH48" i="17" s="1"/>
  <c r="AH49" i="17" s="1"/>
  <c r="AF47" i="17"/>
  <c r="AF48" i="17" s="1"/>
  <c r="AF49" i="17" s="1"/>
  <c r="O30" i="15"/>
  <c r="K49" i="19"/>
  <c r="E50" i="19" s="1"/>
  <c r="E50" i="17"/>
  <c r="J30" i="15"/>
  <c r="AG47" i="17"/>
  <c r="AG48" i="17" s="1"/>
  <c r="AG49" i="17" s="1"/>
  <c r="AH47" i="19"/>
  <c r="AH48" i="19" s="1"/>
  <c r="AH49" i="19" s="1"/>
  <c r="V48" i="19"/>
  <c r="V49" i="19" s="1"/>
  <c r="AE47" i="19"/>
  <c r="AE48" i="19" s="1"/>
  <c r="AE49" i="19" s="1"/>
  <c r="S48" i="19"/>
  <c r="S49" i="19" s="1"/>
  <c r="AI47" i="17"/>
  <c r="AI48" i="17" s="1"/>
  <c r="S18" i="12"/>
  <c r="S5" i="12"/>
  <c r="S20" i="12"/>
  <c r="U3" i="12"/>
  <c r="T6" i="12"/>
  <c r="T7" i="12"/>
  <c r="J32" i="15" l="1"/>
  <c r="E51" i="17"/>
  <c r="O32" i="15"/>
  <c r="E51" i="19"/>
  <c r="N30" i="15"/>
  <c r="W49" i="19"/>
  <c r="S50" i="19" s="1"/>
  <c r="P30" i="15"/>
  <c r="AI49" i="19"/>
  <c r="AE50" i="19" s="1"/>
  <c r="I30" i="15"/>
  <c r="AI49" i="17"/>
  <c r="AE50" i="17" s="1"/>
  <c r="K30" i="15"/>
  <c r="V3" i="12"/>
  <c r="U6" i="12"/>
  <c r="U7" i="12"/>
  <c r="T8" i="12"/>
  <c r="T18" i="12"/>
  <c r="T5" i="12"/>
  <c r="P32" i="15" l="1"/>
  <c r="AE51" i="19"/>
  <c r="AE51" i="17"/>
  <c r="K32" i="15"/>
  <c r="I32" i="15"/>
  <c r="N32" i="15"/>
  <c r="S51" i="19"/>
  <c r="O33" i="15"/>
  <c r="E52" i="19"/>
  <c r="O34" i="15" s="1"/>
  <c r="E52" i="17"/>
  <c r="J34" i="15" s="1"/>
  <c r="J33" i="15"/>
  <c r="U5" i="12"/>
  <c r="U8" i="12"/>
  <c r="U18" i="12"/>
  <c r="W3" i="12"/>
  <c r="V7" i="12"/>
  <c r="V6" i="12"/>
  <c r="N33" i="15" l="1"/>
  <c r="S52" i="19"/>
  <c r="N34" i="15" s="1"/>
  <c r="AE52" i="17"/>
  <c r="K34" i="15" s="1"/>
  <c r="K33" i="15"/>
  <c r="P33" i="15"/>
  <c r="AE52" i="19"/>
  <c r="P34" i="15" s="1"/>
  <c r="I33" i="15"/>
  <c r="I34" i="15"/>
  <c r="AE3" i="12"/>
  <c r="W6" i="12"/>
  <c r="W7" i="12"/>
  <c r="V8" i="12"/>
  <c r="V18" i="12"/>
  <c r="V5" i="12"/>
  <c r="W18" i="12" l="1"/>
  <c r="W8" i="12"/>
  <c r="W5" i="12"/>
  <c r="W20" i="12"/>
  <c r="AF3" i="12"/>
  <c r="AE6" i="12"/>
  <c r="AE7" i="12"/>
  <c r="S15" i="12"/>
  <c r="S22" i="12" s="1"/>
  <c r="AE8" i="12" l="1"/>
  <c r="AE18" i="12"/>
  <c r="W14" i="12"/>
  <c r="D16" i="15"/>
  <c r="AE5" i="12"/>
  <c r="AE20" i="12"/>
  <c r="AE15" i="12" s="1"/>
  <c r="AE22" i="12" s="1"/>
  <c r="AG3" i="12"/>
  <c r="AF7" i="12"/>
  <c r="AF6" i="12"/>
  <c r="AF20" i="12" s="1"/>
  <c r="D17" i="15"/>
  <c r="W15" i="12"/>
  <c r="W22" i="12" s="1"/>
  <c r="W24" i="12" s="1"/>
  <c r="D19" i="15"/>
  <c r="W19" i="12" l="1"/>
  <c r="W25" i="12"/>
  <c r="W36" i="12" s="1"/>
  <c r="W27" i="12"/>
  <c r="W21" i="12"/>
  <c r="AF8" i="12"/>
  <c r="AF18" i="12"/>
  <c r="AF5" i="12"/>
  <c r="AH3" i="12"/>
  <c r="AG7" i="12"/>
  <c r="AG6" i="12"/>
  <c r="AG20" i="12" s="1"/>
  <c r="D20" i="15"/>
  <c r="D18" i="15"/>
  <c r="W12" i="12"/>
  <c r="D31" i="15" s="1"/>
  <c r="W29" i="12" l="1"/>
  <c r="W31" i="12"/>
  <c r="AG8" i="12"/>
  <c r="AG18" i="12"/>
  <c r="D21" i="15"/>
  <c r="AG5" i="12"/>
  <c r="W23" i="12"/>
  <c r="AI3" i="12"/>
  <c r="AH6" i="12"/>
  <c r="AH20" i="12" s="1"/>
  <c r="AH7" i="12"/>
  <c r="AF15" i="12"/>
  <c r="AF22" i="12" s="1"/>
  <c r="AH8" i="12" l="1"/>
  <c r="AH18" i="12"/>
  <c r="AH5" i="12"/>
  <c r="AI6" i="12"/>
  <c r="AI7" i="12"/>
  <c r="AG15" i="12"/>
  <c r="AG22" i="12" s="1"/>
  <c r="AI18" i="12" l="1"/>
  <c r="AI8" i="12"/>
  <c r="AI20" i="12"/>
  <c r="AI5" i="12"/>
  <c r="AH15" i="12"/>
  <c r="AH22" i="12" s="1"/>
  <c r="F16" i="15" l="1"/>
  <c r="AI14" i="12"/>
  <c r="F17" i="15"/>
  <c r="AI15" i="12"/>
  <c r="AI22" i="12" s="1"/>
  <c r="AI24" i="12" s="1"/>
  <c r="AI25" i="12" s="1"/>
  <c r="AI36" i="12" s="1"/>
  <c r="AI27" i="12" l="1"/>
  <c r="AI21" i="12"/>
  <c r="F19" i="15"/>
  <c r="AI19" i="12"/>
  <c r="F18" i="15"/>
  <c r="AI12" i="12"/>
  <c r="F31" i="15" s="1"/>
  <c r="AI29" i="12" l="1"/>
  <c r="AI46" i="12" s="1"/>
  <c r="F29" i="15" s="1"/>
  <c r="AI31" i="12"/>
  <c r="F20" i="15"/>
  <c r="F24" i="15"/>
  <c r="F21" i="15"/>
  <c r="AI23" i="12"/>
  <c r="G11" i="12"/>
  <c r="H11" i="12" l="1"/>
  <c r="T11" i="12"/>
  <c r="T20" i="12" s="1"/>
  <c r="G33" i="12"/>
  <c r="H33" i="12" s="1"/>
  <c r="I33" i="12" l="1"/>
  <c r="T15" i="12"/>
  <c r="T22" i="12" s="1"/>
  <c r="T24" i="12" s="1"/>
  <c r="I11" i="12"/>
  <c r="U11" i="12"/>
  <c r="U20" i="12" s="1"/>
  <c r="J33" i="12"/>
  <c r="T25" i="12" l="1"/>
  <c r="T36" i="12" s="1"/>
  <c r="T27" i="12"/>
  <c r="T31" i="12" s="1"/>
  <c r="T21" i="12"/>
  <c r="U15" i="12"/>
  <c r="U22" i="12" s="1"/>
  <c r="U24" i="12" s="1"/>
  <c r="U21" i="12" s="1"/>
  <c r="J11" i="12"/>
  <c r="V11" i="12"/>
  <c r="V20" i="12" s="1"/>
  <c r="U27" i="12" l="1"/>
  <c r="U31" i="12" s="1"/>
  <c r="U25" i="12"/>
  <c r="U36" i="12" s="1"/>
  <c r="T29" i="12"/>
  <c r="V15" i="12"/>
  <c r="V22" i="12" s="1"/>
  <c r="V24" i="12" s="1"/>
  <c r="V21" i="12" s="1"/>
  <c r="V25" i="12" l="1"/>
  <c r="V36" i="12" s="1"/>
  <c r="V27" i="12"/>
  <c r="V31" i="12" s="1"/>
  <c r="T34" i="12"/>
  <c r="T35" i="12" s="1"/>
  <c r="U28" i="12"/>
  <c r="U32" i="12" s="1"/>
  <c r="U29" i="12"/>
  <c r="G10" i="12"/>
  <c r="U34" i="12" l="1"/>
  <c r="U35" i="12" s="1"/>
  <c r="V28" i="12"/>
  <c r="V32" i="12" s="1"/>
  <c r="V29" i="12"/>
  <c r="W28" i="12"/>
  <c r="W32" i="12" s="1"/>
  <c r="H10" i="12"/>
  <c r="S14" i="12"/>
  <c r="S12" i="12" s="1"/>
  <c r="S24" i="12"/>
  <c r="V34" i="12" l="1"/>
  <c r="V35" i="12" s="1"/>
  <c r="D22" i="15"/>
  <c r="W34" i="12"/>
  <c r="I10" i="12"/>
  <c r="AE14" i="12"/>
  <c r="AE12" i="12" s="1"/>
  <c r="AF24" i="12"/>
  <c r="AE24" i="12"/>
  <c r="S23" i="12"/>
  <c r="S21" i="12"/>
  <c r="S9" i="12"/>
  <c r="S25" i="12"/>
  <c r="S36" i="12" s="1"/>
  <c r="S27" i="12"/>
  <c r="T19" i="12"/>
  <c r="T14" i="12"/>
  <c r="T12" i="12" s="1"/>
  <c r="S19" i="12"/>
  <c r="W35" i="12" l="1"/>
  <c r="D23" i="15"/>
  <c r="AF21" i="12"/>
  <c r="AF25" i="12"/>
  <c r="AF36" i="12" s="1"/>
  <c r="AF27" i="12"/>
  <c r="AF31" i="12" s="1"/>
  <c r="J10" i="12"/>
  <c r="AE27" i="12"/>
  <c r="AE28" i="12" s="1"/>
  <c r="AE9" i="12"/>
  <c r="AE25" i="12"/>
  <c r="AE36" i="12" s="1"/>
  <c r="AE21" i="12"/>
  <c r="AE19" i="12"/>
  <c r="AG24" i="12"/>
  <c r="AF19" i="12"/>
  <c r="AF14" i="12"/>
  <c r="AF12" i="12" s="1"/>
  <c r="AE13" i="12"/>
  <c r="AE23" i="12"/>
  <c r="S31" i="12"/>
  <c r="S29" i="12"/>
  <c r="T28" i="12"/>
  <c r="T32" i="12" s="1"/>
  <c r="T13" i="12"/>
  <c r="T23" i="12"/>
  <c r="U14" i="12"/>
  <c r="U12" i="12" s="1"/>
  <c r="U19" i="12"/>
  <c r="AG21" i="12" l="1"/>
  <c r="AG27" i="12"/>
  <c r="AG31" i="12" s="1"/>
  <c r="AG25" i="12"/>
  <c r="AG36" i="12" s="1"/>
  <c r="AF29" i="12"/>
  <c r="AF13" i="12"/>
  <c r="AF23" i="12"/>
  <c r="AE29" i="12"/>
  <c r="AE46" i="12" s="1"/>
  <c r="AF28" i="12"/>
  <c r="AF32" i="12" s="1"/>
  <c r="AE31" i="12"/>
  <c r="AG14" i="12"/>
  <c r="AG12" i="12" s="1"/>
  <c r="AH24" i="12"/>
  <c r="AG19" i="12"/>
  <c r="S34" i="12"/>
  <c r="S35" i="12" s="1"/>
  <c r="V19" i="12"/>
  <c r="V14" i="12"/>
  <c r="V12" i="12" s="1"/>
  <c r="V23" i="12" s="1"/>
  <c r="U23" i="12"/>
  <c r="U13" i="12"/>
  <c r="AF34" i="12" l="1"/>
  <c r="AF35" i="12" s="1"/>
  <c r="AF46" i="12"/>
  <c r="AG28" i="12"/>
  <c r="AG32" i="12" s="1"/>
  <c r="AG29" i="12"/>
  <c r="AG46" i="12" s="1"/>
  <c r="AH25" i="12"/>
  <c r="AH36" i="12" s="1"/>
  <c r="AH27" i="12"/>
  <c r="AH31" i="12" s="1"/>
  <c r="AH21" i="12"/>
  <c r="AH19" i="12"/>
  <c r="AH14" i="12"/>
  <c r="AH12" i="12" s="1"/>
  <c r="AH23" i="12" s="1"/>
  <c r="AE34" i="12"/>
  <c r="AG13" i="12"/>
  <c r="AG23" i="12"/>
  <c r="AG34" i="12" l="1"/>
  <c r="AH28" i="12"/>
  <c r="AH32" i="12" s="1"/>
  <c r="AH29" i="12"/>
  <c r="AH46" i="12" s="1"/>
  <c r="AI28" i="12"/>
  <c r="AI32" i="12" s="1"/>
  <c r="AE35" i="12"/>
  <c r="AI34" i="12" l="1"/>
  <c r="F22" i="15"/>
  <c r="AH34" i="12"/>
  <c r="AG35" i="12"/>
  <c r="AH35" i="12" l="1"/>
  <c r="AI35" i="12"/>
  <c r="F23" i="15"/>
  <c r="G4" i="12"/>
  <c r="K6" i="12" l="1"/>
  <c r="G6" i="12"/>
  <c r="G7" i="12"/>
  <c r="H4" i="12"/>
  <c r="K7" i="12"/>
  <c r="K20" i="12" l="1"/>
  <c r="AS26" i="13"/>
  <c r="K18" i="12"/>
  <c r="S8" i="12"/>
  <c r="AS27" i="13"/>
  <c r="H7" i="12"/>
  <c r="H6" i="12"/>
  <c r="I4" i="12"/>
  <c r="G18" i="12"/>
  <c r="G8" i="12"/>
  <c r="K5" i="12"/>
  <c r="G20" i="12"/>
  <c r="G5" i="12"/>
  <c r="K15" i="12" l="1"/>
  <c r="K22" i="12" s="1"/>
  <c r="K24" i="12" s="1"/>
  <c r="K25" i="12" s="1"/>
  <c r="E17" i="15"/>
  <c r="AS32" i="13"/>
  <c r="G15" i="12"/>
  <c r="G22" i="12" s="1"/>
  <c r="G24" i="12" s="1"/>
  <c r="H5" i="12"/>
  <c r="H20" i="12"/>
  <c r="H8" i="12"/>
  <c r="H18" i="12"/>
  <c r="G14" i="12"/>
  <c r="I6" i="12"/>
  <c r="J4" i="12"/>
  <c r="I7" i="12"/>
  <c r="K14" i="12"/>
  <c r="AS31" i="13"/>
  <c r="E16" i="15"/>
  <c r="K12" i="12" l="1"/>
  <c r="G12" i="12"/>
  <c r="G13" i="12" s="1"/>
  <c r="E18" i="15"/>
  <c r="H15" i="12"/>
  <c r="H22" i="12" s="1"/>
  <c r="I18" i="12"/>
  <c r="I8" i="12"/>
  <c r="E31" i="15"/>
  <c r="S13" i="12"/>
  <c r="K23" i="12"/>
  <c r="J6" i="12"/>
  <c r="J7" i="12"/>
  <c r="I20" i="12"/>
  <c r="I5" i="12"/>
  <c r="H14" i="12"/>
  <c r="G23" i="12" l="1"/>
  <c r="H24" i="12"/>
  <c r="H27" i="12" s="1"/>
  <c r="H31" i="12" s="1"/>
  <c r="E19" i="15"/>
  <c r="K27" i="12"/>
  <c r="K31" i="12" s="1"/>
  <c r="K19" i="12"/>
  <c r="K21" i="12"/>
  <c r="H12" i="12"/>
  <c r="H13" i="12" s="1"/>
  <c r="I15" i="12"/>
  <c r="I22" i="12" s="1"/>
  <c r="J18" i="12"/>
  <c r="J8" i="12"/>
  <c r="K8" i="12"/>
  <c r="I14" i="12"/>
  <c r="G25" i="12"/>
  <c r="G27" i="12"/>
  <c r="G9" i="12"/>
  <c r="G21" i="12"/>
  <c r="G19" i="12"/>
  <c r="J20" i="12"/>
  <c r="J5" i="12"/>
  <c r="I12" i="12" l="1"/>
  <c r="I13" i="12" s="1"/>
  <c r="H19" i="12"/>
  <c r="H21" i="12"/>
  <c r="H25" i="12"/>
  <c r="H36" i="12" s="1"/>
  <c r="I24" i="12"/>
  <c r="H28" i="12"/>
  <c r="H32" i="12" s="1"/>
  <c r="K17" i="13"/>
  <c r="K36" i="12"/>
  <c r="S28" i="12"/>
  <c r="E20" i="15"/>
  <c r="H23" i="12"/>
  <c r="L8" i="12"/>
  <c r="L24" i="12" s="1"/>
  <c r="L25" i="12" s="1"/>
  <c r="AJ8" i="12"/>
  <c r="X8" i="12"/>
  <c r="J14" i="12"/>
  <c r="G28" i="12"/>
  <c r="G31" i="12"/>
  <c r="AJ22" i="13"/>
  <c r="G36" i="12"/>
  <c r="G17" i="13"/>
  <c r="J15" i="12"/>
  <c r="J22" i="12" s="1"/>
  <c r="I23" i="12" l="1"/>
  <c r="H42" i="12"/>
  <c r="H44" i="12" s="1"/>
  <c r="H17" i="13"/>
  <c r="I27" i="12"/>
  <c r="I31" i="12" s="1"/>
  <c r="I25" i="12"/>
  <c r="J24" i="12"/>
  <c r="J19" i="12" s="1"/>
  <c r="I21" i="12"/>
  <c r="I19" i="12"/>
  <c r="D24" i="15"/>
  <c r="E24" i="15"/>
  <c r="K42" i="12"/>
  <c r="J12" i="12"/>
  <c r="J23" i="12" s="1"/>
  <c r="X27" i="12"/>
  <c r="Y8" i="12"/>
  <c r="Z8" i="12" s="1"/>
  <c r="AA8" i="12" s="1"/>
  <c r="X24" i="12"/>
  <c r="X25" i="12" s="1"/>
  <c r="X36" i="12" s="1"/>
  <c r="AJ27" i="12"/>
  <c r="AJ24" i="12"/>
  <c r="AJ25" i="12" s="1"/>
  <c r="AJ36" i="12" s="1"/>
  <c r="AK8" i="12"/>
  <c r="AL8" i="12" s="1"/>
  <c r="AM8" i="12" s="1"/>
  <c r="M8" i="12"/>
  <c r="N8" i="12" s="1"/>
  <c r="O8" i="12" s="1"/>
  <c r="L27" i="12"/>
  <c r="G42" i="12"/>
  <c r="J27" i="12" l="1"/>
  <c r="K28" i="12" s="1"/>
  <c r="K32" i="12" s="1"/>
  <c r="G32" i="12" s="1"/>
  <c r="H43" i="12"/>
  <c r="T43" i="12" s="1"/>
  <c r="AF43" i="12" s="1"/>
  <c r="T42" i="12"/>
  <c r="AF42" i="12" s="1"/>
  <c r="J25" i="12"/>
  <c r="M24" i="12"/>
  <c r="I36" i="12"/>
  <c r="I17" i="13"/>
  <c r="J21" i="12"/>
  <c r="I28" i="12"/>
  <c r="I32" i="12" s="1"/>
  <c r="K43" i="12"/>
  <c r="W43" i="12" s="1"/>
  <c r="AI43" i="12" s="1"/>
  <c r="E27" i="15"/>
  <c r="W42" i="12"/>
  <c r="AK24" i="12"/>
  <c r="AK25" i="12" s="1"/>
  <c r="AK36" i="12" s="1"/>
  <c r="L31" i="12"/>
  <c r="M27" i="12"/>
  <c r="L36" i="12"/>
  <c r="G37" i="12"/>
  <c r="G43" i="12"/>
  <c r="S43" i="12" s="1"/>
  <c r="AE43" i="12" s="1"/>
  <c r="S42" i="12"/>
  <c r="AK27" i="12"/>
  <c r="AJ31" i="12"/>
  <c r="AJ29" i="12"/>
  <c r="X29" i="12"/>
  <c r="X46" i="12" s="1"/>
  <c r="X31" i="12"/>
  <c r="Y27" i="12"/>
  <c r="T44" i="12"/>
  <c r="H45" i="12"/>
  <c r="T45" i="12" s="1"/>
  <c r="AF45" i="12" s="1"/>
  <c r="G44" i="12"/>
  <c r="Y24" i="12"/>
  <c r="Y25" i="12" s="1"/>
  <c r="Y36" i="12" s="1"/>
  <c r="T38" i="12" l="1"/>
  <c r="N24" i="12"/>
  <c r="M25" i="12"/>
  <c r="J28" i="12"/>
  <c r="J32" i="12" s="1"/>
  <c r="J31" i="12"/>
  <c r="E22" i="15"/>
  <c r="AE32" i="12"/>
  <c r="S32" i="12"/>
  <c r="J17" i="13"/>
  <c r="J36" i="12"/>
  <c r="I42" i="12"/>
  <c r="AJ34" i="12"/>
  <c r="D27" i="15"/>
  <c r="AI42" i="12"/>
  <c r="W38" i="12"/>
  <c r="X42" i="12"/>
  <c r="X44" i="12" s="1"/>
  <c r="S37" i="12"/>
  <c r="T37" i="12" s="1"/>
  <c r="H37" i="12"/>
  <c r="S44" i="12"/>
  <c r="G45" i="12"/>
  <c r="S45" i="12" s="1"/>
  <c r="AE45" i="12" s="1"/>
  <c r="Y31" i="12"/>
  <c r="Y29" i="12"/>
  <c r="Y46" i="12" s="1"/>
  <c r="Y47" i="12" s="1"/>
  <c r="Z27" i="12"/>
  <c r="AF44" i="12"/>
  <c r="AF38" i="12"/>
  <c r="AJ46" i="12"/>
  <c r="AJ47" i="12" s="1"/>
  <c r="M36" i="12"/>
  <c r="AL24" i="12"/>
  <c r="AL25" i="12" s="1"/>
  <c r="AL36" i="12" s="1"/>
  <c r="S38" i="12"/>
  <c r="AE42" i="12"/>
  <c r="Z24" i="12"/>
  <c r="Z25" i="12" s="1"/>
  <c r="Z36" i="12" s="1"/>
  <c r="N27" i="12"/>
  <c r="M31" i="12"/>
  <c r="T41" i="12"/>
  <c r="T39" i="12"/>
  <c r="X34" i="12"/>
  <c r="AK29" i="12"/>
  <c r="AK46" i="12" s="1"/>
  <c r="AK31" i="12"/>
  <c r="AL27" i="12"/>
  <c r="L42" i="12"/>
  <c r="L44" i="12" s="1"/>
  <c r="AJ42" i="12"/>
  <c r="O24" i="12" l="1"/>
  <c r="N25" i="12"/>
  <c r="AJ38" i="12"/>
  <c r="AJ41" i="12" s="1"/>
  <c r="J42" i="12"/>
  <c r="K44" i="12"/>
  <c r="I43" i="12"/>
  <c r="U43" i="12" s="1"/>
  <c r="AG43" i="12" s="1"/>
  <c r="U42" i="12"/>
  <c r="I44" i="12"/>
  <c r="I37" i="12"/>
  <c r="W39" i="12"/>
  <c r="D25" i="15"/>
  <c r="W41" i="12"/>
  <c r="D26" i="15" s="1"/>
  <c r="AI44" i="12"/>
  <c r="F28" i="15" s="1"/>
  <c r="AI38" i="12"/>
  <c r="F27" i="15"/>
  <c r="X38" i="12"/>
  <c r="X41" i="12" s="1"/>
  <c r="Y34" i="12"/>
  <c r="AK47" i="12"/>
  <c r="AJ44" i="12"/>
  <c r="AF41" i="12"/>
  <c r="AF39" i="12"/>
  <c r="AK42" i="12"/>
  <c r="Y42" i="12"/>
  <c r="AM24" i="12"/>
  <c r="AM25" i="12" s="1"/>
  <c r="AM36" i="12" s="1"/>
  <c r="AA24" i="12"/>
  <c r="AA25" i="12" s="1"/>
  <c r="AA36" i="12" s="1"/>
  <c r="M42" i="12"/>
  <c r="Z29" i="12"/>
  <c r="Z31" i="12"/>
  <c r="AA27" i="12"/>
  <c r="AE44" i="12"/>
  <c r="AE37" i="12"/>
  <c r="AF37" i="12" s="1"/>
  <c r="AE38" i="12"/>
  <c r="N36" i="12"/>
  <c r="S39" i="12"/>
  <c r="S41" i="12"/>
  <c r="N31" i="12"/>
  <c r="O27" i="12"/>
  <c r="AL29" i="12"/>
  <c r="AL46" i="12" s="1"/>
  <c r="AL47" i="12" s="1"/>
  <c r="AM27" i="12"/>
  <c r="AL31" i="12"/>
  <c r="AK34" i="12"/>
  <c r="J37" i="12" l="1"/>
  <c r="K37" i="12" s="1"/>
  <c r="L37" i="12" s="1"/>
  <c r="M37" i="12" s="1"/>
  <c r="P24" i="12"/>
  <c r="O25" i="12"/>
  <c r="AJ48" i="12"/>
  <c r="AJ49" i="12" s="1"/>
  <c r="K45" i="12"/>
  <c r="W45" i="12" s="1"/>
  <c r="AI45" i="12" s="1"/>
  <c r="E28" i="15"/>
  <c r="W44" i="12"/>
  <c r="D28" i="15" s="1"/>
  <c r="J43" i="12"/>
  <c r="V43" i="12" s="1"/>
  <c r="AH43" i="12" s="1"/>
  <c r="J44" i="12"/>
  <c r="V42" i="12"/>
  <c r="U44" i="12"/>
  <c r="I45" i="12"/>
  <c r="U45" i="12" s="1"/>
  <c r="AG45" i="12" s="1"/>
  <c r="AG42" i="12"/>
  <c r="AG37" i="12" s="1"/>
  <c r="U38" i="12"/>
  <c r="U37" i="12"/>
  <c r="Y38" i="12"/>
  <c r="Y41" i="12" s="1"/>
  <c r="AI39" i="12"/>
  <c r="AI41" i="12"/>
  <c r="F25" i="15"/>
  <c r="Y44" i="12"/>
  <c r="M44" i="12"/>
  <c r="AE39" i="12"/>
  <c r="AE41" i="12"/>
  <c r="AL42" i="12"/>
  <c r="AL44" i="12" s="1"/>
  <c r="N42" i="12"/>
  <c r="AM31" i="12"/>
  <c r="AN27" i="12"/>
  <c r="AM29" i="12"/>
  <c r="AL34" i="12"/>
  <c r="Z42" i="12"/>
  <c r="AN24" i="12"/>
  <c r="AN25" i="12" s="1"/>
  <c r="AN36" i="12" s="1"/>
  <c r="Z34" i="12"/>
  <c r="AK38" i="12"/>
  <c r="AK41" i="12" s="1"/>
  <c r="AB24" i="12"/>
  <c r="AB25" i="12" s="1"/>
  <c r="AB36" i="12" s="1"/>
  <c r="O36" i="12"/>
  <c r="P27" i="12"/>
  <c r="O31" i="12"/>
  <c r="AB27" i="12"/>
  <c r="AA29" i="12"/>
  <c r="AA31" i="12"/>
  <c r="Z46" i="12"/>
  <c r="Z47" i="12" s="1"/>
  <c r="AK44" i="12"/>
  <c r="Q24" i="12" l="1"/>
  <c r="Q25" i="12" s="1"/>
  <c r="P25" i="12"/>
  <c r="V37" i="12"/>
  <c r="W37" i="12" s="1"/>
  <c r="X37" i="12" s="1"/>
  <c r="Y37" i="12" s="1"/>
  <c r="Z37" i="12" s="1"/>
  <c r="AH42" i="12"/>
  <c r="AH37" i="12" s="1"/>
  <c r="AI37" i="12" s="1"/>
  <c r="AJ37" i="12" s="1"/>
  <c r="AK37" i="12" s="1"/>
  <c r="AL37" i="12" s="1"/>
  <c r="V38" i="12"/>
  <c r="V44" i="12"/>
  <c r="J45" i="12"/>
  <c r="V45" i="12" s="1"/>
  <c r="AH45" i="12" s="1"/>
  <c r="Y48" i="12"/>
  <c r="Y49" i="12" s="1"/>
  <c r="U39" i="12"/>
  <c r="U41" i="12"/>
  <c r="AG44" i="12"/>
  <c r="AG38" i="12"/>
  <c r="N37" i="12"/>
  <c r="F26" i="15"/>
  <c r="AA34" i="12"/>
  <c r="AM34" i="12"/>
  <c r="N44" i="12"/>
  <c r="Z38" i="12"/>
  <c r="Z41" i="12" s="1"/>
  <c r="AA46" i="12"/>
  <c r="AA47" i="12" s="1"/>
  <c r="AO27" i="12"/>
  <c r="AN29" i="12"/>
  <c r="AN46" i="12" s="1"/>
  <c r="AN31" i="12"/>
  <c r="AM42" i="12"/>
  <c r="AB29" i="12"/>
  <c r="AB31" i="12"/>
  <c r="AC27" i="12"/>
  <c r="O42" i="12"/>
  <c r="AO24" i="12"/>
  <c r="AC24" i="12"/>
  <c r="P36" i="12"/>
  <c r="Q36" i="12"/>
  <c r="Q42" i="12" s="1"/>
  <c r="Q27" i="12"/>
  <c r="P31" i="12"/>
  <c r="AA42" i="12"/>
  <c r="Z44" i="12"/>
  <c r="AK48" i="12"/>
  <c r="AK49" i="12" s="1"/>
  <c r="AL38" i="12"/>
  <c r="AL41" i="12" s="1"/>
  <c r="AL48" i="12" s="1"/>
  <c r="AL49" i="12" s="1"/>
  <c r="AM46" i="12"/>
  <c r="AM47" i="12" s="1"/>
  <c r="AC25" i="12" l="1"/>
  <c r="AC36" i="12" s="1"/>
  <c r="AC42" i="12" s="1"/>
  <c r="AO25" i="12"/>
  <c r="AO36" i="12" s="1"/>
  <c r="AO42" i="12" s="1"/>
  <c r="V39" i="12"/>
  <c r="V41" i="12"/>
  <c r="AH38" i="12"/>
  <c r="AH44" i="12"/>
  <c r="AG41" i="12"/>
  <c r="AG39" i="12"/>
  <c r="O37" i="12"/>
  <c r="AA38" i="12"/>
  <c r="AA41" i="12" s="1"/>
  <c r="Z48" i="12"/>
  <c r="Z49" i="12" s="1"/>
  <c r="AM37" i="12"/>
  <c r="AB34" i="12"/>
  <c r="AM44" i="12"/>
  <c r="AN42" i="12"/>
  <c r="P42" i="12"/>
  <c r="AN47" i="12"/>
  <c r="AB42" i="12"/>
  <c r="O44" i="12"/>
  <c r="AA37" i="12"/>
  <c r="AB46" i="12"/>
  <c r="AB47" i="12" s="1"/>
  <c r="AN34" i="12"/>
  <c r="AO29" i="12"/>
  <c r="AO31" i="12"/>
  <c r="AA44" i="12"/>
  <c r="AM38" i="12"/>
  <c r="AM41" i="12" s="1"/>
  <c r="AC29" i="12"/>
  <c r="AC31" i="12"/>
  <c r="Q31" i="12"/>
  <c r="AH41" i="12" l="1"/>
  <c r="AH39" i="12"/>
  <c r="P37" i="12"/>
  <c r="Q37" i="12" s="1"/>
  <c r="AA48" i="12"/>
  <c r="AA49" i="12" s="1"/>
  <c r="AM48" i="12"/>
  <c r="AM49" i="12" s="1"/>
  <c r="AN37" i="12"/>
  <c r="AO37" i="12" s="1"/>
  <c r="AC34" i="12"/>
  <c r="AC38" i="12" s="1"/>
  <c r="AC41" i="12" s="1"/>
  <c r="AB38" i="12"/>
  <c r="AB41" i="12" s="1"/>
  <c r="AN44" i="12"/>
  <c r="AO44" i="12" s="1"/>
  <c r="AB44" i="12"/>
  <c r="AC44" i="12" s="1"/>
  <c r="AN38" i="12"/>
  <c r="AN41" i="12" s="1"/>
  <c r="AO34" i="12"/>
  <c r="AO38" i="12" s="1"/>
  <c r="AO41" i="12" s="1"/>
  <c r="AO46" i="12"/>
  <c r="AO47" i="12" s="1"/>
  <c r="AC46" i="12"/>
  <c r="AC47" i="12" s="1"/>
  <c r="AB37" i="12"/>
  <c r="AC37" i="12" s="1"/>
  <c r="P44" i="12"/>
  <c r="Q44" i="12" s="1"/>
  <c r="AB48" i="12" l="1"/>
  <c r="AB49" i="12" s="1"/>
  <c r="AC48" i="12"/>
  <c r="AN48" i="12"/>
  <c r="AN49" i="12" s="1"/>
  <c r="AO48" i="12"/>
  <c r="AO49" i="12" s="1"/>
  <c r="K30" i="12"/>
  <c r="K29" i="12" s="1"/>
  <c r="K46" i="12" l="1"/>
  <c r="E21" i="15"/>
  <c r="K34" i="12"/>
  <c r="G30" i="12"/>
  <c r="L30" i="12"/>
  <c r="G29" i="12" l="1"/>
  <c r="H30" i="12"/>
  <c r="K35" i="12"/>
  <c r="K38" i="12"/>
  <c r="E23" i="15"/>
  <c r="M30" i="12"/>
  <c r="L29" i="12"/>
  <c r="W46" i="12"/>
  <c r="E29" i="15"/>
  <c r="X47" i="12" l="1"/>
  <c r="X48" i="12" s="1"/>
  <c r="X49" i="12" s="1"/>
  <c r="D29" i="15"/>
  <c r="L46" i="12"/>
  <c r="L47" i="12" s="1"/>
  <c r="L34" i="12"/>
  <c r="L38" i="12" s="1"/>
  <c r="L41" i="12" s="1"/>
  <c r="M29" i="12"/>
  <c r="N30" i="12"/>
  <c r="K39" i="12"/>
  <c r="E25" i="15"/>
  <c r="K41" i="12"/>
  <c r="I30" i="12"/>
  <c r="H29" i="12"/>
  <c r="G46" i="12"/>
  <c r="G34" i="12"/>
  <c r="L48" i="12" l="1"/>
  <c r="L49" i="12" s="1"/>
  <c r="N29" i="12"/>
  <c r="O30" i="12"/>
  <c r="E26" i="15"/>
  <c r="G38" i="12"/>
  <c r="G35" i="12"/>
  <c r="M46" i="12"/>
  <c r="M47" i="12" s="1"/>
  <c r="M34" i="12"/>
  <c r="M38" i="12" s="1"/>
  <c r="M41" i="12" s="1"/>
  <c r="S46" i="12"/>
  <c r="G47" i="12"/>
  <c r="S47" i="12" s="1"/>
  <c r="H34" i="12"/>
  <c r="H46" i="12"/>
  <c r="I29" i="12"/>
  <c r="J30" i="12"/>
  <c r="J29" i="12" s="1"/>
  <c r="M48" i="12" l="1"/>
  <c r="M49" i="12" s="1"/>
  <c r="J46" i="12"/>
  <c r="J34" i="12"/>
  <c r="I34" i="12"/>
  <c r="I46" i="12"/>
  <c r="G41" i="12"/>
  <c r="G48" i="12" s="1"/>
  <c r="G49" i="12" s="1"/>
  <c r="G39" i="12"/>
  <c r="H47" i="12"/>
  <c r="T47" i="12" s="1"/>
  <c r="T46" i="12"/>
  <c r="O29" i="12"/>
  <c r="P30" i="12"/>
  <c r="H38" i="12"/>
  <c r="H35" i="12"/>
  <c r="S48" i="12"/>
  <c r="S49" i="12" s="1"/>
  <c r="AE47" i="12"/>
  <c r="AE48" i="12" s="1"/>
  <c r="AE49" i="12" s="1"/>
  <c r="N34" i="12"/>
  <c r="N38" i="12" s="1"/>
  <c r="N41" i="12" s="1"/>
  <c r="N46" i="12"/>
  <c r="N47" i="12" s="1"/>
  <c r="AF47" i="12" l="1"/>
  <c r="AF48" i="12" s="1"/>
  <c r="AF49" i="12" s="1"/>
  <c r="T48" i="12"/>
  <c r="T49" i="12" s="1"/>
  <c r="N48" i="12"/>
  <c r="N49" i="12" s="1"/>
  <c r="U46" i="12"/>
  <c r="I47" i="12"/>
  <c r="U47" i="12" s="1"/>
  <c r="H39" i="12"/>
  <c r="H41" i="12"/>
  <c r="H48" i="12" s="1"/>
  <c r="H49" i="12" s="1"/>
  <c r="I35" i="12"/>
  <c r="I38" i="12"/>
  <c r="Q30" i="12"/>
  <c r="Q29" i="12" s="1"/>
  <c r="P29" i="12"/>
  <c r="J35" i="12"/>
  <c r="J38" i="12"/>
  <c r="O46" i="12"/>
  <c r="O47" i="12" s="1"/>
  <c r="O34" i="12"/>
  <c r="O38" i="12" s="1"/>
  <c r="O41" i="12" s="1"/>
  <c r="J47" i="12"/>
  <c r="V47" i="12" s="1"/>
  <c r="V46" i="12"/>
  <c r="K47" i="12"/>
  <c r="AG47" i="12" l="1"/>
  <c r="AG48" i="12" s="1"/>
  <c r="AG49" i="12" s="1"/>
  <c r="U48" i="12"/>
  <c r="U49" i="12" s="1"/>
  <c r="W47" i="12"/>
  <c r="K48" i="12"/>
  <c r="Q34" i="12"/>
  <c r="Q38" i="12" s="1"/>
  <c r="Q41" i="12" s="1"/>
  <c r="Q46" i="12"/>
  <c r="AH47" i="12"/>
  <c r="AH48" i="12" s="1"/>
  <c r="AH49" i="12" s="1"/>
  <c r="V48" i="12"/>
  <c r="V49" i="12" s="1"/>
  <c r="I41" i="12"/>
  <c r="I48" i="12" s="1"/>
  <c r="I49" i="12" s="1"/>
  <c r="I39" i="12"/>
  <c r="P34" i="12"/>
  <c r="P38" i="12" s="1"/>
  <c r="P41" i="12" s="1"/>
  <c r="P46" i="12"/>
  <c r="P47" i="12" s="1"/>
  <c r="O48" i="12"/>
  <c r="O49" i="12" s="1"/>
  <c r="J39" i="12"/>
  <c r="J41" i="12"/>
  <c r="J48" i="12" s="1"/>
  <c r="J49" i="12" s="1"/>
  <c r="Q47" i="12" l="1"/>
  <c r="Q48" i="12" s="1"/>
  <c r="P48" i="12"/>
  <c r="P49" i="12" s="1"/>
  <c r="AI47" i="12"/>
  <c r="AI48" i="12" s="1"/>
  <c r="W48" i="12"/>
  <c r="K49" i="12"/>
  <c r="E30" i="15"/>
  <c r="AI49" i="12" l="1"/>
  <c r="AE50" i="12" s="1"/>
  <c r="F30" i="15"/>
  <c r="D30" i="15"/>
  <c r="W49" i="12"/>
  <c r="AC49" i="12"/>
  <c r="Q49" i="12"/>
  <c r="E50" i="12" s="1"/>
  <c r="E51" i="12" l="1"/>
  <c r="E52" i="12" s="1"/>
  <c r="S50" i="12"/>
  <c r="E32" i="15"/>
  <c r="AE51" i="12"/>
  <c r="AE52" i="12" s="1"/>
  <c r="F32" i="15"/>
  <c r="F33" i="15" l="1"/>
  <c r="F34" i="15"/>
  <c r="E33" i="15"/>
  <c r="E34" i="15"/>
  <c r="D32" i="15"/>
  <c r="S51" i="12"/>
  <c r="S52" i="12" s="1"/>
  <c r="D33" i="15" l="1"/>
  <c r="D34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S33" authorId="0" shapeId="0" xr:uid="{13C294C2-6195-4D85-92B3-6EC811665FF0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This is the beta for your stock. It can be a regression beta or a bottom-up beta.</t>
        </r>
      </text>
    </comment>
    <comment ref="S34" authorId="0" shapeId="0" xr:uid="{BD4104B7-FCBD-4B96-BF22-9D64AA2993E6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the current long term government bond rate.</t>
        </r>
      </text>
    </comment>
    <comment ref="S35" authorId="0" shapeId="0" xr:uid="{C7C73D8A-44EC-4AE9-87D3-C8B7893F6888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the risk premium to use to compute your cost of equity.</t>
        </r>
      </text>
    </comment>
  </commentList>
</comments>
</file>

<file path=xl/sharedStrings.xml><?xml version="1.0" encoding="utf-8"?>
<sst xmlns="http://schemas.openxmlformats.org/spreadsheetml/2006/main" count="443" uniqueCount="212">
  <si>
    <t>Total assets</t>
  </si>
  <si>
    <t>Net working capital</t>
  </si>
  <si>
    <t xml:space="preserve">CAPEX </t>
  </si>
  <si>
    <t>EBITDA</t>
  </si>
  <si>
    <t>Total liabilities and stockholders' equity</t>
  </si>
  <si>
    <t>Total stockholders' equity</t>
  </si>
  <si>
    <t>Common stock</t>
  </si>
  <si>
    <t>Stockholders' equity</t>
  </si>
  <si>
    <t>Total liabilities</t>
  </si>
  <si>
    <t>Total non-current liabilities</t>
  </si>
  <si>
    <t>Long-term debt</t>
  </si>
  <si>
    <t>Non-current liabilities</t>
  </si>
  <si>
    <t>Total current liabilities</t>
  </si>
  <si>
    <t>Other current liabilities</t>
  </si>
  <si>
    <t>Current liabilities</t>
  </si>
  <si>
    <t>Liabilities and stockholders' equity</t>
  </si>
  <si>
    <t>Total non-current assets</t>
  </si>
  <si>
    <t>Intangible assets</t>
  </si>
  <si>
    <t>Net property, plant and equipment</t>
  </si>
  <si>
    <t>Accumulated Depreciation</t>
  </si>
  <si>
    <t>Total current assets</t>
  </si>
  <si>
    <t>Other current assets</t>
  </si>
  <si>
    <t>Prepaid expenses</t>
  </si>
  <si>
    <t>Inventories</t>
  </si>
  <si>
    <t>Receivables</t>
  </si>
  <si>
    <t>Total cash</t>
  </si>
  <si>
    <t>Short-term investments</t>
  </si>
  <si>
    <t>Cash and cash equivalents</t>
  </si>
  <si>
    <t>2019-08</t>
  </si>
  <si>
    <t>2018-08</t>
  </si>
  <si>
    <t>2017-08</t>
  </si>
  <si>
    <t>Deferred revenues</t>
  </si>
  <si>
    <t>GOODFOOD MARKET CORP  (FOOD)</t>
  </si>
  <si>
    <t>Active customers (000s)</t>
  </si>
  <si>
    <t>Net Sales</t>
  </si>
  <si>
    <t>growth %</t>
  </si>
  <si>
    <t xml:space="preserve">Gross profit </t>
  </si>
  <si>
    <t xml:space="preserve">margin % </t>
  </si>
  <si>
    <t>NOPLAT</t>
  </si>
  <si>
    <t>in % of sales</t>
  </si>
  <si>
    <t xml:space="preserve">Capex </t>
  </si>
  <si>
    <t xml:space="preserve">in % of sales </t>
  </si>
  <si>
    <t>Change in NWC</t>
  </si>
  <si>
    <t xml:space="preserve">Free Cash Flow </t>
  </si>
  <si>
    <t>EBIT</t>
  </si>
  <si>
    <t>2020-05</t>
  </si>
  <si>
    <t xml:space="preserve">Gross sales </t>
  </si>
  <si>
    <t>Incentives &amp; Credits</t>
  </si>
  <si>
    <t xml:space="preserve"> Ac. Customers (00s)</t>
  </si>
  <si>
    <t xml:space="preserve">Meal Kit Delivery </t>
  </si>
  <si>
    <t>Fiscal year, end aug</t>
  </si>
  <si>
    <t xml:space="preserve">Grocery Industrie in Canada (M$) </t>
  </si>
  <si>
    <t>Online Traditional Grocery</t>
  </si>
  <si>
    <t xml:space="preserve">Online grocery ($) </t>
  </si>
  <si>
    <t>Target : Traditional online grocery will grow up to 7% of total grocery industrie</t>
  </si>
  <si>
    <t>Target : meal kit delivery grocery will grow up to 4 % of total grocery industrie</t>
  </si>
  <si>
    <t xml:space="preserve">Total online @ 11 % in 2025 </t>
  </si>
  <si>
    <t>CAGR</t>
  </si>
  <si>
    <t xml:space="preserve">Target 2025 : 62 % @meal kit </t>
  </si>
  <si>
    <t xml:space="preserve">in % of active subscribers </t>
  </si>
  <si>
    <t xml:space="preserve">Subscription WOW (84$/yr) </t>
  </si>
  <si>
    <t>Inputs for Discount Rate</t>
  </si>
  <si>
    <t>Beta of the stock =</t>
  </si>
  <si>
    <t>Riskfree rate=</t>
  </si>
  <si>
    <t>Risk Premium=</t>
  </si>
  <si>
    <t xml:space="preserve">Online grocery  (%) </t>
  </si>
  <si>
    <t>Meal Kit Market penetration</t>
  </si>
  <si>
    <t>Online grocery Market penetration</t>
  </si>
  <si>
    <t xml:space="preserve">Assumptions / Inputs used to model </t>
  </si>
  <si>
    <t xml:space="preserve">1. Total grocery industrie market is 124B$ (J. Ferrari) </t>
  </si>
  <si>
    <t xml:space="preserve">2. Online grocery was roughly 1% in 2019 </t>
  </si>
  <si>
    <t>3. Goodfood had around 40 % of the meal kit delivery market</t>
  </si>
  <si>
    <t xml:space="preserve">4. Meal Kit delivery market will represent 4 % of the grocery industrie in 5 years </t>
  </si>
  <si>
    <t xml:space="preserve">5. Online traditional grocery will grow yo to 7% of the grocery industry </t>
  </si>
  <si>
    <t xml:space="preserve">6. The grow of the overall market is linear over the year </t>
  </si>
  <si>
    <t>7. Active customers will keep an quarterly ARPU of 240$ on the meal kit delivery service, however they might add some traditional purchase within</t>
  </si>
  <si>
    <t xml:space="preserve">8. Growth in active customers will continue between 40-50% over a 3 yr period and then stabilize at 20%/yr </t>
  </si>
  <si>
    <t xml:space="preserve">9. Meal Kit Delivery represent 90% of Goodfood's sales in FY20 </t>
  </si>
  <si>
    <t>10. Mix would become 62%,38% over time a 5 yr period</t>
  </si>
  <si>
    <t xml:space="preserve">growth % </t>
  </si>
  <si>
    <t>Online traditional grocery  Market penetration</t>
  </si>
  <si>
    <t xml:space="preserve">12. OPEX will stabilize at 28% of net sales </t>
  </si>
  <si>
    <t xml:space="preserve">11. Gross profit will go up from 29% to 40% with economie of scales </t>
  </si>
  <si>
    <t xml:space="preserve">Management speak about LT goal as: </t>
  </si>
  <si>
    <t xml:space="preserve">EBITDA 15% </t>
  </si>
  <si>
    <t>Adj gross margin 45%+</t>
  </si>
  <si>
    <t>Net PP&amp;E</t>
  </si>
  <si>
    <t>Incremental depreciation (cumulative)</t>
  </si>
  <si>
    <t>2025 (Bull)</t>
  </si>
  <si>
    <t>2025 (Bear)</t>
  </si>
  <si>
    <t xml:space="preserve">SG&amp;A </t>
  </si>
  <si>
    <t>Restricted cash</t>
  </si>
  <si>
    <t>Non-current deposits</t>
  </si>
  <si>
    <t xml:space="preserve">Fixed Assets </t>
  </si>
  <si>
    <t>Right of uset asset</t>
  </si>
  <si>
    <t>Account payables</t>
  </si>
  <si>
    <t>Line of credit</t>
  </si>
  <si>
    <t>Current portion LT debt</t>
  </si>
  <si>
    <t>Current portion lease obl</t>
  </si>
  <si>
    <t>Convertible debenture</t>
  </si>
  <si>
    <t>Lease obligations</t>
  </si>
  <si>
    <t>Contributed surplus</t>
  </si>
  <si>
    <t xml:space="preserve">Deficit </t>
  </si>
  <si>
    <t xml:space="preserve">Average # of box sold ( @ 90$) </t>
  </si>
  <si>
    <t xml:space="preserve">PP&amp;E </t>
  </si>
  <si>
    <t xml:space="preserve">perbox </t>
  </si>
  <si>
    <t xml:space="preserve">FY19: GF produceed 161M sale / 90$ avg price = 1.8 M box w/ 27.3M PPE </t>
  </si>
  <si>
    <t>Average depreciation FY20</t>
  </si>
  <si>
    <t>Average depreciation FY19</t>
  </si>
  <si>
    <t>2021-08</t>
  </si>
  <si>
    <t>2022-08</t>
  </si>
  <si>
    <t>2023-08</t>
  </si>
  <si>
    <t>2024-08</t>
  </si>
  <si>
    <t>2025-08</t>
  </si>
  <si>
    <t>Incremental capex required equal change in net PPE + depreciation</t>
  </si>
  <si>
    <t>WORKING CAPITAL</t>
  </si>
  <si>
    <t>describe how many it takes for a company to convert its working capital into revenues</t>
  </si>
  <si>
    <t>Working capital FY20</t>
  </si>
  <si>
    <t>Working capital FY19</t>
  </si>
  <si>
    <t xml:space="preserve">Days Working Capital </t>
  </si>
  <si>
    <t xml:space="preserve">EBIT / EBITDA </t>
  </si>
  <si>
    <t xml:space="preserve">Tax </t>
  </si>
  <si>
    <t xml:space="preserve">Statutory rate </t>
  </si>
  <si>
    <t>Income tax expense (not profitable)</t>
  </si>
  <si>
    <t>Change in Net Working capital</t>
  </si>
  <si>
    <t>Tax on EBIT</t>
  </si>
  <si>
    <t>##</t>
  </si>
  <si>
    <t>Market Value Equity</t>
  </si>
  <si>
    <t>Market Value Debt</t>
  </si>
  <si>
    <t>We</t>
  </si>
  <si>
    <t xml:space="preserve">Wd </t>
  </si>
  <si>
    <t xml:space="preserve">Re </t>
  </si>
  <si>
    <t xml:space="preserve">Rd </t>
  </si>
  <si>
    <t>Tax rate</t>
  </si>
  <si>
    <t xml:space="preserve">WACC (Q3 FY20) </t>
  </si>
  <si>
    <t xml:space="preserve">Damadoran July 20 </t>
  </si>
  <si>
    <t>Government of Canada Benchmark Bond Yields - 10 Year</t>
  </si>
  <si>
    <t xml:space="preserve">PV of FCFF </t>
  </si>
  <si>
    <t xml:space="preserve">Value of the firm </t>
  </si>
  <si>
    <t>Value of equity</t>
  </si>
  <si>
    <t xml:space="preserve">Value of share </t>
  </si>
  <si>
    <t>IFRS 16, LEASES</t>
  </si>
  <si>
    <t>Effective September 1, 2018, the Company early adopted IFRS 16 using the modified retrospective</t>
  </si>
  <si>
    <t>approach. Accordingly, comparative figures as at and for the year ended August 31, 2018 have not been</t>
  </si>
  <si>
    <t>restated and continue to be reported under IAS 17, Leases ("IAS 17") and IFRIC 4, Determining whether</t>
  </si>
  <si>
    <t>an arrangement contains a lease ("IFRIC 4"). Refer to Note 25.6 for further information on accounting policy</t>
  </si>
  <si>
    <t>effective before and after September 1, 2018.</t>
  </si>
  <si>
    <t>On initial application, for leases previously classified as operating leases under IAS 17, the Company has</t>
  </si>
  <si>
    <t>elected to record right-of-use assets based on the corresponding lease liability of $7,456, adjusted for any</t>
  </si>
  <si>
    <t>deferred lease inducements and any lease payments made at or before the commencement date that were</t>
  </si>
  <si>
    <t>recorded in other non-current liabilities and other current assets and other assets, on the statement of</t>
  </si>
  <si>
    <t>financial position as at August 31, 2018. For leases previously classified as finance leases under IAS 17,</t>
  </si>
  <si>
    <t>the Company measured the right-of-use asset and lease liability at the previous carrying amount of the</t>
  </si>
  <si>
    <t>finance lease asset of $100 and finance lease liability of $100, respectively.</t>
  </si>
  <si>
    <t>As such, as at September 1, 2018, the Company recorded lease obligations of $7,556 and right-of-use</t>
  </si>
  <si>
    <t>assets of $6,173, which are net of the deferred lease inducements and lease payments made at or before</t>
  </si>
  <si>
    <t>the commencement of the lease of $1,396 and $13, respectively, with no net impact on deficit.</t>
  </si>
  <si>
    <t>When measuring lease liabilities for those leases previously classified as operating leases under IAS 17,</t>
  </si>
  <si>
    <t>the Company discounted future lease payments using its incremental borrowing rate as at</t>
  </si>
  <si>
    <t>September 1, 2018. The weighted-average rate applied is 5.53%.</t>
  </si>
  <si>
    <t>The Company has elected to apply the practical expedient to grandfather the assessment of which</t>
  </si>
  <si>
    <t>transactions are leases on the date of initial application, as previously assessed under IAS 17 and</t>
  </si>
  <si>
    <t>IFRIC 4. The Company applied the definition of a lease under IFRS 16 to contracts entered into or changed</t>
  </si>
  <si>
    <t>on or after September 1, 2018. The Company has also elected to apply the practical expedient on facility</t>
  </si>
  <si>
    <t>leases, not to separate non-lease components from lease components, and instead account for each lease</t>
  </si>
  <si>
    <t>component and any associated non-lease components as a single lease component. Additionally, the</t>
  </si>
  <si>
    <t>Company applied the practical expedient to rely on its assessment if leases were onerous under IAS 37,</t>
  </si>
  <si>
    <t>Current</t>
  </si>
  <si>
    <t>Online grocery %</t>
  </si>
  <si>
    <t>Depreciation tangibles</t>
  </si>
  <si>
    <t xml:space="preserve">Current </t>
  </si>
  <si>
    <t xml:space="preserve">Normal custosmers </t>
  </si>
  <si>
    <t>WOW customers</t>
  </si>
  <si>
    <t>ARPU WOW</t>
  </si>
  <si>
    <t>ARPU normal</t>
  </si>
  <si>
    <t>Subscription WOW</t>
  </si>
  <si>
    <t xml:space="preserve">  </t>
  </si>
  <si>
    <t>Growth margin (%)</t>
  </si>
  <si>
    <t>SGA (% of sales)</t>
  </si>
  <si>
    <t>Meal Kit Delivery mkt</t>
  </si>
  <si>
    <t>Online traditional grocery mkt</t>
  </si>
  <si>
    <t>Bull</t>
  </si>
  <si>
    <t>Bear</t>
  </si>
  <si>
    <t>TV</t>
  </si>
  <si>
    <t>as a % of sale</t>
  </si>
  <si>
    <t>GF Meal Kit penetration</t>
  </si>
  <si>
    <t>GF Online Grocery penetration</t>
  </si>
  <si>
    <t xml:space="preserve">BlueApron </t>
  </si>
  <si>
    <t>HelloFresh</t>
  </si>
  <si>
    <t>Goodfood</t>
  </si>
  <si>
    <t xml:space="preserve">Share price </t>
  </si>
  <si>
    <t xml:space="preserve">Market cap </t>
  </si>
  <si>
    <t xml:space="preserve">1 yr beta </t>
  </si>
  <si>
    <t># of employees (Ks)</t>
  </si>
  <si>
    <t>FCF (TTM)</t>
  </si>
  <si>
    <t>EBITDA (TTM)</t>
  </si>
  <si>
    <t>Gross profit (FY)</t>
  </si>
  <si>
    <t>Gross Margin (TTM)</t>
  </si>
  <si>
    <t>total Debt (MRQ)</t>
  </si>
  <si>
    <t>D/E ratio (MRQ)</t>
  </si>
  <si>
    <t>Current ratio (MRQ)</t>
  </si>
  <si>
    <t>P/S (TTM)</t>
  </si>
  <si>
    <t>P/B  (TTM)</t>
  </si>
  <si>
    <t>Net sales (FY)</t>
  </si>
  <si>
    <t>Opx Margin (TTM)</t>
  </si>
  <si>
    <t>Hellofresh breakdown its COGS into procurement expenses and fulfilment expense</t>
  </si>
  <si>
    <t xml:space="preserve">Goodfood 18M$ fixed asset (6.2M$ in machinery and equipement, 10.1 in leasehold improvments),  </t>
  </si>
  <si>
    <t>HF 46.5M PP&amp;E (42.5 plant and machinery whichi include leasehold improvements, none in right of use asset)</t>
  </si>
  <si>
    <t>Marketing expense at HF are 70% of SG&amp;A and are going down</t>
  </si>
  <si>
    <t xml:space="preserve">Notes </t>
  </si>
  <si>
    <t xml:space="preserve">9month FY20: GF produceed 360M sale / 90$ avg price = 4M box w/ 45.5M PPE </t>
  </si>
  <si>
    <t>2025's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</si>
</sst>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0.0%"/>
    <numFmt numFmtId="168" formatCode="_-* #,##0.00_-;\-* #,##0.00_-;_-* &quot;-&quot;??_-;_-@_-"/>
    <numFmt numFmtId="169" formatCode="_-&quot;$&quot;* #,##0.00_-;\-&quot;$&quot;* #,##0.00_-;_-&quot;$&quot;* &quot;-&quot;??_-;_-@_-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9"/>
      <color theme="0"/>
      <name val="Arial"/>
      <family val="2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11"/>
      <color theme="3"/>
      <name val="Calibri"/>
      <family val="2"/>
      <scheme val="minor"/>
    </font>
    <font>
      <b/>
      <sz val="9"/>
      <color indexed="81"/>
      <name val="Geneva"/>
    </font>
    <font>
      <sz val="9"/>
      <color indexed="81"/>
      <name val="Geneva"/>
    </font>
    <font>
      <i/>
      <sz val="9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8"/>
      <color theme="1"/>
      <name val="Arial"/>
      <family val="2"/>
    </font>
    <font>
      <b/>
      <sz val="9"/>
      <color theme="3"/>
      <name val="Arial"/>
      <family val="2"/>
    </font>
    <font>
      <sz val="8"/>
      <color theme="3"/>
      <name val="Arial"/>
      <family val="2"/>
    </font>
    <font>
      <sz val="12"/>
      <color indexed="8"/>
      <name val="Verdana"/>
      <family val="2"/>
    </font>
    <font>
      <sz val="9"/>
      <color theme="3"/>
      <name val="Arial"/>
      <family val="2"/>
    </font>
    <font>
      <b/>
      <sz val="9"/>
      <color rgb="FFC00000"/>
      <name val="Arial"/>
      <family val="2"/>
    </font>
    <font>
      <b/>
      <sz val="8"/>
      <color rgb="FFC00000"/>
      <name val="Arial"/>
      <family val="2"/>
    </font>
    <font>
      <b/>
      <u/>
      <sz val="10"/>
      <color theme="1"/>
      <name val="Arial"/>
      <family val="2"/>
    </font>
    <font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auto="1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0" fillId="0" borderId="0" applyNumberFormat="0" applyFill="0" applyBorder="0" applyProtection="0">
      <alignment vertical="top" wrapText="1"/>
    </xf>
    <xf numFmtId="168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9" fontId="20" fillId="0" borderId="0" applyFont="0" applyFill="0" applyBorder="0" applyAlignment="0" applyProtection="0"/>
  </cellStyleXfs>
  <cellXfs count="200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164" fontId="4" fillId="0" borderId="0" xfId="1" applyNumberFormat="1" applyFont="1"/>
    <xf numFmtId="0" fontId="6" fillId="2" borderId="0" xfId="0" applyFont="1" applyFill="1"/>
    <xf numFmtId="0" fontId="7" fillId="0" borderId="0" xfId="0" applyFont="1"/>
    <xf numFmtId="165" fontId="4" fillId="0" borderId="0" xfId="1" applyNumberFormat="1" applyFont="1"/>
    <xf numFmtId="43" fontId="4" fillId="0" borderId="0" xfId="0" applyNumberFormat="1" applyFont="1"/>
    <xf numFmtId="9" fontId="4" fillId="0" borderId="0" xfId="2" applyFont="1"/>
    <xf numFmtId="43" fontId="4" fillId="0" borderId="0" xfId="1" applyFont="1"/>
    <xf numFmtId="43" fontId="0" fillId="0" borderId="0" xfId="0" applyNumberFormat="1"/>
    <xf numFmtId="9" fontId="0" fillId="0" borderId="0" xfId="2" applyFont="1"/>
    <xf numFmtId="9" fontId="4" fillId="0" borderId="0" xfId="0" applyNumberFormat="1" applyFont="1"/>
    <xf numFmtId="164" fontId="0" fillId="0" borderId="0" xfId="0" applyNumberFormat="1"/>
    <xf numFmtId="165" fontId="4" fillId="0" borderId="0" xfId="1" applyNumberFormat="1" applyFont="1" applyBorder="1"/>
    <xf numFmtId="166" fontId="4" fillId="0" borderId="0" xfId="0" applyNumberFormat="1" applyFont="1"/>
    <xf numFmtId="0" fontId="4" fillId="0" borderId="0" xfId="0" applyFont="1" applyAlignment="1">
      <alignment horizontal="center"/>
    </xf>
    <xf numFmtId="0" fontId="10" fillId="0" borderId="0" xfId="0" applyFont="1"/>
    <xf numFmtId="9" fontId="4" fillId="0" borderId="0" xfId="2" applyNumberFormat="1" applyFont="1"/>
    <xf numFmtId="0" fontId="14" fillId="0" borderId="0" xfId="0" applyFont="1"/>
    <xf numFmtId="0" fontId="15" fillId="0" borderId="0" xfId="0" applyFont="1"/>
    <xf numFmtId="0" fontId="15" fillId="4" borderId="1" xfId="0" applyFont="1" applyFill="1" applyBorder="1" applyAlignment="1">
      <alignment horizontal="center"/>
    </xf>
    <xf numFmtId="10" fontId="15" fillId="4" borderId="1" xfId="0" applyNumberFormat="1" applyFont="1" applyFill="1" applyBorder="1" applyAlignment="1">
      <alignment horizontal="center"/>
    </xf>
    <xf numFmtId="164" fontId="4" fillId="0" borderId="0" xfId="0" applyNumberFormat="1" applyFont="1" applyBorder="1"/>
    <xf numFmtId="9" fontId="4" fillId="0" borderId="0" xfId="2" applyFont="1" applyBorder="1"/>
    <xf numFmtId="0" fontId="4" fillId="0" borderId="10" xfId="0" applyFont="1" applyBorder="1"/>
    <xf numFmtId="0" fontId="4" fillId="7" borderId="10" xfId="0" applyFont="1" applyFill="1" applyBorder="1"/>
    <xf numFmtId="164" fontId="4" fillId="7" borderId="10" xfId="0" applyNumberFormat="1" applyFont="1" applyFill="1" applyBorder="1"/>
    <xf numFmtId="164" fontId="10" fillId="0" borderId="0" xfId="0" applyNumberFormat="1" applyFont="1" applyBorder="1"/>
    <xf numFmtId="9" fontId="10" fillId="0" borderId="0" xfId="2" applyFont="1" applyBorder="1"/>
    <xf numFmtId="9" fontId="19" fillId="0" borderId="0" xfId="2" applyFont="1" applyBorder="1"/>
    <xf numFmtId="0" fontId="4" fillId="0" borderId="0" xfId="0" applyFont="1" applyBorder="1"/>
    <xf numFmtId="0" fontId="3" fillId="0" borderId="2" xfId="0" applyFont="1" applyBorder="1"/>
    <xf numFmtId="0" fontId="16" fillId="2" borderId="3" xfId="0" applyFont="1" applyFill="1" applyBorder="1"/>
    <xf numFmtId="0" fontId="4" fillId="0" borderId="5" xfId="0" applyFont="1" applyBorder="1"/>
    <xf numFmtId="0" fontId="4" fillId="0" borderId="6" xfId="0" applyFont="1" applyBorder="1"/>
    <xf numFmtId="164" fontId="4" fillId="0" borderId="0" xfId="1" applyNumberFormat="1" applyFont="1" applyBorder="1"/>
    <xf numFmtId="9" fontId="4" fillId="0" borderId="6" xfId="2" applyFont="1" applyBorder="1"/>
    <xf numFmtId="0" fontId="5" fillId="0" borderId="0" xfId="0" applyFont="1" applyBorder="1"/>
    <xf numFmtId="164" fontId="18" fillId="0" borderId="0" xfId="0" applyNumberFormat="1" applyFont="1" applyBorder="1"/>
    <xf numFmtId="0" fontId="17" fillId="0" borderId="0" xfId="0" applyFont="1" applyBorder="1"/>
    <xf numFmtId="0" fontId="10" fillId="0" borderId="0" xfId="0" applyFont="1" applyBorder="1"/>
    <xf numFmtId="164" fontId="10" fillId="0" borderId="0" xfId="1" applyNumberFormat="1" applyFont="1" applyBorder="1"/>
    <xf numFmtId="0" fontId="4" fillId="0" borderId="7" xfId="0" applyFont="1" applyBorder="1"/>
    <xf numFmtId="0" fontId="4" fillId="0" borderId="3" xfId="0" applyFont="1" applyBorder="1"/>
    <xf numFmtId="164" fontId="4" fillId="7" borderId="10" xfId="1" applyNumberFormat="1" applyFont="1" applyFill="1" applyBorder="1"/>
    <xf numFmtId="0" fontId="5" fillId="0" borderId="11" xfId="0" applyFont="1" applyBorder="1"/>
    <xf numFmtId="164" fontId="5" fillId="0" borderId="10" xfId="0" applyNumberFormat="1" applyFont="1" applyBorder="1"/>
    <xf numFmtId="0" fontId="5" fillId="7" borderId="11" xfId="0" applyFont="1" applyFill="1" applyBorder="1"/>
    <xf numFmtId="0" fontId="5" fillId="7" borderId="10" xfId="0" applyFont="1" applyFill="1" applyBorder="1"/>
    <xf numFmtId="0" fontId="9" fillId="2" borderId="0" xfId="0" applyFont="1" applyFill="1"/>
    <xf numFmtId="165" fontId="5" fillId="0" borderId="10" xfId="0" applyNumberFormat="1" applyFont="1" applyBorder="1"/>
    <xf numFmtId="166" fontId="2" fillId="0" borderId="0" xfId="0" applyNumberFormat="1" applyFont="1"/>
    <xf numFmtId="165" fontId="5" fillId="7" borderId="10" xfId="0" applyNumberFormat="1" applyFont="1" applyFill="1" applyBorder="1"/>
    <xf numFmtId="166" fontId="5" fillId="7" borderId="10" xfId="0" applyNumberFormat="1" applyFont="1" applyFill="1" applyBorder="1"/>
    <xf numFmtId="165" fontId="2" fillId="0" borderId="0" xfId="0" applyNumberFormat="1" applyFont="1"/>
    <xf numFmtId="44" fontId="4" fillId="0" borderId="0" xfId="3" applyFont="1"/>
    <xf numFmtId="44" fontId="4" fillId="0" borderId="10" xfId="0" applyNumberFormat="1" applyFont="1" applyBorder="1"/>
    <xf numFmtId="9" fontId="4" fillId="0" borderId="10" xfId="0" applyNumberFormat="1" applyFont="1" applyBorder="1"/>
    <xf numFmtId="0" fontId="9" fillId="6" borderId="0" xfId="0" applyFont="1" applyFill="1"/>
    <xf numFmtId="0" fontId="0" fillId="0" borderId="14" xfId="0" applyBorder="1"/>
    <xf numFmtId="164" fontId="11" fillId="0" borderId="14" xfId="1" applyNumberFormat="1" applyFont="1" applyBorder="1"/>
    <xf numFmtId="0" fontId="11" fillId="0" borderId="0" xfId="0" applyFont="1"/>
    <xf numFmtId="0" fontId="0" fillId="5" borderId="0" xfId="0" applyFill="1" applyProtection="1">
      <protection hidden="1"/>
    </xf>
    <xf numFmtId="1" fontId="0" fillId="0" borderId="14" xfId="0" applyNumberFormat="1" applyBorder="1"/>
    <xf numFmtId="164" fontId="4" fillId="0" borderId="6" xfId="1" applyNumberFormat="1" applyFont="1" applyBorder="1"/>
    <xf numFmtId="43" fontId="4" fillId="0" borderId="10" xfId="1" applyNumberFormat="1" applyFont="1" applyBorder="1"/>
    <xf numFmtId="10" fontId="4" fillId="0" borderId="0" xfId="2" applyNumberFormat="1" applyFont="1"/>
    <xf numFmtId="164" fontId="4" fillId="0" borderId="10" xfId="1" applyNumberFormat="1" applyFont="1" applyBorder="1"/>
    <xf numFmtId="9" fontId="4" fillId="0" borderId="10" xfId="1" applyNumberFormat="1" applyFont="1" applyBorder="1"/>
    <xf numFmtId="167" fontId="10" fillId="0" borderId="0" xfId="2" applyNumberFormat="1" applyFont="1" applyBorder="1"/>
    <xf numFmtId="0" fontId="4" fillId="7" borderId="15" xfId="0" applyFont="1" applyFill="1" applyBorder="1"/>
    <xf numFmtId="9" fontId="4" fillId="0" borderId="0" xfId="0" applyNumberFormat="1" applyFont="1" applyBorder="1"/>
    <xf numFmtId="10" fontId="4" fillId="0" borderId="0" xfId="0" applyNumberFormat="1" applyFont="1" applyBorder="1"/>
    <xf numFmtId="167" fontId="4" fillId="0" borderId="0" xfId="0" applyNumberFormat="1" applyFont="1" applyBorder="1"/>
    <xf numFmtId="167" fontId="4" fillId="7" borderId="16" xfId="2" applyNumberFormat="1" applyFont="1" applyFill="1" applyBorder="1"/>
    <xf numFmtId="9" fontId="4" fillId="0" borderId="6" xfId="0" applyNumberFormat="1" applyFont="1" applyBorder="1"/>
    <xf numFmtId="167" fontId="4" fillId="0" borderId="6" xfId="0" applyNumberFormat="1" applyFont="1" applyBorder="1"/>
    <xf numFmtId="10" fontId="4" fillId="0" borderId="6" xfId="0" applyNumberFormat="1" applyFont="1" applyBorder="1"/>
    <xf numFmtId="10" fontId="4" fillId="0" borderId="9" xfId="0" applyNumberFormat="1" applyFont="1" applyBorder="1"/>
    <xf numFmtId="0" fontId="16" fillId="2" borderId="17" xfId="0" applyFont="1" applyFill="1" applyBorder="1"/>
    <xf numFmtId="164" fontId="4" fillId="0" borderId="13" xfId="0" applyNumberFormat="1" applyFont="1" applyBorder="1"/>
    <xf numFmtId="9" fontId="4" fillId="0" borderId="13" xfId="2" applyFont="1" applyBorder="1"/>
    <xf numFmtId="9" fontId="10" fillId="0" borderId="13" xfId="2" applyFont="1" applyBorder="1"/>
    <xf numFmtId="164" fontId="4" fillId="7" borderId="18" xfId="1" applyNumberFormat="1" applyFont="1" applyFill="1" applyBorder="1"/>
    <xf numFmtId="164" fontId="10" fillId="0" borderId="13" xfId="1" applyNumberFormat="1" applyFont="1" applyBorder="1"/>
    <xf numFmtId="165" fontId="4" fillId="0" borderId="13" xfId="1" applyNumberFormat="1" applyFont="1" applyBorder="1"/>
    <xf numFmtId="0" fontId="4" fillId="0" borderId="13" xfId="0" applyFont="1" applyBorder="1"/>
    <xf numFmtId="164" fontId="4" fillId="7" borderId="18" xfId="0" applyNumberFormat="1" applyFont="1" applyFill="1" applyBorder="1"/>
    <xf numFmtId="164" fontId="4" fillId="0" borderId="18" xfId="1" applyNumberFormat="1" applyFont="1" applyBorder="1"/>
    <xf numFmtId="9" fontId="10" fillId="0" borderId="0" xfId="2" applyFont="1"/>
    <xf numFmtId="0" fontId="16" fillId="2" borderId="3" xfId="0" applyFont="1" applyFill="1" applyBorder="1" applyAlignment="1">
      <alignment horizontal="center"/>
    </xf>
    <xf numFmtId="9" fontId="21" fillId="9" borderId="1" xfId="2" applyFont="1" applyFill="1" applyBorder="1" applyAlignment="1">
      <alignment horizontal="center"/>
    </xf>
    <xf numFmtId="0" fontId="16" fillId="2" borderId="17" xfId="0" applyFont="1" applyFill="1" applyBorder="1" applyAlignment="1">
      <alignment horizontal="center"/>
    </xf>
    <xf numFmtId="164" fontId="4" fillId="0" borderId="13" xfId="1" applyNumberFormat="1" applyFont="1" applyBorder="1"/>
    <xf numFmtId="0" fontId="16" fillId="2" borderId="4" xfId="0" applyFont="1" applyFill="1" applyBorder="1" applyAlignment="1">
      <alignment horizontal="center"/>
    </xf>
    <xf numFmtId="0" fontId="4" fillId="7" borderId="5" xfId="0" applyFont="1" applyFill="1" applyBorder="1"/>
    <xf numFmtId="164" fontId="4" fillId="7" borderId="13" xfId="1" applyNumberFormat="1" applyFont="1" applyFill="1" applyBorder="1"/>
    <xf numFmtId="0" fontId="4" fillId="0" borderId="5" xfId="0" applyFont="1" applyFill="1" applyBorder="1"/>
    <xf numFmtId="1" fontId="10" fillId="0" borderId="0" xfId="1" applyNumberFormat="1" applyFont="1" applyBorder="1"/>
    <xf numFmtId="164" fontId="4" fillId="7" borderId="0" xfId="1" applyNumberFormat="1" applyFont="1" applyFill="1" applyBorder="1"/>
    <xf numFmtId="164" fontId="4" fillId="7" borderId="6" xfId="1" applyNumberFormat="1" applyFont="1" applyFill="1" applyBorder="1"/>
    <xf numFmtId="9" fontId="21" fillId="8" borderId="0" xfId="2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9" fontId="22" fillId="0" borderId="0" xfId="2" applyFont="1" applyBorder="1"/>
    <xf numFmtId="9" fontId="23" fillId="0" borderId="0" xfId="2" applyFont="1" applyBorder="1"/>
    <xf numFmtId="164" fontId="23" fillId="0" borderId="0" xfId="1" applyNumberFormat="1" applyFont="1" applyBorder="1"/>
    <xf numFmtId="167" fontId="10" fillId="0" borderId="0" xfId="2" applyNumberFormat="1" applyFont="1" applyBorder="1" applyAlignment="1">
      <alignment horizontal="right"/>
    </xf>
    <xf numFmtId="0" fontId="4" fillId="4" borderId="7" xfId="0" applyFont="1" applyFill="1" applyBorder="1"/>
    <xf numFmtId="164" fontId="4" fillId="4" borderId="19" xfId="1" applyNumberFormat="1" applyFont="1" applyFill="1" applyBorder="1"/>
    <xf numFmtId="164" fontId="4" fillId="4" borderId="8" xfId="1" applyNumberFormat="1" applyFont="1" applyFill="1" applyBorder="1"/>
    <xf numFmtId="164" fontId="4" fillId="0" borderId="0" xfId="0" applyNumberFormat="1" applyFont="1" applyFill="1" applyBorder="1"/>
    <xf numFmtId="9" fontId="22" fillId="0" borderId="0" xfId="2" applyFont="1" applyFill="1" applyBorder="1"/>
    <xf numFmtId="167" fontId="10" fillId="0" borderId="0" xfId="2" applyNumberFormat="1" applyFont="1" applyFill="1" applyBorder="1" applyAlignment="1">
      <alignment horizontal="right"/>
    </xf>
    <xf numFmtId="9" fontId="19" fillId="0" borderId="0" xfId="2" applyFont="1" applyFill="1" applyBorder="1"/>
    <xf numFmtId="9" fontId="23" fillId="0" borderId="0" xfId="2" applyFont="1" applyFill="1" applyBorder="1"/>
    <xf numFmtId="9" fontId="10" fillId="0" borderId="0" xfId="2" applyFont="1" applyFill="1" applyBorder="1"/>
    <xf numFmtId="1" fontId="10" fillId="0" borderId="0" xfId="1" applyNumberFormat="1" applyFont="1" applyFill="1" applyBorder="1"/>
    <xf numFmtId="164" fontId="23" fillId="0" borderId="0" xfId="1" applyNumberFormat="1" applyFont="1" applyFill="1" applyBorder="1"/>
    <xf numFmtId="165" fontId="4" fillId="0" borderId="0" xfId="1" applyNumberFormat="1" applyFont="1" applyFill="1" applyBorder="1"/>
    <xf numFmtId="164" fontId="4" fillId="0" borderId="0" xfId="1" applyNumberFormat="1" applyFont="1" applyFill="1" applyBorder="1"/>
    <xf numFmtId="167" fontId="10" fillId="0" borderId="0" xfId="2" applyNumberFormat="1" applyFont="1" applyFill="1" applyBorder="1"/>
    <xf numFmtId="164" fontId="10" fillId="0" borderId="0" xfId="1" applyNumberFormat="1" applyFont="1" applyFill="1" applyBorder="1"/>
    <xf numFmtId="0" fontId="4" fillId="0" borderId="0" xfId="0" applyFont="1" applyFill="1" applyBorder="1"/>
    <xf numFmtId="0" fontId="8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/>
    </xf>
    <xf numFmtId="0" fontId="16" fillId="2" borderId="0" xfId="0" applyFont="1" applyFill="1" applyBorder="1"/>
    <xf numFmtId="167" fontId="4" fillId="0" borderId="0" xfId="2" applyNumberFormat="1" applyFont="1" applyBorder="1"/>
    <xf numFmtId="0" fontId="0" fillId="0" borderId="0" xfId="0" applyBorder="1"/>
    <xf numFmtId="164" fontId="4" fillId="7" borderId="21" xfId="0" applyNumberFormat="1" applyFont="1" applyFill="1" applyBorder="1"/>
    <xf numFmtId="164" fontId="4" fillId="0" borderId="22" xfId="0" applyNumberFormat="1" applyFont="1" applyBorder="1"/>
    <xf numFmtId="0" fontId="16" fillId="2" borderId="12" xfId="0" applyFont="1" applyFill="1" applyBorder="1"/>
    <xf numFmtId="164" fontId="4" fillId="0" borderId="12" xfId="0" applyNumberFormat="1" applyFont="1" applyBorder="1"/>
    <xf numFmtId="9" fontId="4" fillId="0" borderId="12" xfId="2" applyFont="1" applyBorder="1"/>
    <xf numFmtId="9" fontId="10" fillId="0" borderId="12" xfId="2" applyFont="1" applyBorder="1"/>
    <xf numFmtId="9" fontId="19" fillId="0" borderId="12" xfId="2" applyFont="1" applyBorder="1"/>
    <xf numFmtId="164" fontId="4" fillId="7" borderId="23" xfId="0" applyNumberFormat="1" applyFont="1" applyFill="1" applyBorder="1"/>
    <xf numFmtId="1" fontId="10" fillId="0" borderId="12" xfId="1" applyNumberFormat="1" applyFont="1" applyBorder="1"/>
    <xf numFmtId="164" fontId="10" fillId="0" borderId="12" xfId="1" applyNumberFormat="1" applyFont="1" applyBorder="1"/>
    <xf numFmtId="165" fontId="4" fillId="0" borderId="12" xfId="1" applyNumberFormat="1" applyFont="1" applyBorder="1"/>
    <xf numFmtId="167" fontId="10" fillId="0" borderId="12" xfId="2" applyNumberFormat="1" applyFont="1" applyBorder="1"/>
    <xf numFmtId="164" fontId="4" fillId="0" borderId="12" xfId="1" applyNumberFormat="1" applyFont="1" applyBorder="1"/>
    <xf numFmtId="164" fontId="4" fillId="7" borderId="24" xfId="0" applyNumberFormat="1" applyFont="1" applyFill="1" applyBorder="1"/>
    <xf numFmtId="164" fontId="4" fillId="0" borderId="25" xfId="0" applyNumberFormat="1" applyFont="1" applyBorder="1"/>
    <xf numFmtId="164" fontId="4" fillId="0" borderId="26" xfId="0" applyNumberFormat="1" applyFont="1" applyBorder="1"/>
    <xf numFmtId="0" fontId="3" fillId="0" borderId="27" xfId="0" applyFont="1" applyBorder="1"/>
    <xf numFmtId="0" fontId="4" fillId="0" borderId="28" xfId="0" applyFont="1" applyBorder="1"/>
    <xf numFmtId="0" fontId="4" fillId="0" borderId="28" xfId="0" applyFont="1" applyBorder="1" applyAlignment="1">
      <alignment horizontal="left" indent="2"/>
    </xf>
    <xf numFmtId="0" fontId="10" fillId="0" borderId="28" xfId="0" applyFont="1" applyBorder="1" applyAlignment="1">
      <alignment horizontal="left" indent="2"/>
    </xf>
    <xf numFmtId="0" fontId="10" fillId="0" borderId="28" xfId="0" applyFont="1" applyBorder="1"/>
    <xf numFmtId="0" fontId="4" fillId="7" borderId="29" xfId="0" applyFont="1" applyFill="1" applyBorder="1"/>
    <xf numFmtId="0" fontId="4" fillId="0" borderId="29" xfId="0" applyFont="1" applyBorder="1"/>
    <xf numFmtId="0" fontId="4" fillId="7" borderId="30" xfId="0" applyFont="1" applyFill="1" applyBorder="1"/>
    <xf numFmtId="0" fontId="4" fillId="7" borderId="31" xfId="0" applyFont="1" applyFill="1" applyBorder="1"/>
    <xf numFmtId="167" fontId="18" fillId="0" borderId="0" xfId="2" applyNumberFormat="1" applyFont="1" applyBorder="1"/>
    <xf numFmtId="0" fontId="4" fillId="12" borderId="28" xfId="0" applyFont="1" applyFill="1" applyBorder="1"/>
    <xf numFmtId="164" fontId="4" fillId="12" borderId="0" xfId="0" applyNumberFormat="1" applyFont="1" applyFill="1" applyBorder="1"/>
    <xf numFmtId="164" fontId="4" fillId="12" borderId="13" xfId="0" applyNumberFormat="1" applyFont="1" applyFill="1" applyBorder="1"/>
    <xf numFmtId="164" fontId="4" fillId="12" borderId="12" xfId="0" applyNumberFormat="1" applyFont="1" applyFill="1" applyBorder="1"/>
    <xf numFmtId="165" fontId="4" fillId="12" borderId="0" xfId="1" applyNumberFormat="1" applyFont="1" applyFill="1" applyBorder="1"/>
    <xf numFmtId="165" fontId="4" fillId="12" borderId="12" xfId="1" applyNumberFormat="1" applyFont="1" applyFill="1" applyBorder="1"/>
    <xf numFmtId="165" fontId="4" fillId="4" borderId="9" xfId="1" applyNumberFormat="1" applyFont="1" applyFill="1" applyBorder="1"/>
    <xf numFmtId="0" fontId="4" fillId="0" borderId="2" xfId="0" applyFont="1" applyBorder="1"/>
    <xf numFmtId="164" fontId="4" fillId="0" borderId="6" xfId="0" applyNumberFormat="1" applyFont="1" applyBorder="1"/>
    <xf numFmtId="9" fontId="22" fillId="0" borderId="6" xfId="2" applyFont="1" applyBorder="1"/>
    <xf numFmtId="167" fontId="10" fillId="0" borderId="6" xfId="2" applyNumberFormat="1" applyFont="1" applyBorder="1" applyAlignment="1">
      <alignment horizontal="right"/>
    </xf>
    <xf numFmtId="9" fontId="19" fillId="0" borderId="6" xfId="2" applyFont="1" applyBorder="1"/>
    <xf numFmtId="9" fontId="23" fillId="0" borderId="6" xfId="2" applyFont="1" applyBorder="1"/>
    <xf numFmtId="164" fontId="4" fillId="7" borderId="32" xfId="0" applyNumberFormat="1" applyFont="1" applyFill="1" applyBorder="1"/>
    <xf numFmtId="9" fontId="10" fillId="0" borderId="6" xfId="2" applyFont="1" applyBorder="1"/>
    <xf numFmtId="1" fontId="10" fillId="0" borderId="6" xfId="1" applyNumberFormat="1" applyFont="1" applyBorder="1"/>
    <xf numFmtId="164" fontId="23" fillId="0" borderId="6" xfId="1" applyNumberFormat="1" applyFont="1" applyBorder="1"/>
    <xf numFmtId="164" fontId="4" fillId="12" borderId="6" xfId="0" applyNumberFormat="1" applyFont="1" applyFill="1" applyBorder="1"/>
    <xf numFmtId="165" fontId="4" fillId="12" borderId="6" xfId="1" applyNumberFormat="1" applyFont="1" applyFill="1" applyBorder="1"/>
    <xf numFmtId="167" fontId="10" fillId="0" borderId="6" xfId="2" applyNumberFormat="1" applyFont="1" applyBorder="1"/>
    <xf numFmtId="164" fontId="4" fillId="0" borderId="6" xfId="1" applyNumberFormat="1" applyFont="1" applyFill="1" applyBorder="1"/>
    <xf numFmtId="164" fontId="10" fillId="0" borderId="6" xfId="1" applyNumberFormat="1" applyFont="1" applyBorder="1"/>
    <xf numFmtId="0" fontId="4" fillId="0" borderId="33" xfId="0" applyFont="1" applyBorder="1"/>
    <xf numFmtId="0" fontId="4" fillId="0" borderId="34" xfId="0" applyFont="1" applyBorder="1"/>
    <xf numFmtId="43" fontId="4" fillId="0" borderId="34" xfId="0" applyNumberFormat="1" applyFont="1" applyBorder="1"/>
    <xf numFmtId="164" fontId="4" fillId="0" borderId="34" xfId="0" applyNumberFormat="1" applyFont="1" applyBorder="1"/>
    <xf numFmtId="164" fontId="4" fillId="0" borderId="35" xfId="0" applyNumberFormat="1" applyFont="1" applyBorder="1"/>
    <xf numFmtId="164" fontId="4" fillId="0" borderId="36" xfId="0" applyNumberFormat="1" applyFont="1" applyBorder="1"/>
    <xf numFmtId="167" fontId="4" fillId="0" borderId="0" xfId="2" applyNumberFormat="1" applyFont="1"/>
    <xf numFmtId="0" fontId="16" fillId="2" borderId="37" xfId="0" applyFont="1" applyFill="1" applyBorder="1"/>
    <xf numFmtId="0" fontId="16" fillId="2" borderId="37" xfId="0" applyFont="1" applyFill="1" applyBorder="1" applyAlignment="1">
      <alignment horizontal="center"/>
    </xf>
    <xf numFmtId="0" fontId="24" fillId="0" borderId="0" xfId="0" applyFont="1"/>
    <xf numFmtId="164" fontId="25" fillId="0" borderId="13" xfId="1" applyNumberFormat="1" applyFont="1" applyBorder="1"/>
    <xf numFmtId="164" fontId="25" fillId="0" borderId="0" xfId="1" applyNumberFormat="1" applyFont="1" applyBorder="1"/>
    <xf numFmtId="164" fontId="25" fillId="0" borderId="12" xfId="1" applyNumberFormat="1" applyFont="1" applyBorder="1"/>
    <xf numFmtId="164" fontId="25" fillId="0" borderId="6" xfId="1" applyNumberFormat="1" applyFont="1" applyBorder="1"/>
    <xf numFmtId="164" fontId="25" fillId="0" borderId="0" xfId="1" applyNumberFormat="1" applyFont="1" applyFill="1" applyBorder="1"/>
    <xf numFmtId="9" fontId="4" fillId="3" borderId="0" xfId="2" applyFont="1" applyFill="1" applyAlignment="1">
      <alignment horizontal="center"/>
    </xf>
    <xf numFmtId="0" fontId="8" fillId="11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 wrapText="1"/>
    </xf>
    <xf numFmtId="0" fontId="8" fillId="10" borderId="20" xfId="0" applyFont="1" applyFill="1" applyBorder="1" applyAlignment="1">
      <alignment horizontal="center" wrapText="1"/>
    </xf>
    <xf numFmtId="0" fontId="8" fillId="10" borderId="16" xfId="0" applyFont="1" applyFill="1" applyBorder="1" applyAlignment="1">
      <alignment horizontal="center" wrapText="1"/>
    </xf>
    <xf numFmtId="167" fontId="4" fillId="0" borderId="13" xfId="2" applyNumberFormat="1" applyFont="1" applyBorder="1"/>
    <xf numFmtId="9" fontId="10" fillId="0" borderId="13" xfId="2" applyNumberFormat="1" applyFont="1" applyBorder="1"/>
  </cellXfs>
  <cellStyles count="8">
    <cellStyle name="Comma" xfId="1" builtinId="3"/>
    <cellStyle name="Comma 3" xfId="5" xr:uid="{31CE0EA1-F486-47C7-803E-A628666E39E6}"/>
    <cellStyle name="Currency" xfId="3" builtinId="4"/>
    <cellStyle name="Currency 3" xfId="7" xr:uid="{B3014B61-FE7C-46CA-88C4-5C88393BC0BB}"/>
    <cellStyle name="Normal" xfId="0" builtinId="0"/>
    <cellStyle name="Normal 3" xfId="4" xr:uid="{20B40F11-5505-4878-BD92-5134B6594A06}"/>
    <cellStyle name="Percent" xfId="2" builtinId="5"/>
    <cellStyle name="Percent 3" xfId="6" xr:uid="{13001386-8900-4C6C-8C94-305119C01C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714E-1005-4E7F-AC0C-80427122D50F}">
  <dimension ref="B2:P34"/>
  <sheetViews>
    <sheetView showGridLines="0" tabSelected="1" topLeftCell="B1" zoomScale="90" zoomScaleNormal="90" workbookViewId="0">
      <selection activeCell="D42" sqref="D42"/>
    </sheetView>
  </sheetViews>
  <sheetFormatPr defaultRowHeight="11.5"/>
  <cols>
    <col min="1" max="1" width="8.7265625" style="2"/>
    <col min="2" max="2" width="16.453125" style="2" customWidth="1"/>
    <col min="3" max="3" width="7.1796875" style="2" customWidth="1"/>
    <col min="4" max="4" width="7.54296875" style="2" customWidth="1"/>
    <col min="5" max="5" width="7.36328125" style="2" customWidth="1"/>
    <col min="6" max="6" width="7.6328125" style="2" customWidth="1"/>
    <col min="7" max="7" width="3.81640625" style="2" customWidth="1"/>
    <col min="8" max="8" width="14.7265625" style="2" customWidth="1"/>
    <col min="9" max="11" width="7.54296875" style="2" customWidth="1"/>
    <col min="12" max="12" width="3.54296875" style="2" customWidth="1"/>
    <col min="13" max="13" width="18.1796875" style="2" customWidth="1"/>
    <col min="14" max="14" width="7.453125" style="2" customWidth="1"/>
    <col min="15" max="16" width="7.54296875" style="2" customWidth="1"/>
    <col min="17" max="16384" width="8.7265625" style="2"/>
  </cols>
  <sheetData>
    <row r="2" spans="2:16">
      <c r="B2" s="3"/>
      <c r="H2" s="3"/>
      <c r="M2" s="3"/>
    </row>
    <row r="3" spans="2:16">
      <c r="B3" s="2" t="s">
        <v>168</v>
      </c>
      <c r="C3" s="193">
        <v>7.0000000000000007E-2</v>
      </c>
      <c r="H3" s="2" t="s">
        <v>168</v>
      </c>
      <c r="I3" s="193">
        <v>0.1</v>
      </c>
      <c r="M3" s="2" t="s">
        <v>168</v>
      </c>
      <c r="N3" s="193">
        <v>0.13</v>
      </c>
    </row>
    <row r="5" spans="2:16" ht="12" thickBot="1"/>
    <row r="6" spans="2:16">
      <c r="C6" s="34">
        <v>2020</v>
      </c>
      <c r="D6" s="92" t="s">
        <v>181</v>
      </c>
      <c r="E6" s="92" t="s">
        <v>211</v>
      </c>
      <c r="F6" s="92" t="s">
        <v>182</v>
      </c>
      <c r="I6" s="92" t="s">
        <v>181</v>
      </c>
      <c r="J6" s="92" t="s">
        <v>211</v>
      </c>
      <c r="K6" s="92" t="s">
        <v>182</v>
      </c>
      <c r="N6" s="92" t="s">
        <v>181</v>
      </c>
      <c r="O6" s="92" t="s">
        <v>211</v>
      </c>
      <c r="P6" s="92" t="s">
        <v>182</v>
      </c>
    </row>
    <row r="7" spans="2:16">
      <c r="B7" s="2" t="s">
        <v>185</v>
      </c>
      <c r="C7" s="13">
        <f>'Model 7%'!F10</f>
        <v>0.4002732830283755</v>
      </c>
      <c r="D7" s="93">
        <v>0.45</v>
      </c>
      <c r="E7" s="93">
        <v>0.4</v>
      </c>
      <c r="F7" s="93">
        <v>0.35</v>
      </c>
      <c r="H7" s="2" t="s">
        <v>185</v>
      </c>
      <c r="I7" s="93">
        <v>0.4</v>
      </c>
      <c r="J7" s="93">
        <v>0.4</v>
      </c>
      <c r="K7" s="93">
        <v>0.35</v>
      </c>
      <c r="M7" s="2" t="s">
        <v>185</v>
      </c>
      <c r="N7" s="93">
        <v>0.4</v>
      </c>
      <c r="O7" s="93">
        <v>0.4</v>
      </c>
      <c r="P7" s="93">
        <v>0.35</v>
      </c>
    </row>
    <row r="8" spans="2:16">
      <c r="B8" s="2" t="s">
        <v>186</v>
      </c>
      <c r="C8" s="13">
        <f>'Model 7%'!F11</f>
        <v>3.0050546773902072E-2</v>
      </c>
      <c r="D8" s="93">
        <v>0.1</v>
      </c>
      <c r="E8" s="93">
        <v>7.0000000000000007E-2</v>
      </c>
      <c r="F8" s="93">
        <v>0.04</v>
      </c>
      <c r="H8" s="2" t="s">
        <v>186</v>
      </c>
      <c r="I8" s="93">
        <v>0.1</v>
      </c>
      <c r="J8" s="93">
        <v>7.0000000000000007E-2</v>
      </c>
      <c r="K8" s="93">
        <v>0.04</v>
      </c>
      <c r="M8" s="2" t="s">
        <v>186</v>
      </c>
      <c r="N8" s="93">
        <v>0.1</v>
      </c>
      <c r="O8" s="93">
        <v>7.0000000000000007E-2</v>
      </c>
      <c r="P8" s="93">
        <v>0.04</v>
      </c>
    </row>
    <row r="9" spans="2:16">
      <c r="B9" s="2" t="s">
        <v>177</v>
      </c>
      <c r="C9" s="13">
        <f>'Model 7%'!F30</f>
        <v>0.2908793850444531</v>
      </c>
      <c r="D9" s="93">
        <v>0.35</v>
      </c>
      <c r="E9" s="93">
        <v>0.32</v>
      </c>
      <c r="F9" s="93">
        <v>0.28999999999999998</v>
      </c>
      <c r="H9" s="2" t="s">
        <v>177</v>
      </c>
      <c r="I9" s="93">
        <v>0.35</v>
      </c>
      <c r="J9" s="93">
        <v>0.32</v>
      </c>
      <c r="K9" s="93">
        <v>0.28999999999999998</v>
      </c>
      <c r="M9" s="2" t="s">
        <v>177</v>
      </c>
      <c r="N9" s="93">
        <v>0.35</v>
      </c>
      <c r="O9" s="93">
        <v>0.32</v>
      </c>
      <c r="P9" s="93">
        <v>0.28999999999999998</v>
      </c>
    </row>
    <row r="10" spans="2:16">
      <c r="B10" s="2" t="s">
        <v>178</v>
      </c>
      <c r="C10" s="13">
        <f>'Model 7%'!F33</f>
        <v>0.30178887960011247</v>
      </c>
      <c r="D10" s="93">
        <v>0.24</v>
      </c>
      <c r="E10" s="93">
        <v>0.27</v>
      </c>
      <c r="F10" s="93">
        <v>0.3</v>
      </c>
      <c r="H10" s="2" t="s">
        <v>178</v>
      </c>
      <c r="I10" s="93">
        <v>0.24</v>
      </c>
      <c r="J10" s="93">
        <v>0.27</v>
      </c>
      <c r="K10" s="93">
        <v>0.3</v>
      </c>
      <c r="M10" s="2" t="s">
        <v>178</v>
      </c>
      <c r="N10" s="93">
        <v>0.24</v>
      </c>
      <c r="O10" s="93">
        <v>0.27</v>
      </c>
      <c r="P10" s="93">
        <v>0.3</v>
      </c>
    </row>
    <row r="12" spans="2:16">
      <c r="G12" s="103"/>
    </row>
    <row r="13" spans="2:16">
      <c r="C13" s="3"/>
      <c r="D13" s="3"/>
      <c r="E13" s="3"/>
      <c r="F13" s="3"/>
      <c r="G13" s="3"/>
      <c r="I13" s="3"/>
      <c r="J13" s="3"/>
      <c r="K13" s="3"/>
      <c r="N13" s="3"/>
      <c r="O13" s="3"/>
      <c r="P13" s="3"/>
    </row>
    <row r="14" spans="2:16" ht="12" thickBot="1">
      <c r="B14" s="3"/>
      <c r="C14" s="3"/>
      <c r="D14" s="3"/>
      <c r="E14" s="3"/>
      <c r="F14" s="3"/>
      <c r="G14" s="3"/>
      <c r="H14" s="3"/>
      <c r="I14" s="3"/>
      <c r="J14" s="3"/>
      <c r="K14" s="3"/>
      <c r="M14" s="3"/>
      <c r="N14" s="3"/>
      <c r="O14" s="3"/>
      <c r="P14" s="3"/>
    </row>
    <row r="15" spans="2:16" ht="12">
      <c r="B15" s="33" t="s">
        <v>50</v>
      </c>
      <c r="C15" s="94">
        <v>2020</v>
      </c>
      <c r="D15" s="92" t="s">
        <v>88</v>
      </c>
      <c r="E15" s="92" t="s">
        <v>211</v>
      </c>
      <c r="F15" s="96" t="s">
        <v>89</v>
      </c>
      <c r="H15" s="33" t="s">
        <v>50</v>
      </c>
      <c r="I15" s="92" t="s">
        <v>88</v>
      </c>
      <c r="J15" s="92" t="s">
        <v>211</v>
      </c>
      <c r="K15" s="96" t="s">
        <v>89</v>
      </c>
      <c r="M15" s="33" t="s">
        <v>50</v>
      </c>
      <c r="N15" s="92" t="s">
        <v>181</v>
      </c>
      <c r="O15" s="92" t="s">
        <v>211</v>
      </c>
      <c r="P15" s="96" t="s">
        <v>182</v>
      </c>
    </row>
    <row r="16" spans="2:16">
      <c r="B16" s="35" t="s">
        <v>49</v>
      </c>
      <c r="C16" s="95">
        <f>INDEX('Model 7%'!F:F,MATCH('Bull-Bear'!$B16,'Model 7%'!$B:$B,0))</f>
        <v>320.21862642270042</v>
      </c>
      <c r="D16" s="37">
        <f>INDEX('Model 7%'!W:W,MATCH('Bull-Bear'!$B16,'Model 7%'!$B:$B,0))</f>
        <v>1406.16</v>
      </c>
      <c r="E16" s="37">
        <f>INDEX('Model 7%'!K:K,MATCH('Bull-Bear'!$B16,'Model 7%'!$B:$B,0))</f>
        <v>1249.92</v>
      </c>
      <c r="F16" s="66">
        <f>INDEX('Model 7%'!AI:AI,MATCH('Bull-Bear'!$B16,'Model 7%'!$B:$B,0))</f>
        <v>1093.68</v>
      </c>
      <c r="H16" s="35" t="s">
        <v>49</v>
      </c>
      <c r="I16" s="37">
        <f>INDEX('Model 10%'!W:W,MATCH('Bull-Bear'!$H16,'Model 10%'!$B:$B,0))</f>
        <v>1785.6000000000001</v>
      </c>
      <c r="J16" s="37">
        <f>INDEX('Model 10%'!K:K,MATCH('Bull-Bear'!$H16,'Model 10%'!$B:$B,0))</f>
        <v>1785.6000000000001</v>
      </c>
      <c r="K16" s="66">
        <f>INDEX('Model 10%'!AI:AI,MATCH('Bull-Bear'!$H16,'Model 10%'!$B:$B,0))</f>
        <v>1562.3999999999999</v>
      </c>
      <c r="M16" s="35" t="s">
        <v>49</v>
      </c>
      <c r="N16" s="37">
        <f>INDEX('Model 13%'!W:W,MATCH('Bull-Bear'!$M16,'Model 13%'!$B:$B,0))</f>
        <v>2321.2800000000002</v>
      </c>
      <c r="O16" s="37">
        <f>INDEX('Model 13%'!K:K,MATCH('Bull-Bear'!$M16,'Model 13%'!$B:$B,0))</f>
        <v>2321.2800000000002</v>
      </c>
      <c r="P16" s="66">
        <f>INDEX('Model 13%'!AI:AI,MATCH('Bull-Bear'!$M16,'Model 13%'!$B:$B,0))</f>
        <v>2031.12</v>
      </c>
    </row>
    <row r="17" spans="2:16">
      <c r="B17" s="35" t="s">
        <v>52</v>
      </c>
      <c r="C17" s="95">
        <f>INDEX('Model 7%'!F:F,MATCH('Bull-Bear'!B17,'Model 7%'!B:B,0))</f>
        <v>35.579847380300052</v>
      </c>
      <c r="D17" s="37">
        <f>INDEX('Model 7%'!W:W,MATCH('Bull-Bear'!$B17,'Model 7%'!$B:$B,0))</f>
        <v>555.5200000000001</v>
      </c>
      <c r="E17" s="37">
        <f>INDEX('Model 7%'!K:K,MATCH('Bull-Bear'!$B17,'Model 7%'!$B:$B,0))</f>
        <v>388.86400000000009</v>
      </c>
      <c r="F17" s="66">
        <f>INDEX('Model 7%'!AI:AI,MATCH('Bull-Bear'!$B17,'Model 7%'!$B:$B,0))</f>
        <v>222.20800000000003</v>
      </c>
      <c r="H17" s="35" t="s">
        <v>52</v>
      </c>
      <c r="I17" s="37">
        <f>INDEX('Model 10%'!W:W,MATCH('Bull-Bear'!$H17,'Model 10%'!$B:$B,0))</f>
        <v>793.6</v>
      </c>
      <c r="J17" s="37">
        <f>INDEX('Model 10%'!K:K,MATCH('Bull-Bear'!$H17,'Model 10%'!$B:$B,0))</f>
        <v>555.5200000000001</v>
      </c>
      <c r="K17" s="66">
        <f>INDEX('Model 10%'!AI:AI,MATCH('Bull-Bear'!$H17,'Model 10%'!$B:$B,0))</f>
        <v>317.44</v>
      </c>
      <c r="M17" s="35" t="s">
        <v>52</v>
      </c>
      <c r="N17" s="37">
        <f>INDEX('Model 13%'!W:W,MATCH('Bull-Bear'!$M17,'Model 13%'!$B:$B,0))</f>
        <v>1031.68</v>
      </c>
      <c r="O17" s="37">
        <f>INDEX('Model 13%'!K:K,MATCH('Bull-Bear'!$M17,'Model 13%'!$B:$B,0))</f>
        <v>722.17600000000016</v>
      </c>
      <c r="P17" s="66">
        <f>INDEX('Model 13%'!AI:AI,MATCH('Bull-Bear'!$M17,'Model 13%'!$B:$B,0))</f>
        <v>412.67200000000003</v>
      </c>
    </row>
    <row r="18" spans="2:16">
      <c r="B18" s="35" t="s">
        <v>175</v>
      </c>
      <c r="C18" s="95">
        <f>INDEX('Model 7%'!F:F,MATCH('Bull-Bear'!B18,'Model 7%'!B:B,0))</f>
        <v>0</v>
      </c>
      <c r="D18" s="37">
        <f>INDEX('Model 7%'!W:W,MATCH('Bull-Bear'!$B18,'Model 7%'!$B:$B,0))</f>
        <v>34.720000000000006</v>
      </c>
      <c r="E18" s="37">
        <f>INDEX('Model 7%'!K:K,MATCH('Bull-Bear'!$B18,'Model 7%'!$B:$B,0))</f>
        <v>24.304000000000006</v>
      </c>
      <c r="F18" s="66">
        <f>INDEX('Model 7%'!AI:AI,MATCH('Bull-Bear'!$B18,'Model 7%'!$B:$B,0))</f>
        <v>13.888</v>
      </c>
      <c r="H18" s="35" t="s">
        <v>175</v>
      </c>
      <c r="I18" s="37">
        <f>INDEX('Model 10%'!W:W,MATCH('Bull-Bear'!$H18,'Model 10%'!$B:$B,0))</f>
        <v>49.6</v>
      </c>
      <c r="J18" s="37">
        <f>INDEX('Model 10%'!K:K,MATCH('Bull-Bear'!$H18,'Model 10%'!$B:$B,0))</f>
        <v>34.720000000000006</v>
      </c>
      <c r="K18" s="66">
        <f>INDEX('Model 10%'!AI:AI,MATCH('Bull-Bear'!$H18,'Model 10%'!$B:$B,0))</f>
        <v>19.84</v>
      </c>
      <c r="M18" s="35" t="s">
        <v>175</v>
      </c>
      <c r="N18" s="37">
        <f>INDEX('Model 13%'!W:W,MATCH('Bull-Bear'!$M18,'Model 13%'!$B:$B,0))</f>
        <v>64.48</v>
      </c>
      <c r="O18" s="37">
        <f>INDEX('Model 13%'!K:K,MATCH('Bull-Bear'!$M18,'Model 13%'!$B:$B,0))</f>
        <v>45.136000000000003</v>
      </c>
      <c r="P18" s="66">
        <f>INDEX('Model 13%'!AI:AI,MATCH('Bull-Bear'!$M18,'Model 13%'!$B:$B,0))</f>
        <v>25.792000000000002</v>
      </c>
    </row>
    <row r="19" spans="2:16">
      <c r="B19" s="97" t="s">
        <v>46</v>
      </c>
      <c r="C19" s="98">
        <f>INDEX('Model 7%'!F:F,MATCH('Bull-Bear'!B19,'Model 7%'!B:B,0))</f>
        <v>355.79847380300049</v>
      </c>
      <c r="D19" s="101">
        <f>INDEX('Model 7%'!W:W,MATCH('Bull-Bear'!$B19,'Model 7%'!$B:$B,0))</f>
        <v>1996.4</v>
      </c>
      <c r="E19" s="101">
        <f>INDEX('Model 7%'!K:K,MATCH('Bull-Bear'!$B19,'Model 7%'!$B:$B,0))</f>
        <v>1663.0880000000002</v>
      </c>
      <c r="F19" s="102">
        <f>INDEX('Model 7%'!AI:AI,MATCH('Bull-Bear'!$B19,'Model 7%'!$B:$B,0))</f>
        <v>1329.7760000000001</v>
      </c>
      <c r="H19" s="97" t="s">
        <v>46</v>
      </c>
      <c r="I19" s="101">
        <f>INDEX('Model 10%'!W:W,MATCH('Bull-Bear'!$H19,'Model 10%'!$B:$B,0))</f>
        <v>2628.8</v>
      </c>
      <c r="J19" s="101">
        <f>INDEX('Model 10%'!K:K,MATCH('Bull-Bear'!$H19,'Model 10%'!$B:$B,0))</f>
        <v>2375.84</v>
      </c>
      <c r="K19" s="102">
        <f>INDEX('Model 10%'!AI:AI,MATCH('Bull-Bear'!$H19,'Model 10%'!$B:$B,0))</f>
        <v>1899.6799999999998</v>
      </c>
      <c r="M19" s="97" t="s">
        <v>46</v>
      </c>
      <c r="N19" s="101">
        <f>INDEX('Model 13%'!W:W,MATCH('Bull-Bear'!$M19,'Model 13%'!$B:$B,0))</f>
        <v>3417.4400000000005</v>
      </c>
      <c r="O19" s="101">
        <f>INDEX('Model 13%'!K:K,MATCH('Bull-Bear'!$M19,'Model 13%'!$B:$B,0))</f>
        <v>3088.5920000000006</v>
      </c>
      <c r="P19" s="102">
        <f>INDEX('Model 13%'!AI:AI,MATCH('Bull-Bear'!$M19,'Model 13%'!$B:$B,0))</f>
        <v>2469.5839999999998</v>
      </c>
    </row>
    <row r="20" spans="2:16">
      <c r="B20" s="97" t="s">
        <v>34</v>
      </c>
      <c r="C20" s="98">
        <f>INDEX('Model 7%'!F:F,MATCH('Bull-Bear'!B20,'Model 7%'!B:B,0))</f>
        <v>288.28099999999995</v>
      </c>
      <c r="D20" s="101">
        <f>INDEX('Model 7%'!W:W,MATCH('Bull-Bear'!$B20,'Model 7%'!$B:$B,0))</f>
        <v>1756.8320000000001</v>
      </c>
      <c r="E20" s="101">
        <f>INDEX('Model 7%'!K:K,MATCH('Bull-Bear'!$B20,'Model 7%'!$B:$B,0))</f>
        <v>1463.5174400000001</v>
      </c>
      <c r="F20" s="102">
        <f>INDEX('Model 7%'!AI:AI,MATCH('Bull-Bear'!$B20,'Model 7%'!$B:$B,0))</f>
        <v>1170.2028800000001</v>
      </c>
      <c r="H20" s="97" t="s">
        <v>34</v>
      </c>
      <c r="I20" s="101">
        <f>INDEX('Model 10%'!W:W,MATCH('Bull-Bear'!$H20,'Model 10%'!$B:$B,0))</f>
        <v>2313.3440000000001</v>
      </c>
      <c r="J20" s="101">
        <f>INDEX('Model 10%'!K:K,MATCH('Bull-Bear'!$H20,'Model 10%'!$B:$B,0))</f>
        <v>2090.7392</v>
      </c>
      <c r="K20" s="102">
        <f>INDEX('Model 10%'!AI:AI,MATCH('Bull-Bear'!$H20,'Model 10%'!$B:$B,0))</f>
        <v>1671.7184</v>
      </c>
      <c r="M20" s="97" t="s">
        <v>34</v>
      </c>
      <c r="N20" s="101">
        <f>INDEX('Model 13%'!W:W,MATCH('Bull-Bear'!$M20,'Model 13%'!$B:$B,0))</f>
        <v>3007.3472000000006</v>
      </c>
      <c r="O20" s="101">
        <f>INDEX('Model 13%'!K:K,MATCH('Bull-Bear'!$M20,'Model 13%'!$B:$B,0))</f>
        <v>2717.9609600000003</v>
      </c>
      <c r="P20" s="102">
        <f>INDEX('Model 13%'!AI:AI,MATCH('Bull-Bear'!$M20,'Model 13%'!$B:$B,0))</f>
        <v>2173.2339199999997</v>
      </c>
    </row>
    <row r="21" spans="2:16">
      <c r="B21" s="35" t="s">
        <v>36</v>
      </c>
      <c r="C21" s="95">
        <f>INDEX('Model 7%'!F:F,MATCH('Bull-Bear'!B21,'Model 7%'!B:B,0))</f>
        <v>83.854999999999961</v>
      </c>
      <c r="D21" s="37">
        <f>INDEX('Model 7%'!W:W,MATCH('Bull-Bear'!$B21,'Model 7%'!$B:$B,0))</f>
        <v>614.89120000000003</v>
      </c>
      <c r="E21" s="37">
        <f>INDEX('Model 7%'!K:K,MATCH('Bull-Bear'!$B21,'Model 7%'!$B:$B,0))</f>
        <v>468.32558080000001</v>
      </c>
      <c r="F21" s="66">
        <f>INDEX('Model 7%'!AI:AI,MATCH('Bull-Bear'!$B21,'Model 7%'!$B:$B,0))</f>
        <v>339.35883519999999</v>
      </c>
      <c r="H21" s="35" t="s">
        <v>36</v>
      </c>
      <c r="I21" s="37">
        <f>INDEX('Model 10%'!W:W,MATCH('Bull-Bear'!$H21,'Model 10%'!$B:$B,0))</f>
        <v>809.67039999999997</v>
      </c>
      <c r="J21" s="37">
        <f>INDEX('Model 10%'!K:K,MATCH('Bull-Bear'!$H21,'Model 10%'!$B:$B,0))</f>
        <v>669.03654400000005</v>
      </c>
      <c r="K21" s="66">
        <f>INDEX('Model 10%'!AI:AI,MATCH('Bull-Bear'!$H21,'Model 10%'!$B:$B,0))</f>
        <v>484.79833599999995</v>
      </c>
      <c r="M21" s="35" t="s">
        <v>36</v>
      </c>
      <c r="N21" s="37">
        <f>INDEX('Model 13%'!W:W,MATCH('Bull-Bear'!$M21,'Model 13%'!$B:$B,0))</f>
        <v>1052.5715200000002</v>
      </c>
      <c r="O21" s="37">
        <f>INDEX('Model 13%'!K:K,MATCH('Bull-Bear'!$M21,'Model 13%'!$B:$B,0))</f>
        <v>869.74750720000009</v>
      </c>
      <c r="P21" s="66">
        <f>INDEX('Model 13%'!AI:AI,MATCH('Bull-Bear'!$M21,'Model 13%'!$B:$B,0))</f>
        <v>630.23783679999985</v>
      </c>
    </row>
    <row r="22" spans="2:16">
      <c r="B22" s="35" t="s">
        <v>90</v>
      </c>
      <c r="C22" s="95">
        <f>INDEX('Model 7%'!F:F,MATCH('Bull-Bear'!B22,'Model 7%'!B:B,0))</f>
        <v>87</v>
      </c>
      <c r="D22" s="37">
        <f>INDEX('Model 7%'!W:W,MATCH('Bull-Bear'!$B22,'Model 7%'!$B:$B,0))</f>
        <v>421.63968</v>
      </c>
      <c r="E22" s="37">
        <f>INDEX('Model 7%'!K:K,MATCH('Bull-Bear'!$B22,'Model 7%'!$B:$B,0))</f>
        <v>395.14970880000004</v>
      </c>
      <c r="F22" s="66">
        <f>INDEX('Model 7%'!AI:AI,MATCH('Bull-Bear'!$B22,'Model 7%'!$B:$B,0))</f>
        <v>351.06086399999998</v>
      </c>
      <c r="H22" s="35" t="s">
        <v>90</v>
      </c>
      <c r="I22" s="37">
        <f>INDEX('Model 10%'!W:W,MATCH('Bull-Bear'!$H22,'Model 10%'!$B:$B,0))</f>
        <v>555.20255999999995</v>
      </c>
      <c r="J22" s="37">
        <f>INDEX('Model 10%'!K:K,MATCH('Bull-Bear'!$H22,'Model 10%'!$B:$B,0))</f>
        <v>564.49958400000003</v>
      </c>
      <c r="K22" s="66">
        <f>INDEX('Model 10%'!AI:AI,MATCH('Bull-Bear'!$H22,'Model 10%'!$B:$B,0))</f>
        <v>501.51551999999998</v>
      </c>
      <c r="M22" s="35" t="s">
        <v>90</v>
      </c>
      <c r="N22" s="37">
        <f>INDEX('Model 13%'!W:W,MATCH('Bull-Bear'!$M22,'Model 13%'!$B:$B,0))</f>
        <v>721.76332800000012</v>
      </c>
      <c r="O22" s="37">
        <f>INDEX('Model 13%'!K:K,MATCH('Bull-Bear'!$M22,'Model 13%'!$B:$B,0))</f>
        <v>733.84945920000018</v>
      </c>
      <c r="P22" s="66">
        <f>INDEX('Model 13%'!AI:AI,MATCH('Bull-Bear'!$M22,'Model 13%'!$B:$B,0))</f>
        <v>651.97017599999992</v>
      </c>
    </row>
    <row r="23" spans="2:16">
      <c r="B23" s="97" t="s">
        <v>3</v>
      </c>
      <c r="C23" s="98">
        <f>INDEX('Model 7%'!F:F,MATCH('Bull-Bear'!B23,'Model 7%'!B:B,0))</f>
        <v>-3.1450000000000387</v>
      </c>
      <c r="D23" s="101">
        <f>INDEX('Model 7%'!W:W,MATCH('Bull-Bear'!$B23,'Model 7%'!$B:$B,0))</f>
        <v>193.25152000000003</v>
      </c>
      <c r="E23" s="101">
        <f>INDEX('Model 7%'!K:K,MATCH('Bull-Bear'!$B23,'Model 7%'!$B:$B,0))</f>
        <v>73.17587199999997</v>
      </c>
      <c r="F23" s="102">
        <f>INDEX('Model 7%'!AI:AI,MATCH('Bull-Bear'!$B23,'Model 7%'!$B:$B,0))</f>
        <v>-11.702028799999994</v>
      </c>
      <c r="H23" s="97" t="s">
        <v>3</v>
      </c>
      <c r="I23" s="101">
        <f>INDEX('Model 10%'!W:W,MATCH('Bull-Bear'!$H23,'Model 10%'!$B:$B,0))</f>
        <v>254.46784000000002</v>
      </c>
      <c r="J23" s="101">
        <f>INDEX('Model 10%'!K:K,MATCH('Bull-Bear'!$H23,'Model 10%'!$B:$B,0))</f>
        <v>104.53696000000002</v>
      </c>
      <c r="K23" s="102">
        <f>INDEX('Model 10%'!AI:AI,MATCH('Bull-Bear'!$H23,'Model 10%'!$B:$B,0))</f>
        <v>-16.717184000000032</v>
      </c>
      <c r="M23" s="97" t="s">
        <v>3</v>
      </c>
      <c r="N23" s="101">
        <f>INDEX('Model 13%'!W:W,MATCH('Bull-Bear'!$M23,'Model 13%'!$B:$B,0))</f>
        <v>330.80819200000008</v>
      </c>
      <c r="O23" s="101">
        <f>INDEX('Model 13%'!K:K,MATCH('Bull-Bear'!$M23,'Model 13%'!$B:$B,0))</f>
        <v>135.8980479999999</v>
      </c>
      <c r="P23" s="102">
        <f>INDEX('Model 13%'!AI:AI,MATCH('Bull-Bear'!$M23,'Model 13%'!$B:$B,0))</f>
        <v>-21.732339200000069</v>
      </c>
    </row>
    <row r="24" spans="2:16">
      <c r="B24" s="35" t="s">
        <v>86</v>
      </c>
      <c r="C24" s="95">
        <f>INDEX('Model 7%'!F:F,MATCH('Bull-Bear'!B24,'Model 7%'!B:B,0))</f>
        <v>39.979999999999997</v>
      </c>
      <c r="D24" s="37">
        <f>INDEX('Model 7%'!W:W,MATCH('Bull-Bear'!$B24,'Model 7%'!$B:$B,0))</f>
        <v>183.7274784120892</v>
      </c>
      <c r="E24" s="37">
        <f>INDEX('Model 7%'!K:K,MATCH('Bull-Bear'!$B24,'Model 7%'!$B:$B,0))</f>
        <v>153.05297766850566</v>
      </c>
      <c r="F24" s="66">
        <f>INDEX('Model 7%'!AI:AI,MATCH('Bull-Bear'!$B24,'Model 7%'!$B:$B,0))</f>
        <v>122.37847692492204</v>
      </c>
      <c r="H24" s="35" t="s">
        <v>86</v>
      </c>
      <c r="I24" s="37">
        <f>INDEX('Model 10%'!W:W,MATCH('Bull-Bear'!$H24,'Model 10%'!$B:$B,0))</f>
        <v>218.64711095500806</v>
      </c>
      <c r="J24" s="37">
        <f>INDEX('Model 10%'!K:K,MATCH('Bull-Bear'!$H24,'Model 10%'!$B:$B,0))</f>
        <v>218.64711095500806</v>
      </c>
      <c r="K24" s="66">
        <f>INDEX('Model 10%'!AI:AI,MATCH('Bull-Bear'!$H24,'Model 10%'!$B:$B,0))</f>
        <v>174.82639560703146</v>
      </c>
      <c r="M24" s="35" t="s">
        <v>86</v>
      </c>
      <c r="N24" s="37">
        <f>INDEX('Model 13%'!W:W,MATCH('Bull-Bear'!$M24,'Model 13%'!$B:$B,0))</f>
        <v>284.24124424151051</v>
      </c>
      <c r="O24" s="37">
        <f>INDEX('Model 13%'!K:K,MATCH('Bull-Bear'!$M24,'Model 13%'!$B:$B,0))</f>
        <v>284.24124424151051</v>
      </c>
      <c r="P24" s="66">
        <f>INDEX('Model 13%'!AI:AI,MATCH('Bull-Bear'!$M24,'Model 13%'!$B:$B,0))</f>
        <v>227.27431428914093</v>
      </c>
    </row>
    <row r="25" spans="2:16">
      <c r="B25" s="97" t="s">
        <v>44</v>
      </c>
      <c r="C25" s="98">
        <f>INDEX('Model 7%'!F:F,MATCH('Bull-Bear'!B25,'Model 7%'!B:B,0))</f>
        <v>-8.6450000000000387</v>
      </c>
      <c r="D25" s="101">
        <f>INDEX('Model 7%'!W:W,MATCH('Bull-Bear'!$B25,'Model 7%'!$B:$B,0))</f>
        <v>174.70405403214204</v>
      </c>
      <c r="E25" s="101">
        <f>INDEX('Model 7%'!K:K,MATCH('Bull-Bear'!$B25,'Model 7%'!$B:$B,0))</f>
        <v>54.628406032141967</v>
      </c>
      <c r="F25" s="102">
        <f>INDEX('Model 7%'!AI:AI,MATCH('Bull-Bear'!$B25,'Model 7%'!$B:$B,0))</f>
        <v>-30.249494767857993</v>
      </c>
      <c r="H25" s="97" t="s">
        <v>44</v>
      </c>
      <c r="I25" s="101">
        <f>INDEX('Model 10%'!W:W,MATCH('Bull-Bear'!$H25,'Model 10%'!$B:$B,0))</f>
        <v>227.97146004591718</v>
      </c>
      <c r="J25" s="101">
        <f>INDEX('Model 10%'!K:K,MATCH('Bull-Bear'!$H25,'Model 10%'!$B:$B,0))</f>
        <v>78.040580045917167</v>
      </c>
      <c r="K25" s="102">
        <f>INDEX('Model 10%'!AI:AI,MATCH('Bull-Bear'!$H25,'Model 10%'!$B:$B,0))</f>
        <v>-43.213563954082886</v>
      </c>
      <c r="M25" s="97" t="s">
        <v>44</v>
      </c>
      <c r="N25" s="101">
        <f>INDEX('Model 13%'!W:W,MATCH('Bull-Bear'!$M25,'Model 13%'!$B:$B,0))</f>
        <v>296.36289805969238</v>
      </c>
      <c r="O25" s="101">
        <f>INDEX('Model 13%'!K:K,MATCH('Bull-Bear'!$M25,'Model 13%'!$B:$B,0))</f>
        <v>101.45275405969218</v>
      </c>
      <c r="P25" s="102">
        <f>INDEX('Model 13%'!AI:AI,MATCH('Bull-Bear'!$M25,'Model 13%'!$B:$B,0))</f>
        <v>-56.177633140307783</v>
      </c>
    </row>
    <row r="26" spans="2:16">
      <c r="B26" s="35" t="s">
        <v>38</v>
      </c>
      <c r="C26" s="95">
        <f>INDEX('Model 7%'!F:F,MATCH('Bull-Bear'!B26,'Model 7%'!B:B,0))</f>
        <v>-8.6450000000000387</v>
      </c>
      <c r="D26" s="37">
        <f>INDEX('Model 7%'!W:W,MATCH('Bull-Bear'!$B26,'Model 7%'!$B:$B,0))</f>
        <v>128.23277565959225</v>
      </c>
      <c r="E26" s="37">
        <f>INDEX('Model 7%'!K:K,MATCH('Bull-Bear'!$B26,'Model 7%'!$B:$B,0))</f>
        <v>40.097250027592203</v>
      </c>
      <c r="F26" s="66">
        <f>INDEX('Model 7%'!AI:AI,MATCH('Bull-Bear'!$B26,'Model 7%'!$B:$B,0))</f>
        <v>-22.203129159607766</v>
      </c>
      <c r="H26" s="35" t="s">
        <v>38</v>
      </c>
      <c r="I26" s="37">
        <f>INDEX('Model 10%'!W:W,MATCH('Bull-Bear'!$H26,'Model 10%'!$B:$B,0))</f>
        <v>167.3310516737032</v>
      </c>
      <c r="J26" s="37">
        <f>INDEX('Model 10%'!K:K,MATCH('Bull-Bear'!$H26,'Model 10%'!$B:$B,0))</f>
        <v>57.281785753703197</v>
      </c>
      <c r="K26" s="66">
        <f>INDEX('Model 10%'!AI:AI,MATCH('Bull-Bear'!$H26,'Model 10%'!$B:$B,0))</f>
        <v>-31.718755942296838</v>
      </c>
      <c r="M26" s="35" t="s">
        <v>38</v>
      </c>
      <c r="N26" s="37">
        <f>INDEX('Model 13%'!W:W,MATCH('Bull-Bear'!$M26,'Model 13%'!$B:$B,0))</f>
        <v>217.53036717581421</v>
      </c>
      <c r="O26" s="37">
        <f>INDEX('Model 13%'!K:K,MATCH('Bull-Bear'!$M26,'Model 13%'!$B:$B,0))</f>
        <v>74.466321479814056</v>
      </c>
      <c r="P26" s="66">
        <f>INDEX('Model 13%'!AI:AI,MATCH('Bull-Bear'!$M26,'Model 13%'!$B:$B,0))</f>
        <v>-41.234382724985913</v>
      </c>
    </row>
    <row r="27" spans="2:16">
      <c r="B27" s="35" t="s">
        <v>169</v>
      </c>
      <c r="C27" s="95">
        <f>INDEX('Model 7%'!F:F,MATCH('Bull-Bear'!B27,'Model 7%'!B:B,0))</f>
        <v>5.5</v>
      </c>
      <c r="D27" s="37">
        <f>INDEX('Model 7%'!W:W,MATCH('Bull-Bear'!$B27,'Model 7%'!$B:$B,0))</f>
        <v>18.547465967857999</v>
      </c>
      <c r="E27" s="37">
        <f>INDEX('Model 7%'!K:K,MATCH('Bull-Bear'!$B27,'Model 7%'!$B:$B,0))</f>
        <v>18.547465967857999</v>
      </c>
      <c r="F27" s="66">
        <f>INDEX('Model 7%'!AI:AI,MATCH('Bull-Bear'!$B27,'Model 7%'!$B:$B,0))</f>
        <v>18.547465967857999</v>
      </c>
      <c r="H27" s="35" t="s">
        <v>169</v>
      </c>
      <c r="I27" s="37">
        <f>INDEX('Model 10%'!W:W,MATCH('Bull-Bear'!$H27,'Model 10%'!$B:$B,0))</f>
        <v>26.496379954082855</v>
      </c>
      <c r="J27" s="37">
        <f>INDEX('Model 10%'!K:K,MATCH('Bull-Bear'!$H27,'Model 10%'!$B:$B,0))</f>
        <v>26.496379954082855</v>
      </c>
      <c r="K27" s="66">
        <f>INDEX('Model 10%'!AI:AI,MATCH('Bull-Bear'!$H27,'Model 10%'!$B:$B,0))</f>
        <v>26.496379954082855</v>
      </c>
      <c r="M27" s="35" t="s">
        <v>169</v>
      </c>
      <c r="N27" s="37">
        <f>INDEX('Model 13%'!W:W,MATCH('Bull-Bear'!$M27,'Model 13%'!$B:$B,0))</f>
        <v>34.445293940307714</v>
      </c>
      <c r="O27" s="37">
        <f>INDEX('Model 13%'!K:K,MATCH('Bull-Bear'!$M27,'Model 13%'!$B:$B,0))</f>
        <v>34.445293940307714</v>
      </c>
      <c r="P27" s="66">
        <f>INDEX('Model 13%'!AI:AI,MATCH('Bull-Bear'!$M27,'Model 13%'!$B:$B,0))</f>
        <v>34.445293940307714</v>
      </c>
    </row>
    <row r="28" spans="2:16">
      <c r="B28" s="35" t="s">
        <v>40</v>
      </c>
      <c r="C28" s="95">
        <f>INDEX('Model 7%'!F:F,MATCH('Bull-Bear'!B28,'Model 7%'!B:B,0))</f>
        <v>20.779999999999998</v>
      </c>
      <c r="D28" s="37">
        <f>INDEX('Model 7%'!W:W,MATCH('Bull-Bear'!$B28,'Model 7%'!$B:$B,0))</f>
        <v>37.598901602309226</v>
      </c>
      <c r="E28" s="37">
        <f>INDEX('Model 7%'!K:K,MATCH('Bull-Bear'!$B28,'Model 7%'!$B:$B,0))</f>
        <v>37.598901602309226</v>
      </c>
      <c r="F28" s="66">
        <f>INDEX('Model 7%'!AI:AI,MATCH('Bull-Bear'!$B28,'Model 7%'!$B:$B,0))</f>
        <v>28.114963771727229</v>
      </c>
      <c r="H28" s="35" t="s">
        <v>40</v>
      </c>
      <c r="I28" s="37">
        <f>INDEX('Model 10%'!W:W,MATCH('Bull-Bear'!$H28,'Model 10%'!$B:$B,0))</f>
        <v>66.892741641109396</v>
      </c>
      <c r="J28" s="37">
        <f>INDEX('Model 10%'!K:K,MATCH('Bull-Bear'!$H28,'Model 10%'!$B:$B,0))</f>
        <v>66.892741641109396</v>
      </c>
      <c r="K28" s="66">
        <f>INDEX('Model 10%'!AI:AI,MATCH('Bull-Bear'!$H28,'Model 10%'!$B:$B,0))</f>
        <v>51.260013232066015</v>
      </c>
      <c r="M28" s="35" t="s">
        <v>40</v>
      </c>
      <c r="N28" s="37">
        <f>INDEX('Model 13%'!W:W,MATCH('Bull-Bear'!$M28,'Model 13%'!$B:$B,0))</f>
        <v>98.806377376030412</v>
      </c>
      <c r="O28" s="37">
        <f>INDEX('Model 13%'!K:K,MATCH('Bull-Bear'!$M28,'Model 13%'!$B:$B,0))</f>
        <v>98.806377376030412</v>
      </c>
      <c r="P28" s="66">
        <f>INDEX('Model 13%'!AI:AI,MATCH('Bull-Bear'!$M28,'Model 13%'!$B:$B,0))</f>
        <v>76.610572517817218</v>
      </c>
    </row>
    <row r="29" spans="2:16">
      <c r="B29" s="35" t="s">
        <v>1</v>
      </c>
      <c r="C29" s="95">
        <f>INDEX('Model 7%'!F:F,MATCH('Bull-Bear'!B29,'Model 7%'!B:B,0))</f>
        <v>-23.121850503118964</v>
      </c>
      <c r="D29" s="37">
        <f>INDEX('Model 7%'!W:W,MATCH('Bull-Bear'!$B29,'Model 7%'!$B:$B,0))</f>
        <v>-112.56238145022364</v>
      </c>
      <c r="E29" s="37">
        <f>INDEX('Model 7%'!K:K,MATCH('Bull-Bear'!$B29,'Model 7%'!$B:$B,0))</f>
        <v>-112.56238145022364</v>
      </c>
      <c r="F29" s="66">
        <f>INDEX('Model 7%'!AI:AI,MATCH('Bull-Bear'!$B29,'Model 7%'!$B:$B,0))</f>
        <v>-93.97362270588026</v>
      </c>
      <c r="H29" s="35" t="s">
        <v>1</v>
      </c>
      <c r="I29" s="37">
        <f>INDEX('Model 10%'!W:W,MATCH('Bull-Bear'!$H29,'Model 10%'!$B:$B,0))</f>
        <v>-160.80340207174805</v>
      </c>
      <c r="J29" s="37">
        <f>INDEX('Model 10%'!K:K,MATCH('Bull-Bear'!$H29,'Model 10%'!$B:$B,0))</f>
        <v>-160.80340207174805</v>
      </c>
      <c r="K29" s="66">
        <f>INDEX('Model 10%'!AI:AI,MATCH('Bull-Bear'!$H29,'Model 10%'!$B:$B,0))</f>
        <v>-134.24803243697176</v>
      </c>
      <c r="M29" s="35" t="s">
        <v>1</v>
      </c>
      <c r="N29" s="37">
        <f>INDEX('Model 13%'!W:W,MATCH('Bull-Bear'!$M29,'Model 13%'!$B:$B,0))</f>
        <v>-209.04442269327248</v>
      </c>
      <c r="O29" s="37">
        <f>INDEX('Model 13%'!K:K,MATCH('Bull-Bear'!$M29,'Model 13%'!$B:$B,0))</f>
        <v>-209.04442269327248</v>
      </c>
      <c r="P29" s="66">
        <f>INDEX('Model 13%'!AI:AI,MATCH('Bull-Bear'!$M29,'Model 13%'!$B:$B,0))</f>
        <v>-174.52244216806326</v>
      </c>
    </row>
    <row r="30" spans="2:16">
      <c r="B30" s="97" t="s">
        <v>43</v>
      </c>
      <c r="C30" s="98">
        <f>INDEX('Model 7%'!F:F,MATCH('Bull-Bear'!B30,'Model 7%'!B:B,0))</f>
        <v>-19.991602596970914</v>
      </c>
      <c r="D30" s="101">
        <f>INDEX('Model 7%'!W:W,MATCH('Bull-Bear'!$B30,'Model 7%'!$B:$B,0))</f>
        <v>127.28627078375096</v>
      </c>
      <c r="E30" s="101">
        <f>INDEX('Model 7%'!K:K,MATCH('Bull-Bear'!$B30,'Model 7%'!$B:$B,0))</f>
        <v>39.150745151750925</v>
      </c>
      <c r="F30" s="102">
        <f>INDEX('Model 7%'!AI:AI,MATCH('Bull-Bear'!$B30,'Model 7%'!$B:$B,0))</f>
        <v>-13.665696204867047</v>
      </c>
      <c r="H30" s="97" t="s">
        <v>43</v>
      </c>
      <c r="I30" s="101">
        <f>INDEX('Model 10%'!W:W,MATCH('Bull-Bear'!$H30,'Model 10%'!$B:$B,0))</f>
        <v>160.75043315433717</v>
      </c>
      <c r="J30" s="101">
        <f>INDEX('Model 10%'!K:K,MATCH('Bull-Bear'!$H30,'Model 10%'!$B:$B,0))</f>
        <v>50.701167234337177</v>
      </c>
      <c r="K30" s="102">
        <f>INDEX('Model 10%'!AI:AI,MATCH('Bull-Bear'!$H30,'Model 10%'!$B:$B,0))</f>
        <v>-22.66664605261947</v>
      </c>
      <c r="M30" s="97" t="s">
        <v>43</v>
      </c>
      <c r="N30" s="101">
        <f>INDEX('Model 13%'!W:W,MATCH('Bull-Bear'!$M30,'Model 13%'!$B:$B,0))</f>
        <v>204.27637145158562</v>
      </c>
      <c r="O30" s="101">
        <f>INDEX('Model 13%'!K:K,MATCH('Bull-Bear'!$M30,'Model 13%'!$B:$B,0))</f>
        <v>61.212325755585468</v>
      </c>
      <c r="P30" s="102">
        <f>INDEX('Model 13%'!AI:AI,MATCH('Bull-Bear'!$M30,'Model 13%'!$B:$B,0))</f>
        <v>-32.292573591001315</v>
      </c>
    </row>
    <row r="31" spans="2:16">
      <c r="B31" s="97" t="s">
        <v>33</v>
      </c>
      <c r="C31" s="98">
        <f>INDEX('Model 7%'!F:F,MATCH('Bull-Bear'!B31,'Model 7%'!B:B,0))</f>
        <v>360.83333333333331</v>
      </c>
      <c r="D31" s="101">
        <f>INDEX('Model 7%'!W:W,MATCH('Bull-Bear'!$B31,'Model 7%'!$B:$B,0))</f>
        <v>1878.0833333333335</v>
      </c>
      <c r="E31" s="101">
        <f>INDEX('Model 7%'!K:K,MATCH('Bull-Bear'!$B31,'Model 7%'!$B:$B,0))</f>
        <v>1591.3333333333335</v>
      </c>
      <c r="F31" s="102">
        <f>INDEX('Model 7%'!AI:AI,MATCH('Bull-Bear'!$B31,'Model 7%'!$B:$B,0))</f>
        <v>1304.5833333333333</v>
      </c>
      <c r="H31" s="97" t="s">
        <v>33</v>
      </c>
      <c r="I31" s="101">
        <f>INDEX('Model 10%'!W:W,MATCH('Bull-Bear'!$H31,'Model 10%'!$B:$B,0))</f>
        <v>2450.4761904761908</v>
      </c>
      <c r="J31" s="101">
        <f>INDEX('Model 10%'!K:K,MATCH('Bull-Bear'!$H31,'Model 10%'!$B:$B,0))</f>
        <v>2273.3333333333335</v>
      </c>
      <c r="K31" s="102">
        <f>INDEX('Model 10%'!AI:AI,MATCH('Bull-Bear'!$H31,'Model 10%'!$B:$B,0))</f>
        <v>1863.6904761904759</v>
      </c>
      <c r="M31" s="97" t="s">
        <v>33</v>
      </c>
      <c r="N31" s="101">
        <f>INDEX('Model 13%'!W:W,MATCH('Bull-Bear'!$M31,'Model 13%'!$B:$B,0))</f>
        <v>3185.6190476190477</v>
      </c>
      <c r="O31" s="101">
        <f>INDEX('Model 13%'!K:K,MATCH('Bull-Bear'!$M31,'Model 13%'!$B:$B,0))</f>
        <v>2955.3333333333335</v>
      </c>
      <c r="P31" s="102">
        <f>INDEX('Model 13%'!AI:AI,MATCH('Bull-Bear'!$M31,'Model 13%'!$B:$B,0))</f>
        <v>2422.7976190476193</v>
      </c>
    </row>
    <row r="32" spans="2:16">
      <c r="B32" s="99" t="s">
        <v>138</v>
      </c>
      <c r="C32" s="95"/>
      <c r="D32" s="37">
        <f>'Model 7%'!S50</f>
        <v>1109.1520321932298</v>
      </c>
      <c r="E32" s="37">
        <f>'Model 7%'!E50</f>
        <v>431.54252043561758</v>
      </c>
      <c r="F32" s="66">
        <f>'Model 7%'!AE50</f>
        <v>-1305.6039998578231</v>
      </c>
      <c r="G32" s="32"/>
      <c r="H32" s="99" t="s">
        <v>138</v>
      </c>
      <c r="I32" s="37">
        <f>'Model 10%'!S50</f>
        <v>1575.6710035056228</v>
      </c>
      <c r="J32" s="37">
        <f>'Model 10%'!E50</f>
        <v>647.16950779754211</v>
      </c>
      <c r="K32" s="66">
        <f>'Model 10%'!AE50</f>
        <v>-2222.4646895696937</v>
      </c>
      <c r="M32" s="99" t="s">
        <v>138</v>
      </c>
      <c r="N32" s="37">
        <f>'Model 13%'!S50</f>
        <v>2166.4871414930126</v>
      </c>
      <c r="O32" s="37">
        <f>'Model 13%'!E50</f>
        <v>877.39053753337748</v>
      </c>
      <c r="P32" s="66">
        <f>'Model 13%'!AE50</f>
        <v>-3290.5100488937828</v>
      </c>
    </row>
    <row r="33" spans="2:16">
      <c r="B33" s="99" t="s">
        <v>139</v>
      </c>
      <c r="C33" s="95"/>
      <c r="D33" s="37">
        <f>'Model 7%'!S51</f>
        <v>1109.1520321932298</v>
      </c>
      <c r="E33" s="37">
        <f>'Model 7%'!E51</f>
        <v>362.6425204356176</v>
      </c>
      <c r="F33" s="66">
        <f>'Model 7%'!AE51</f>
        <v>-1305.6039998578231</v>
      </c>
      <c r="G33" s="32"/>
      <c r="H33" s="99" t="s">
        <v>139</v>
      </c>
      <c r="I33" s="37">
        <f>'Model 10%'!S51</f>
        <v>1575.6710035056228</v>
      </c>
      <c r="J33" s="37">
        <f>'Model 10%'!E51</f>
        <v>578.26950779754213</v>
      </c>
      <c r="K33" s="66">
        <f>'Model 10%'!AE51</f>
        <v>-2222.4646895696937</v>
      </c>
      <c r="M33" s="99" t="s">
        <v>139</v>
      </c>
      <c r="N33" s="37">
        <f>'Model 13%'!S51</f>
        <v>2166.4871414930126</v>
      </c>
      <c r="O33" s="37">
        <f>'Model 13%'!E51</f>
        <v>808.49053753337751</v>
      </c>
      <c r="P33" s="66">
        <f>'Model 13%'!AE51</f>
        <v>-3290.5100488937828</v>
      </c>
    </row>
    <row r="34" spans="2:16" ht="12" thickBot="1">
      <c r="B34" s="109" t="s">
        <v>140</v>
      </c>
      <c r="C34" s="110"/>
      <c r="D34" s="111">
        <f>'Model 7%'!S52</f>
        <v>18.767377871289845</v>
      </c>
      <c r="E34" s="111">
        <f>'Model 7%'!E52</f>
        <v>6.1360832561018208</v>
      </c>
      <c r="F34" s="162">
        <f>'Model 7%'!AE52</f>
        <v>-22.091438237865027</v>
      </c>
      <c r="G34" s="32"/>
      <c r="H34" s="109" t="s">
        <v>140</v>
      </c>
      <c r="I34" s="111">
        <f>'Model 10%'!S52</f>
        <v>26.661099890112062</v>
      </c>
      <c r="J34" s="111">
        <f>'Model 10%'!E52</f>
        <v>9.7845940405675478</v>
      </c>
      <c r="K34" s="162">
        <f>'Model 10%'!AE52</f>
        <v>-37.605155491872992</v>
      </c>
      <c r="M34" s="109" t="s">
        <v>140</v>
      </c>
      <c r="N34" s="111">
        <f>'Model 13%'!S52</f>
        <v>36.657988857749793</v>
      </c>
      <c r="O34" s="111">
        <f>'Model 13%'!E52</f>
        <v>13.680042936266963</v>
      </c>
      <c r="P34" s="162">
        <f>'Model 13%'!AE52</f>
        <v>-55.676988982974329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45F4-CEE6-4BC5-A178-22BD0FCE0120}">
  <dimension ref="A1:AO64"/>
  <sheetViews>
    <sheetView showGridLines="0" topLeftCell="A7" zoomScale="60" zoomScaleNormal="60" workbookViewId="0">
      <selection activeCell="M72" sqref="M72"/>
    </sheetView>
  </sheetViews>
  <sheetFormatPr defaultRowHeight="14.5"/>
  <cols>
    <col min="1" max="1" width="3.81640625" style="2" customWidth="1"/>
    <col min="2" max="2" width="24.90625" style="2" customWidth="1"/>
    <col min="3" max="3" width="8" style="2" hidden="1" customWidth="1"/>
    <col min="4" max="4" width="8.7265625" style="2" hidden="1" customWidth="1"/>
    <col min="5" max="5" width="7.81640625" style="2" bestFit="1" customWidth="1"/>
    <col min="6" max="6" width="7.81640625" style="2" customWidth="1"/>
    <col min="7" max="7" width="7.90625" style="2" customWidth="1"/>
    <col min="8" max="8" width="7.7265625" style="2" customWidth="1"/>
    <col min="9" max="9" width="10.08984375" style="2" customWidth="1"/>
    <col min="10" max="10" width="7.90625" style="2" customWidth="1"/>
    <col min="11" max="17" width="9.36328125" style="2" customWidth="1"/>
    <col min="18" max="18" width="2" style="124" customWidth="1"/>
    <col min="19" max="19" width="7.90625" style="2" customWidth="1"/>
    <col min="20" max="20" width="7.7265625" style="2" customWidth="1"/>
    <col min="21" max="21" width="10.08984375" style="2" customWidth="1"/>
    <col min="22" max="22" width="7.90625" style="2" customWidth="1"/>
    <col min="23" max="29" width="9.36328125" style="2" customWidth="1"/>
    <col min="30" max="30" width="2" style="124" customWidth="1"/>
    <col min="31" max="31" width="7.90625" style="2" customWidth="1"/>
    <col min="32" max="32" width="7.7265625" style="2" customWidth="1"/>
    <col min="33" max="33" width="10.08984375" style="2" customWidth="1"/>
    <col min="34" max="34" width="7.90625" style="2" customWidth="1"/>
    <col min="35" max="35" width="9.36328125" style="2" customWidth="1"/>
  </cols>
  <sheetData>
    <row r="1" spans="2:41" ht="15" thickBot="1">
      <c r="B1" s="163"/>
      <c r="C1" s="45"/>
      <c r="D1" s="45"/>
      <c r="E1" s="45"/>
      <c r="F1" s="45"/>
      <c r="G1" s="196" t="s">
        <v>167</v>
      </c>
      <c r="H1" s="196"/>
      <c r="I1" s="196"/>
      <c r="J1" s="196"/>
      <c r="K1" s="196"/>
      <c r="L1" s="196"/>
      <c r="M1" s="196"/>
      <c r="N1" s="196"/>
      <c r="O1" s="196"/>
      <c r="P1" s="196"/>
      <c r="Q1" s="197"/>
      <c r="R1" s="125"/>
      <c r="S1" s="195" t="s">
        <v>181</v>
      </c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25"/>
      <c r="AE1" s="194" t="s">
        <v>182</v>
      </c>
      <c r="AF1" s="194"/>
      <c r="AG1" s="194"/>
      <c r="AH1" s="194"/>
      <c r="AI1" s="194"/>
      <c r="AJ1" s="194"/>
      <c r="AK1" s="194"/>
      <c r="AL1" s="194"/>
      <c r="AM1" s="194"/>
      <c r="AN1" s="194"/>
      <c r="AO1" s="194"/>
    </row>
    <row r="2" spans="2:41">
      <c r="B2" s="146" t="s">
        <v>170</v>
      </c>
      <c r="C2" s="34">
        <v>2017</v>
      </c>
      <c r="D2" s="34">
        <v>2018</v>
      </c>
      <c r="E2" s="34">
        <v>2019</v>
      </c>
      <c r="F2" s="81">
        <v>2020</v>
      </c>
      <c r="G2" s="34">
        <v>2021</v>
      </c>
      <c r="H2" s="34">
        <v>2022</v>
      </c>
      <c r="I2" s="34">
        <v>2023</v>
      </c>
      <c r="J2" s="34">
        <v>2024</v>
      </c>
      <c r="K2" s="81">
        <v>2025</v>
      </c>
      <c r="L2" s="34">
        <f>K2+1</f>
        <v>2026</v>
      </c>
      <c r="M2" s="34">
        <f t="shared" ref="M2:O2" si="0">L2+1</f>
        <v>2027</v>
      </c>
      <c r="N2" s="34">
        <f t="shared" si="0"/>
        <v>2028</v>
      </c>
      <c r="O2" s="34">
        <f t="shared" si="0"/>
        <v>2029</v>
      </c>
      <c r="P2" s="34">
        <f>O2+1</f>
        <v>2030</v>
      </c>
      <c r="Q2" s="96" t="s">
        <v>183</v>
      </c>
      <c r="R2" s="126"/>
      <c r="S2" s="127">
        <v>2021</v>
      </c>
      <c r="T2" s="127">
        <v>2022</v>
      </c>
      <c r="U2" s="127">
        <v>2023</v>
      </c>
      <c r="V2" s="127">
        <v>2024</v>
      </c>
      <c r="W2" s="127">
        <v>2025</v>
      </c>
      <c r="X2" s="127">
        <f>W2+1</f>
        <v>2026</v>
      </c>
      <c r="Y2" s="127">
        <f t="shared" ref="Y2:AA2" si="1">X2+1</f>
        <v>2027</v>
      </c>
      <c r="Z2" s="127">
        <f t="shared" si="1"/>
        <v>2028</v>
      </c>
      <c r="AA2" s="127">
        <f t="shared" si="1"/>
        <v>2029</v>
      </c>
      <c r="AB2" s="127">
        <f>AA2+1</f>
        <v>2030</v>
      </c>
      <c r="AC2" s="104" t="s">
        <v>183</v>
      </c>
      <c r="AD2" s="126"/>
      <c r="AE2" s="132">
        <v>2021</v>
      </c>
      <c r="AF2" s="127">
        <v>2022</v>
      </c>
      <c r="AG2" s="127">
        <v>2023</v>
      </c>
      <c r="AH2" s="127">
        <v>2024</v>
      </c>
      <c r="AI2" s="127">
        <v>2025</v>
      </c>
      <c r="AJ2" s="127">
        <f>AI2+1</f>
        <v>2026</v>
      </c>
      <c r="AK2" s="127">
        <f t="shared" ref="AK2:AM2" si="2">AJ2+1</f>
        <v>2027</v>
      </c>
      <c r="AL2" s="127">
        <f t="shared" si="2"/>
        <v>2028</v>
      </c>
      <c r="AM2" s="127">
        <f t="shared" si="2"/>
        <v>2029</v>
      </c>
      <c r="AN2" s="127">
        <f>AM2+1</f>
        <v>2030</v>
      </c>
      <c r="AO2" s="104" t="s">
        <v>183</v>
      </c>
    </row>
    <row r="3" spans="2:41">
      <c r="B3" s="147" t="s">
        <v>51</v>
      </c>
      <c r="C3" s="32"/>
      <c r="D3" s="32"/>
      <c r="E3" s="37">
        <v>124000</v>
      </c>
      <c r="F3" s="82">
        <v>124000</v>
      </c>
      <c r="G3" s="24">
        <f t="shared" ref="G3:K3" si="3">F3</f>
        <v>124000</v>
      </c>
      <c r="H3" s="24">
        <f t="shared" si="3"/>
        <v>124000</v>
      </c>
      <c r="I3" s="24">
        <f t="shared" si="3"/>
        <v>124000</v>
      </c>
      <c r="J3" s="24">
        <f t="shared" si="3"/>
        <v>124000</v>
      </c>
      <c r="K3" s="24">
        <f t="shared" si="3"/>
        <v>124000</v>
      </c>
      <c r="L3" s="24"/>
      <c r="M3" s="24"/>
      <c r="N3" s="24"/>
      <c r="O3" s="24"/>
      <c r="P3" s="24"/>
      <c r="Q3" s="164"/>
      <c r="R3" s="112"/>
      <c r="S3" s="24">
        <f>K3</f>
        <v>124000</v>
      </c>
      <c r="T3" s="24">
        <f t="shared" ref="T3" si="4">S3</f>
        <v>124000</v>
      </c>
      <c r="U3" s="24">
        <f t="shared" ref="U3" si="5">T3</f>
        <v>124000</v>
      </c>
      <c r="V3" s="24">
        <f t="shared" ref="V3" si="6">U3</f>
        <v>124000</v>
      </c>
      <c r="W3" s="24">
        <f t="shared" ref="W3" si="7">V3</f>
        <v>124000</v>
      </c>
      <c r="X3" s="24"/>
      <c r="Y3" s="24"/>
      <c r="Z3" s="24"/>
      <c r="AA3" s="24"/>
      <c r="AB3" s="24"/>
      <c r="AC3" s="24"/>
      <c r="AD3" s="112"/>
      <c r="AE3" s="133">
        <f t="shared" ref="AE3" si="8">W3</f>
        <v>124000</v>
      </c>
      <c r="AF3" s="24">
        <f t="shared" ref="AF3" si="9">AE3</f>
        <v>124000</v>
      </c>
      <c r="AG3" s="24">
        <f t="shared" ref="AG3" si="10">AF3</f>
        <v>124000</v>
      </c>
      <c r="AH3" s="24">
        <f t="shared" ref="AH3" si="11">AG3</f>
        <v>124000</v>
      </c>
      <c r="AI3" s="24">
        <f t="shared" ref="AI3" si="12">AH3</f>
        <v>124000</v>
      </c>
      <c r="AJ3" s="24"/>
      <c r="AK3" s="24"/>
      <c r="AL3" s="24"/>
      <c r="AM3" s="24"/>
      <c r="AN3" s="24"/>
      <c r="AO3" s="24"/>
    </row>
    <row r="4" spans="2:41">
      <c r="B4" s="147" t="s">
        <v>65</v>
      </c>
      <c r="C4" s="32"/>
      <c r="D4" s="32"/>
      <c r="E4" s="155">
        <v>8.0000000000000002E-3</v>
      </c>
      <c r="F4" s="198">
        <v>1.6E-2</v>
      </c>
      <c r="G4" s="25">
        <f>F4*(1+(($K$4/$F$4)^0.2-1))</f>
        <v>2.1493918318285319E-2</v>
      </c>
      <c r="H4" s="25">
        <f t="shared" ref="H4:J4" si="13">G4*(1+(($K$4/$F$4)^0.2-1))</f>
        <v>2.8874282792070074E-2</v>
      </c>
      <c r="I4" s="25">
        <f t="shared" si="13"/>
        <v>3.8788842239489092E-2</v>
      </c>
      <c r="J4" s="25">
        <f t="shared" si="13"/>
        <v>5.2107762922277118E-2</v>
      </c>
      <c r="K4" s="105">
        <f>'Bull-Bear'!C3</f>
        <v>7.0000000000000007E-2</v>
      </c>
      <c r="L4" s="105"/>
      <c r="M4" s="105"/>
      <c r="N4" s="105"/>
      <c r="O4" s="105"/>
      <c r="P4" s="105"/>
      <c r="Q4" s="165"/>
      <c r="R4" s="113"/>
      <c r="S4" s="25">
        <f>F4*(1+(($W$4/$F$4)^0.2-1))</f>
        <v>2.1493918318285319E-2</v>
      </c>
      <c r="T4" s="25">
        <f>S4*(1+(($W$4/$F$4)^0.2-1))</f>
        <v>2.8874282792070074E-2</v>
      </c>
      <c r="U4" s="25">
        <f>T4*(1+(($W$4/$F$4)^0.2-1))</f>
        <v>3.8788842239489092E-2</v>
      </c>
      <c r="V4" s="25">
        <f>U4*(1+(($W$4/$F$4)^0.2-1))</f>
        <v>5.2107762922277118E-2</v>
      </c>
      <c r="W4" s="105">
        <f>K4</f>
        <v>7.0000000000000007E-2</v>
      </c>
      <c r="X4" s="105"/>
      <c r="Y4" s="105"/>
      <c r="Z4" s="105"/>
      <c r="AA4" s="105"/>
      <c r="AB4" s="105"/>
      <c r="AC4" s="105"/>
      <c r="AD4" s="113"/>
      <c r="AE4" s="134">
        <f>F4*(1+(($AI$4/$F$4)^0.2-1))</f>
        <v>2.1493918318285319E-2</v>
      </c>
      <c r="AF4" s="25">
        <f>AE4*(1+(($AI$4/$F$4)^0.2-1))</f>
        <v>2.8874282792070074E-2</v>
      </c>
      <c r="AG4" s="25">
        <f>AF4*(1+(($AI$4/$F$4)^0.2-1))</f>
        <v>3.8788842239489092E-2</v>
      </c>
      <c r="AH4" s="25">
        <f>AG4*(1+(($AI$4/$F$4)^0.2-1))</f>
        <v>5.2107762922277118E-2</v>
      </c>
      <c r="AI4" s="105">
        <f>'Bull-Bear'!C3</f>
        <v>7.0000000000000007E-2</v>
      </c>
      <c r="AJ4" s="105"/>
      <c r="AK4" s="105"/>
      <c r="AL4" s="105"/>
      <c r="AM4" s="105"/>
      <c r="AN4" s="105"/>
      <c r="AO4" s="105"/>
    </row>
    <row r="5" spans="2:41">
      <c r="B5" s="147" t="s">
        <v>53</v>
      </c>
      <c r="C5" s="32"/>
      <c r="D5" s="32"/>
      <c r="E5" s="24">
        <v>992</v>
      </c>
      <c r="F5" s="82">
        <v>1984</v>
      </c>
      <c r="G5" s="24">
        <f>SUM(G6:G7)</f>
        <v>2665.2458714673794</v>
      </c>
      <c r="H5" s="24">
        <f t="shared" ref="H5:K5" si="14">SUM(H6:H7)</f>
        <v>3580.4110662166891</v>
      </c>
      <c r="I5" s="24">
        <f t="shared" si="14"/>
        <v>4809.8164376966479</v>
      </c>
      <c r="J5" s="24">
        <f t="shared" si="14"/>
        <v>6461.3626023623619</v>
      </c>
      <c r="K5" s="24">
        <f t="shared" si="14"/>
        <v>8680</v>
      </c>
      <c r="L5" s="24"/>
      <c r="M5" s="24"/>
      <c r="N5" s="24"/>
      <c r="O5" s="24"/>
      <c r="P5" s="24"/>
      <c r="Q5" s="164"/>
      <c r="R5" s="112"/>
      <c r="S5" s="24">
        <f>SUM(S6:S7)</f>
        <v>2665.2458714673794</v>
      </c>
      <c r="T5" s="24">
        <f t="shared" ref="T5:W5" si="15">SUM(T6:T7)</f>
        <v>3580.4110662166891</v>
      </c>
      <c r="U5" s="24">
        <f t="shared" si="15"/>
        <v>4809.8164376966479</v>
      </c>
      <c r="V5" s="24">
        <f t="shared" si="15"/>
        <v>6461.3626023623619</v>
      </c>
      <c r="W5" s="24">
        <f t="shared" si="15"/>
        <v>8680</v>
      </c>
      <c r="X5" s="24"/>
      <c r="Y5" s="24"/>
      <c r="Z5" s="24"/>
      <c r="AA5" s="24"/>
      <c r="AB5" s="24"/>
      <c r="AC5" s="24"/>
      <c r="AD5" s="112"/>
      <c r="AE5" s="133">
        <f>SUM(AE6:AE7)</f>
        <v>2665.2458714673794</v>
      </c>
      <c r="AF5" s="24">
        <f t="shared" ref="AF5:AI5" si="16">SUM(AF6:AF7)</f>
        <v>3580.4110662166891</v>
      </c>
      <c r="AG5" s="24">
        <f t="shared" si="16"/>
        <v>4809.8164376966479</v>
      </c>
      <c r="AH5" s="24">
        <f t="shared" si="16"/>
        <v>6461.3626023623619</v>
      </c>
      <c r="AI5" s="24">
        <f t="shared" si="16"/>
        <v>8680</v>
      </c>
      <c r="AJ5" s="24"/>
      <c r="AK5" s="24"/>
      <c r="AL5" s="24"/>
      <c r="AM5" s="24"/>
      <c r="AN5" s="24"/>
      <c r="AO5" s="24"/>
    </row>
    <row r="6" spans="2:41">
      <c r="B6" s="148" t="s">
        <v>180</v>
      </c>
      <c r="C6" s="32"/>
      <c r="D6" s="32"/>
      <c r="E6" s="24">
        <v>592</v>
      </c>
      <c r="F6" s="82">
        <v>1184</v>
      </c>
      <c r="G6" s="24">
        <f t="shared" ref="G6:J6" si="17">0.64*G4*G3</f>
        <v>1705.7573577391231</v>
      </c>
      <c r="H6" s="24">
        <f t="shared" si="17"/>
        <v>2291.4630823786811</v>
      </c>
      <c r="I6" s="24">
        <f t="shared" si="17"/>
        <v>3078.2825201258547</v>
      </c>
      <c r="J6" s="24">
        <f t="shared" si="17"/>
        <v>4135.2720655119119</v>
      </c>
      <c r="K6" s="24">
        <f>0.64*K4*K3</f>
        <v>5555.2000000000007</v>
      </c>
      <c r="L6" s="24"/>
      <c r="M6" s="24"/>
      <c r="N6" s="24"/>
      <c r="O6" s="24"/>
      <c r="P6" s="24"/>
      <c r="Q6" s="164"/>
      <c r="R6" s="112"/>
      <c r="S6" s="24">
        <f t="shared" ref="S6:V6" si="18">0.64*S4*S3</f>
        <v>1705.7573577391231</v>
      </c>
      <c r="T6" s="24">
        <f t="shared" si="18"/>
        <v>2291.4630823786811</v>
      </c>
      <c r="U6" s="24">
        <f t="shared" si="18"/>
        <v>3078.2825201258547</v>
      </c>
      <c r="V6" s="24">
        <f t="shared" si="18"/>
        <v>4135.2720655119119</v>
      </c>
      <c r="W6" s="24">
        <f>0.64*W4*W3</f>
        <v>5555.2000000000007</v>
      </c>
      <c r="X6" s="24"/>
      <c r="Y6" s="24"/>
      <c r="Z6" s="24"/>
      <c r="AA6" s="24"/>
      <c r="AB6" s="24"/>
      <c r="AC6" s="24"/>
      <c r="AD6" s="112"/>
      <c r="AE6" s="133">
        <f t="shared" ref="AE6:AH6" si="19">0.64*AE4*AE3</f>
        <v>1705.7573577391231</v>
      </c>
      <c r="AF6" s="24">
        <f t="shared" si="19"/>
        <v>2291.4630823786811</v>
      </c>
      <c r="AG6" s="24">
        <f t="shared" si="19"/>
        <v>3078.2825201258547</v>
      </c>
      <c r="AH6" s="24">
        <f t="shared" si="19"/>
        <v>4135.2720655119119</v>
      </c>
      <c r="AI6" s="24">
        <f>0.64*AI4*AI3</f>
        <v>5555.2000000000007</v>
      </c>
      <c r="AJ6" s="24"/>
      <c r="AK6" s="24"/>
      <c r="AL6" s="24"/>
      <c r="AM6" s="24"/>
      <c r="AN6" s="24"/>
      <c r="AO6" s="24"/>
    </row>
    <row r="7" spans="2:41">
      <c r="B7" s="148" t="s">
        <v>179</v>
      </c>
      <c r="C7" s="39"/>
      <c r="D7" s="39"/>
      <c r="E7" s="40">
        <v>400</v>
      </c>
      <c r="F7" s="82">
        <v>800</v>
      </c>
      <c r="G7" s="24">
        <f t="shared" ref="G7:J7" si="20">0.36*G4*G3</f>
        <v>959.48851372825652</v>
      </c>
      <c r="H7" s="24">
        <f t="shared" si="20"/>
        <v>1288.947983838008</v>
      </c>
      <c r="I7" s="24">
        <f t="shared" si="20"/>
        <v>1731.5339175707929</v>
      </c>
      <c r="J7" s="24">
        <f t="shared" si="20"/>
        <v>2326.0905368504505</v>
      </c>
      <c r="K7" s="24">
        <f>0.36*K4*K3</f>
        <v>3124.8</v>
      </c>
      <c r="L7" s="24"/>
      <c r="M7" s="24"/>
      <c r="N7" s="24"/>
      <c r="O7" s="24"/>
      <c r="P7" s="24"/>
      <c r="Q7" s="164"/>
      <c r="R7" s="112"/>
      <c r="S7" s="24">
        <f t="shared" ref="S7:V7" si="21">0.36*S4*S3</f>
        <v>959.48851372825652</v>
      </c>
      <c r="T7" s="24">
        <f t="shared" si="21"/>
        <v>1288.947983838008</v>
      </c>
      <c r="U7" s="24">
        <f t="shared" si="21"/>
        <v>1731.5339175707929</v>
      </c>
      <c r="V7" s="24">
        <f t="shared" si="21"/>
        <v>2326.0905368504505</v>
      </c>
      <c r="W7" s="24">
        <f>0.36*W4*W3</f>
        <v>3124.8</v>
      </c>
      <c r="X7" s="24"/>
      <c r="Y7" s="24"/>
      <c r="Z7" s="24"/>
      <c r="AA7" s="24"/>
      <c r="AB7" s="24"/>
      <c r="AC7" s="24"/>
      <c r="AD7" s="112"/>
      <c r="AE7" s="133">
        <f t="shared" ref="AE7:AH7" si="22">0.36*AE4*AE3</f>
        <v>959.48851372825652</v>
      </c>
      <c r="AF7" s="24">
        <f t="shared" si="22"/>
        <v>1288.947983838008</v>
      </c>
      <c r="AG7" s="24">
        <f t="shared" si="22"/>
        <v>1731.5339175707929</v>
      </c>
      <c r="AH7" s="24">
        <f t="shared" si="22"/>
        <v>2326.0905368504505</v>
      </c>
      <c r="AI7" s="24">
        <f>0.36*AI4*AI3</f>
        <v>3124.8</v>
      </c>
      <c r="AJ7" s="24"/>
      <c r="AK7" s="24"/>
      <c r="AL7" s="24"/>
      <c r="AM7" s="24"/>
      <c r="AN7" s="24"/>
      <c r="AO7" s="24"/>
    </row>
    <row r="8" spans="2:41">
      <c r="B8" s="149" t="s">
        <v>79</v>
      </c>
      <c r="C8" s="41"/>
      <c r="D8" s="41"/>
      <c r="E8" s="29"/>
      <c r="F8" s="84">
        <v>1</v>
      </c>
      <c r="G8" s="30">
        <f t="shared" ref="G8:K8" si="23">G7/F7-1</f>
        <v>0.19936064216032068</v>
      </c>
      <c r="H8" s="30">
        <f t="shared" si="23"/>
        <v>0.34336989489283254</v>
      </c>
      <c r="I8" s="30">
        <f t="shared" si="23"/>
        <v>0.34336989489283232</v>
      </c>
      <c r="J8" s="30">
        <f t="shared" si="23"/>
        <v>0.34336989489283232</v>
      </c>
      <c r="K8" s="30">
        <f t="shared" si="23"/>
        <v>0.34336989489283165</v>
      </c>
      <c r="L8" s="30">
        <f>K8-(($K$8-$P$8)/5)</f>
        <v>0.2770959159142653</v>
      </c>
      <c r="M8" s="30">
        <f>L8-(($K$8-$Q$8)/5)</f>
        <v>0.21082193693569898</v>
      </c>
      <c r="N8" s="30">
        <f>M8-(($K$8-$Q$8)/5)</f>
        <v>0.14454795795713266</v>
      </c>
      <c r="O8" s="30">
        <f>N8-(($K$8-$Q$8)/5)</f>
        <v>7.8273978978566333E-2</v>
      </c>
      <c r="P8" s="71">
        <v>1.2000000000000011E-2</v>
      </c>
      <c r="Q8" s="166">
        <v>1.2E-2</v>
      </c>
      <c r="R8" s="114"/>
      <c r="S8" s="30">
        <f>S7/K7-1</f>
        <v>-0.69294402402449551</v>
      </c>
      <c r="T8" s="30">
        <f t="shared" ref="T8" si="24">T7/S7-1</f>
        <v>0.34336989489283254</v>
      </c>
      <c r="U8" s="30">
        <f t="shared" ref="U8" si="25">U7/T7-1</f>
        <v>0.34336989489283232</v>
      </c>
      <c r="V8" s="30">
        <f t="shared" ref="V8" si="26">V7/U7-1</f>
        <v>0.34336989489283232</v>
      </c>
      <c r="W8" s="30">
        <f t="shared" ref="W8" si="27">W7/V7-1</f>
        <v>0.34336989489283165</v>
      </c>
      <c r="X8" s="30">
        <f>W8-(($K$8-$P$8)/5)</f>
        <v>0.2770959159142653</v>
      </c>
      <c r="Y8" s="30">
        <f>X8-(($K$8-$Q$8)/5)</f>
        <v>0.21082193693569898</v>
      </c>
      <c r="Z8" s="30">
        <f>Y8-(($K$8-$Q$8)/5)</f>
        <v>0.14454795795713266</v>
      </c>
      <c r="AA8" s="30">
        <f>Z8-(($K$8-$Q$8)/5)</f>
        <v>7.8273978978566333E-2</v>
      </c>
      <c r="AB8" s="71">
        <v>1.2000000000000011E-2</v>
      </c>
      <c r="AC8" s="108">
        <v>1.2E-2</v>
      </c>
      <c r="AD8" s="114"/>
      <c r="AE8" s="135">
        <f>AE7/F7-1</f>
        <v>0.19936064216032068</v>
      </c>
      <c r="AF8" s="30">
        <f t="shared" ref="AF8" si="28">AF7/AE7-1</f>
        <v>0.34336989489283254</v>
      </c>
      <c r="AG8" s="30">
        <f t="shared" ref="AG8" si="29">AG7/AF7-1</f>
        <v>0.34336989489283232</v>
      </c>
      <c r="AH8" s="30">
        <f t="shared" ref="AH8" si="30">AH7/AG7-1</f>
        <v>0.34336989489283232</v>
      </c>
      <c r="AI8" s="30">
        <f t="shared" ref="AI8" si="31">AI7/AH7-1</f>
        <v>0.34336989489283165</v>
      </c>
      <c r="AJ8" s="30">
        <f>AI8-(($K$8-$P$8)/5)</f>
        <v>0.2770959159142653</v>
      </c>
      <c r="AK8" s="30">
        <f>AJ8-(($K$8-$Q$8)/5)</f>
        <v>0.21082193693569898</v>
      </c>
      <c r="AL8" s="30">
        <f>AK8-(($K$8-$Q$8)/5)</f>
        <v>0.14454795795713266</v>
      </c>
      <c r="AM8" s="30">
        <f>AL8-(($K$8-$Q$8)/5)</f>
        <v>7.8273978978566333E-2</v>
      </c>
      <c r="AN8" s="71">
        <v>1.2000000000000011E-2</v>
      </c>
      <c r="AO8" s="108">
        <v>1.2E-2</v>
      </c>
    </row>
    <row r="9" spans="2:41">
      <c r="B9" s="150" t="s">
        <v>67</v>
      </c>
      <c r="C9" s="29"/>
      <c r="D9" s="29"/>
      <c r="E9" s="30">
        <v>0.16263407258064516</v>
      </c>
      <c r="F9" s="84">
        <v>0.17933390816683492</v>
      </c>
      <c r="G9" s="31">
        <f>G24/G5</f>
        <v>0.16871813063102548</v>
      </c>
      <c r="H9" s="31">
        <v>0.16</v>
      </c>
      <c r="I9" s="31">
        <v>0.17</v>
      </c>
      <c r="J9" s="31">
        <v>0.18</v>
      </c>
      <c r="K9" s="31">
        <f>'Bull-Bear'!E7</f>
        <v>0.4</v>
      </c>
      <c r="L9" s="31"/>
      <c r="M9" s="31"/>
      <c r="N9" s="31"/>
      <c r="O9" s="31"/>
      <c r="P9" s="31"/>
      <c r="Q9" s="167"/>
      <c r="R9" s="115"/>
      <c r="S9" s="31">
        <f>S24/S5</f>
        <v>0.17342272984621726</v>
      </c>
      <c r="T9" s="31">
        <v>0.16</v>
      </c>
      <c r="U9" s="31">
        <v>0.17</v>
      </c>
      <c r="V9" s="31">
        <v>0.18</v>
      </c>
      <c r="W9" s="31">
        <v>0.19</v>
      </c>
      <c r="X9" s="31"/>
      <c r="Y9" s="31"/>
      <c r="Z9" s="31"/>
      <c r="AA9" s="31"/>
      <c r="AB9" s="31"/>
      <c r="AC9" s="31"/>
      <c r="AD9" s="115"/>
      <c r="AE9" s="136">
        <f>AE24/AE5</f>
        <v>0.16231225432298191</v>
      </c>
      <c r="AF9" s="31">
        <v>0.16</v>
      </c>
      <c r="AG9" s="31">
        <v>0.17</v>
      </c>
      <c r="AH9" s="31">
        <v>0.18</v>
      </c>
      <c r="AI9" s="31">
        <v>0.19</v>
      </c>
      <c r="AJ9" s="31"/>
      <c r="AK9" s="31"/>
      <c r="AL9" s="31"/>
      <c r="AM9" s="31"/>
      <c r="AN9" s="31"/>
      <c r="AO9" s="31"/>
    </row>
    <row r="10" spans="2:41">
      <c r="B10" s="150" t="s">
        <v>66</v>
      </c>
      <c r="C10" s="29"/>
      <c r="D10" s="29"/>
      <c r="E10" s="30">
        <v>0.40333249999999998</v>
      </c>
      <c r="F10" s="84">
        <v>0.4002732830283755</v>
      </c>
      <c r="G10" s="30">
        <f>F10*(1+(($K$10/$F$10)^0.2-1))</f>
        <v>0.40021861149005811</v>
      </c>
      <c r="H10" s="30">
        <f>G10*(1+(($K$10/$F$10)^0.2-1))</f>
        <v>0.40016394741908173</v>
      </c>
      <c r="I10" s="30">
        <f>H10*(1+(($K$10/$F$10)^0.2-1))</f>
        <v>0.40010929081442642</v>
      </c>
      <c r="J10" s="30">
        <f>I10*(1+(($K$10/$F$10)^0.2-1))</f>
        <v>0.40005464167507238</v>
      </c>
      <c r="K10" s="106">
        <f>'Bull-Bear'!E7</f>
        <v>0.4</v>
      </c>
      <c r="L10" s="106"/>
      <c r="M10" s="106"/>
      <c r="N10" s="106"/>
      <c r="O10" s="106"/>
      <c r="P10" s="106"/>
      <c r="Q10" s="168"/>
      <c r="R10" s="116"/>
      <c r="S10" s="30">
        <f>F10*(1+(($W$10/$K$10)^0.2-1))</f>
        <v>0.40981429928831836</v>
      </c>
      <c r="T10" s="30">
        <f>S10*(1+(($W$10/$F$10)^0.2-1))</f>
        <v>0.41952542871953902</v>
      </c>
      <c r="U10" s="30">
        <f>T10*(1+(($W$10/$F$10)^0.2-1))</f>
        <v>0.4294666770973013</v>
      </c>
      <c r="V10" s="30">
        <f>U10*(1+(($W$10/$F$10)^0.2-1))</f>
        <v>0.4396434974155059</v>
      </c>
      <c r="W10" s="106">
        <f>'Bull-Bear'!D7</f>
        <v>0.45</v>
      </c>
      <c r="X10" s="106"/>
      <c r="Y10" s="106"/>
      <c r="Z10" s="106"/>
      <c r="AA10" s="106"/>
      <c r="AB10" s="106"/>
      <c r="AC10" s="106"/>
      <c r="AD10" s="116"/>
      <c r="AE10" s="135">
        <f>F10*(1+(($AI$10/$F$10)^0.2-1))</f>
        <v>0.38967172270701239</v>
      </c>
      <c r="AF10" s="30">
        <f>AE10*(1+(($AI$10/$F$10)^0.2-1))</f>
        <v>0.37935095325032347</v>
      </c>
      <c r="AG10" s="30">
        <f>AF10*(1+(($AI$10/$F$10)^0.2-1))</f>
        <v>0.3693035376860806</v>
      </c>
      <c r="AH10" s="30">
        <f>AG10*(1+(($AI$10/$F$10)^0.2-1))</f>
        <v>0.3595222360162556</v>
      </c>
      <c r="AI10" s="106">
        <f>'Bull-Bear'!F7</f>
        <v>0.35</v>
      </c>
      <c r="AJ10" s="106"/>
      <c r="AK10" s="106"/>
      <c r="AL10" s="106"/>
      <c r="AM10" s="106"/>
      <c r="AN10" s="106"/>
      <c r="AO10" s="106"/>
    </row>
    <row r="11" spans="2:41">
      <c r="B11" s="150" t="s">
        <v>80</v>
      </c>
      <c r="C11" s="29" t="s">
        <v>176</v>
      </c>
      <c r="D11" s="29"/>
      <c r="E11" s="30"/>
      <c r="F11" s="199">
        <f>F20/F6</f>
        <v>3.0050546773902072E-2</v>
      </c>
      <c r="G11" s="30">
        <f>F11*(1+(($K$11/$F$11)^0.2-1))</f>
        <v>3.5587830283248974E-2</v>
      </c>
      <c r="H11" s="30">
        <f>G11*(1+(($K$11/$F$11)^0.2-1))</f>
        <v>4.2145444933109885E-2</v>
      </c>
      <c r="I11" s="30">
        <f>H11*(1+(($K$11/$F$11)^0.2-1))</f>
        <v>4.9911402703464759E-2</v>
      </c>
      <c r="J11" s="30">
        <f>I11*(1+(($K$11/$F$11)^0.2-1))</f>
        <v>5.9108359723837156E-2</v>
      </c>
      <c r="K11" s="106">
        <f>'Bull-Bear'!E8</f>
        <v>7.0000000000000007E-2</v>
      </c>
      <c r="L11" s="106"/>
      <c r="M11" s="106"/>
      <c r="N11" s="106"/>
      <c r="O11" s="106"/>
      <c r="P11" s="106"/>
      <c r="Q11" s="168"/>
      <c r="R11" s="116"/>
      <c r="S11" s="30">
        <f>F11*(1+(($W$11/$F$11)^0.2-1))</f>
        <v>3.8219227329923937E-2</v>
      </c>
      <c r="T11" s="30">
        <f>G11*(1+(($W$11/$F$11)^0.2-1))</f>
        <v>4.5261718064826727E-2</v>
      </c>
      <c r="U11" s="30">
        <f>H11*(1+(($W$11/$F$11)^0.2-1))</f>
        <v>5.3601897926802984E-2</v>
      </c>
      <c r="V11" s="30">
        <f>I11*(1+(($W$11/$F$11)^0.2-1))</f>
        <v>6.3478886445279825E-2</v>
      </c>
      <c r="W11" s="106">
        <f>'Bull-Bear'!D8</f>
        <v>0.1</v>
      </c>
      <c r="X11" s="106"/>
      <c r="Y11" s="106"/>
      <c r="Z11" s="106"/>
      <c r="AA11" s="106"/>
      <c r="AB11" s="106"/>
      <c r="AC11" s="106"/>
      <c r="AD11" s="116"/>
      <c r="AE11" s="135">
        <f>F11*(1+(($AI$11/$F$11)^0.2-1))</f>
        <v>3.1819540297949506E-2</v>
      </c>
      <c r="AF11" s="30">
        <f>AE11*(1+(($AI$11/$F$11)^0.2-1))</f>
        <v>3.3692669633956257E-2</v>
      </c>
      <c r="AG11" s="30">
        <f>AF11*(1+(($AI$11/$F$11)^0.2-1))</f>
        <v>3.5676064972443099E-2</v>
      </c>
      <c r="AH11" s="30">
        <f>AG11*(1+(($AI$11/$F$11)^0.2-1))</f>
        <v>3.7776217371485531E-2</v>
      </c>
      <c r="AI11" s="106">
        <f>'Bull-Bear'!F8</f>
        <v>0.04</v>
      </c>
      <c r="AJ11" s="106"/>
      <c r="AK11" s="106"/>
      <c r="AL11" s="106"/>
      <c r="AM11" s="106"/>
      <c r="AN11" s="106"/>
      <c r="AO11" s="106"/>
    </row>
    <row r="12" spans="2:41" ht="15" thickBot="1">
      <c r="B12" s="151" t="s">
        <v>33</v>
      </c>
      <c r="C12" s="27"/>
      <c r="D12" s="27"/>
      <c r="E12" s="27">
        <v>200</v>
      </c>
      <c r="F12" s="85">
        <v>360.83333333333331</v>
      </c>
      <c r="G12" s="28">
        <f>G14+G15</f>
        <v>459.1236739418473</v>
      </c>
      <c r="H12" s="28">
        <f t="shared" ref="H12:K12" si="32">H14+H15</f>
        <v>625.21259192440698</v>
      </c>
      <c r="I12" s="28">
        <f t="shared" si="32"/>
        <v>852.45527215778998</v>
      </c>
      <c r="J12" s="28">
        <f t="shared" si="32"/>
        <v>1163.8635389907072</v>
      </c>
      <c r="K12" s="28">
        <f t="shared" si="32"/>
        <v>1591.3333333333335</v>
      </c>
      <c r="L12" s="28"/>
      <c r="M12" s="28"/>
      <c r="N12" s="28"/>
      <c r="O12" s="28"/>
      <c r="P12" s="28"/>
      <c r="Q12" s="169"/>
      <c r="R12" s="112"/>
      <c r="S12" s="28">
        <f>S14+S15</f>
        <v>454.94563653142978</v>
      </c>
      <c r="T12" s="28">
        <f t="shared" ref="T12:W12" si="33">T14+T15</f>
        <v>630.72933813788381</v>
      </c>
      <c r="U12" s="28">
        <f t="shared" si="33"/>
        <v>874.94673808335574</v>
      </c>
      <c r="V12" s="28">
        <f t="shared" si="33"/>
        <v>1214.4826189624632</v>
      </c>
      <c r="W12" s="28">
        <f t="shared" si="33"/>
        <v>1878.0833333333335</v>
      </c>
      <c r="X12" s="28"/>
      <c r="Y12" s="28"/>
      <c r="Z12" s="28"/>
      <c r="AA12" s="28"/>
      <c r="AB12" s="28"/>
      <c r="AC12" s="28"/>
      <c r="AD12" s="112"/>
      <c r="AE12" s="137">
        <f>AE14+AE15</f>
        <v>442.32254295402822</v>
      </c>
      <c r="AF12" s="28">
        <f t="shared" ref="AF12:AI12" si="34">AF14+AF15</f>
        <v>579.63235916333713</v>
      </c>
      <c r="AG12" s="28">
        <f t="shared" si="34"/>
        <v>759.58985225419019</v>
      </c>
      <c r="AH12" s="28">
        <f t="shared" si="34"/>
        <v>995.44858350809136</v>
      </c>
      <c r="AI12" s="28">
        <f t="shared" si="34"/>
        <v>1304.5833333333333</v>
      </c>
      <c r="AJ12" s="28"/>
      <c r="AK12" s="28"/>
      <c r="AL12" s="28"/>
      <c r="AM12" s="28"/>
      <c r="AN12" s="28"/>
      <c r="AO12" s="28"/>
    </row>
    <row r="13" spans="2:41" ht="15" thickTop="1">
      <c r="B13" s="150" t="s">
        <v>35</v>
      </c>
      <c r="C13" s="42"/>
      <c r="D13" s="30"/>
      <c r="E13" s="30"/>
      <c r="F13" s="84">
        <v>0.80416666666666647</v>
      </c>
      <c r="G13" s="30">
        <f>G12/F12-1</f>
        <v>0.27239817258710586</v>
      </c>
      <c r="H13" s="30">
        <f>H12/G12-1</f>
        <v>0.36175202327640488</v>
      </c>
      <c r="I13" s="30">
        <f>I12/H12-1</f>
        <v>0.36346465693201901</v>
      </c>
      <c r="J13" s="30">
        <v>0.2</v>
      </c>
      <c r="K13" s="30">
        <v>0.2</v>
      </c>
      <c r="L13" s="30"/>
      <c r="M13" s="30"/>
      <c r="N13" s="30"/>
      <c r="O13" s="30"/>
      <c r="P13" s="30"/>
      <c r="Q13" s="170"/>
      <c r="R13" s="117"/>
      <c r="S13" s="30">
        <f>S12/K12-1</f>
        <v>-0.71411040854748864</v>
      </c>
      <c r="T13" s="30">
        <f>T12/S12-1</f>
        <v>0.38638397094354815</v>
      </c>
      <c r="U13" s="30">
        <f>U12/T12-1</f>
        <v>0.38719841488027229</v>
      </c>
      <c r="V13" s="30">
        <v>0.2</v>
      </c>
      <c r="W13" s="30">
        <v>0.2</v>
      </c>
      <c r="X13" s="30"/>
      <c r="Y13" s="30"/>
      <c r="Z13" s="30"/>
      <c r="AA13" s="30"/>
      <c r="AB13" s="30"/>
      <c r="AC13" s="30"/>
      <c r="AD13" s="117"/>
      <c r="AE13" s="135">
        <f>AE12/W12-1</f>
        <v>-0.76448194012298276</v>
      </c>
      <c r="AF13" s="30">
        <f>AF12/AE12-1</f>
        <v>0.3104291616979149</v>
      </c>
      <c r="AG13" s="30">
        <f>AG12/AF12-1</f>
        <v>0.31046833436043908</v>
      </c>
      <c r="AH13" s="30">
        <v>0.2</v>
      </c>
      <c r="AI13" s="30">
        <v>0.2</v>
      </c>
      <c r="AJ13" s="30"/>
      <c r="AK13" s="30"/>
      <c r="AL13" s="30"/>
      <c r="AM13" s="30"/>
      <c r="AN13" s="30"/>
      <c r="AO13" s="30"/>
    </row>
    <row r="14" spans="2:41">
      <c r="B14" s="150" t="s">
        <v>171</v>
      </c>
      <c r="C14" s="42"/>
      <c r="D14" s="30"/>
      <c r="E14" s="30"/>
      <c r="F14" s="84"/>
      <c r="G14" s="100">
        <f>(G18*1000)/G16</f>
        <v>400.00537573435662</v>
      </c>
      <c r="H14" s="100">
        <f t="shared" ref="H14:K14" si="35">(H18*1000)/H16</f>
        <v>537.28178461508764</v>
      </c>
      <c r="I14" s="100">
        <f t="shared" si="35"/>
        <v>721.66959143789109</v>
      </c>
      <c r="J14" s="100">
        <f t="shared" si="35"/>
        <v>969.33678773279541</v>
      </c>
      <c r="K14" s="100">
        <f t="shared" si="35"/>
        <v>1302</v>
      </c>
      <c r="L14" s="100"/>
      <c r="M14" s="100"/>
      <c r="N14" s="100"/>
      <c r="O14" s="100"/>
      <c r="P14" s="100"/>
      <c r="Q14" s="171"/>
      <c r="R14" s="118"/>
      <c r="S14" s="100">
        <f>(S18*1000)/S16</f>
        <v>409.59595096743283</v>
      </c>
      <c r="T14" s="100">
        <f t="shared" ref="T14:W14" si="36">(T18*1000)/T16</f>
        <v>563.27755783002681</v>
      </c>
      <c r="U14" s="100">
        <f t="shared" si="36"/>
        <v>774.62095610458414</v>
      </c>
      <c r="V14" s="100">
        <f t="shared" si="36"/>
        <v>1065.2610197146289</v>
      </c>
      <c r="W14" s="100">
        <f t="shared" si="36"/>
        <v>1464.75</v>
      </c>
      <c r="X14" s="100"/>
      <c r="Y14" s="100"/>
      <c r="Z14" s="100"/>
      <c r="AA14" s="100"/>
      <c r="AB14" s="100"/>
      <c r="AC14" s="100"/>
      <c r="AD14" s="118"/>
      <c r="AE14" s="138">
        <f>(AE18*1000)/AE16</f>
        <v>389.46410631466733</v>
      </c>
      <c r="AF14" s="100">
        <f t="shared" ref="AF14:AI14" si="37">(AF18*1000)/AF16</f>
        <v>509.3371316239905</v>
      </c>
      <c r="AG14" s="100">
        <f t="shared" si="37"/>
        <v>666.1058347732627</v>
      </c>
      <c r="AH14" s="100">
        <f t="shared" si="37"/>
        <v>871.12632394242326</v>
      </c>
      <c r="AI14" s="100">
        <f t="shared" si="37"/>
        <v>1139.25</v>
      </c>
      <c r="AJ14" s="100"/>
      <c r="AK14" s="100"/>
      <c r="AL14" s="100"/>
      <c r="AM14" s="100"/>
      <c r="AN14" s="100"/>
      <c r="AO14" s="100"/>
    </row>
    <row r="15" spans="2:41">
      <c r="B15" s="150" t="s">
        <v>172</v>
      </c>
      <c r="C15" s="42"/>
      <c r="D15" s="30"/>
      <c r="E15" s="30"/>
      <c r="F15" s="84"/>
      <c r="G15" s="100">
        <f>(G20*1000)/G17</f>
        <v>59.118298207490675</v>
      </c>
      <c r="H15" s="100">
        <f t="shared" ref="H15:K15" si="38">(H20*1000)/H17</f>
        <v>87.930807309319306</v>
      </c>
      <c r="I15" s="100">
        <f t="shared" si="38"/>
        <v>130.78568071989886</v>
      </c>
      <c r="J15" s="100">
        <f t="shared" si="38"/>
        <v>194.52675125791168</v>
      </c>
      <c r="K15" s="100">
        <f t="shared" si="38"/>
        <v>289.33333333333343</v>
      </c>
      <c r="L15" s="100"/>
      <c r="M15" s="100"/>
      <c r="N15" s="100"/>
      <c r="O15" s="100"/>
      <c r="P15" s="100"/>
      <c r="Q15" s="171"/>
      <c r="R15" s="118"/>
      <c r="S15" s="100">
        <f>(S20*1000)/S17</f>
        <v>45.349685563996935</v>
      </c>
      <c r="T15" s="100">
        <f t="shared" ref="T15:W15" si="39">(T20*1000)/T17</f>
        <v>67.45178030785695</v>
      </c>
      <c r="U15" s="100">
        <f t="shared" si="39"/>
        <v>100.32578197877154</v>
      </c>
      <c r="V15" s="100">
        <f t="shared" si="39"/>
        <v>149.22159924783438</v>
      </c>
      <c r="W15" s="100">
        <f t="shared" si="39"/>
        <v>413.33333333333343</v>
      </c>
      <c r="X15" s="100"/>
      <c r="Y15" s="100"/>
      <c r="Z15" s="100"/>
      <c r="AA15" s="100"/>
      <c r="AB15" s="100"/>
      <c r="AC15" s="100"/>
      <c r="AD15" s="118"/>
      <c r="AE15" s="138">
        <f>(AE20*1000)/AE17</f>
        <v>52.858436639360903</v>
      </c>
      <c r="AF15" s="100">
        <f t="shared" ref="AF15:AI15" si="40">(AF20*1000)/AF17</f>
        <v>70.295227539346598</v>
      </c>
      <c r="AG15" s="100">
        <f t="shared" si="40"/>
        <v>93.484017480927477</v>
      </c>
      <c r="AH15" s="100">
        <f t="shared" si="40"/>
        <v>124.32225956566813</v>
      </c>
      <c r="AI15" s="100">
        <f t="shared" si="40"/>
        <v>165.33333333333334</v>
      </c>
      <c r="AJ15" s="100"/>
      <c r="AK15" s="100"/>
      <c r="AL15" s="100"/>
      <c r="AM15" s="100"/>
      <c r="AN15" s="100"/>
      <c r="AO15" s="100"/>
    </row>
    <row r="16" spans="2:41">
      <c r="B16" s="150" t="s">
        <v>174</v>
      </c>
      <c r="C16" s="42"/>
      <c r="D16" s="30"/>
      <c r="E16" s="30"/>
      <c r="F16" s="188">
        <v>960</v>
      </c>
      <c r="G16" s="189">
        <v>960</v>
      </c>
      <c r="H16" s="189">
        <v>960</v>
      </c>
      <c r="I16" s="189">
        <v>960</v>
      </c>
      <c r="J16" s="189">
        <v>960</v>
      </c>
      <c r="K16" s="189">
        <v>960</v>
      </c>
      <c r="L16" s="189"/>
      <c r="M16" s="189"/>
      <c r="N16" s="189"/>
      <c r="O16" s="189"/>
      <c r="P16" s="189"/>
      <c r="Q16" s="191"/>
      <c r="R16" s="192"/>
      <c r="S16" s="189">
        <v>960</v>
      </c>
      <c r="T16" s="189">
        <v>960</v>
      </c>
      <c r="U16" s="189">
        <v>960</v>
      </c>
      <c r="V16" s="189">
        <v>960</v>
      </c>
      <c r="W16" s="189">
        <v>960</v>
      </c>
      <c r="X16" s="189"/>
      <c r="Y16" s="189"/>
      <c r="Z16" s="189"/>
      <c r="AA16" s="189"/>
      <c r="AB16" s="189"/>
      <c r="AC16" s="189"/>
      <c r="AD16" s="192"/>
      <c r="AE16" s="190">
        <v>960</v>
      </c>
      <c r="AF16" s="189">
        <v>960</v>
      </c>
      <c r="AG16" s="189">
        <v>960</v>
      </c>
      <c r="AH16" s="189">
        <v>960</v>
      </c>
      <c r="AI16" s="189">
        <v>960</v>
      </c>
      <c r="AJ16" s="189"/>
      <c r="AK16" s="189"/>
      <c r="AL16" s="189"/>
      <c r="AM16" s="189"/>
      <c r="AN16" s="189"/>
      <c r="AO16" s="189"/>
    </row>
    <row r="17" spans="2:41">
      <c r="B17" s="150" t="s">
        <v>173</v>
      </c>
      <c r="C17" s="42"/>
      <c r="D17" s="30"/>
      <c r="E17" s="30"/>
      <c r="F17" s="86">
        <v>960</v>
      </c>
      <c r="G17" s="43">
        <f>F17*(1+(($K$17/$F$17)^0.2-1))</f>
        <v>1026.825960696066</v>
      </c>
      <c r="H17" s="43">
        <f>G17*(1+(($K$17/$F$17)^0.2-1))</f>
        <v>1098.3037016243738</v>
      </c>
      <c r="I17" s="43">
        <f>H17*(1+(($K$17/$F$17)^0.2-1))</f>
        <v>1174.7570349546804</v>
      </c>
      <c r="J17" s="43">
        <f>I17*(1+(($K$17/$F$17)^0.2-1))</f>
        <v>1256.5323135435435</v>
      </c>
      <c r="K17" s="107">
        <f>1.4*F17</f>
        <v>1344</v>
      </c>
      <c r="L17" s="107"/>
      <c r="M17" s="107"/>
      <c r="N17" s="107"/>
      <c r="O17" s="107"/>
      <c r="P17" s="107"/>
      <c r="Q17" s="172"/>
      <c r="R17" s="119"/>
      <c r="S17" s="43">
        <f>K17*(1+(($K$17/$F$17)^0.2-1))</f>
        <v>1437.5563449744925</v>
      </c>
      <c r="T17" s="43">
        <f>S17*(1+(($K$17/$F$17)^0.2-1))</f>
        <v>1537.6251822741235</v>
      </c>
      <c r="U17" s="43">
        <f>T17*(1+(($K$17/$F$17)^0.2-1))</f>
        <v>1644.6598489365526</v>
      </c>
      <c r="V17" s="43">
        <f>U17*(1+(($K$17/$F$17)^0.2-1))</f>
        <v>1759.145238960961</v>
      </c>
      <c r="W17" s="107">
        <f>K17</f>
        <v>1344</v>
      </c>
      <c r="X17" s="107"/>
      <c r="Y17" s="107"/>
      <c r="Z17" s="107"/>
      <c r="AA17" s="107"/>
      <c r="AB17" s="107"/>
      <c r="AC17" s="107"/>
      <c r="AD17" s="119"/>
      <c r="AE17" s="139">
        <f>F17*(1+(($AI$17/$F$17)^0.2-1))</f>
        <v>1026.825960696066</v>
      </c>
      <c r="AF17" s="43">
        <f>AE17*(1+(($AI$17/$F$17)^0.2-1))</f>
        <v>1098.3037016243738</v>
      </c>
      <c r="AG17" s="43">
        <f>AF17*(1+(($AI$17/$F$17)^0.2-1))</f>
        <v>1174.7570349546804</v>
      </c>
      <c r="AH17" s="43">
        <f>AG17*(1+(($AI$17/$F$17)^0.2-1))</f>
        <v>1256.5323135435435</v>
      </c>
      <c r="AI17" s="107">
        <f>W17</f>
        <v>1344</v>
      </c>
      <c r="AJ17" s="107"/>
      <c r="AK17" s="107"/>
      <c r="AL17" s="107"/>
      <c r="AM17" s="107"/>
      <c r="AN17" s="107"/>
      <c r="AO17" s="107"/>
    </row>
    <row r="18" spans="2:41">
      <c r="B18" s="156" t="s">
        <v>49</v>
      </c>
      <c r="C18" s="157"/>
      <c r="D18" s="157"/>
      <c r="E18" s="157">
        <v>161.333</v>
      </c>
      <c r="F18" s="158">
        <v>320.21862642270042</v>
      </c>
      <c r="G18" s="157">
        <f t="shared" ref="G18:J18" si="41">G10*G7</f>
        <v>384.00516070498236</v>
      </c>
      <c r="H18" s="157">
        <f t="shared" si="41"/>
        <v>515.79051323048407</v>
      </c>
      <c r="I18" s="157">
        <f t="shared" si="41"/>
        <v>692.80280778037547</v>
      </c>
      <c r="J18" s="157">
        <f t="shared" si="41"/>
        <v>930.56331622348364</v>
      </c>
      <c r="K18" s="157">
        <f>K10*K7</f>
        <v>1249.92</v>
      </c>
      <c r="L18" s="157"/>
      <c r="M18" s="157"/>
      <c r="N18" s="157"/>
      <c r="O18" s="157"/>
      <c r="P18" s="157"/>
      <c r="Q18" s="173"/>
      <c r="R18" s="112"/>
      <c r="S18" s="157">
        <f t="shared" ref="S18:V18" si="42">S10*S7</f>
        <v>393.21211292873551</v>
      </c>
      <c r="T18" s="157">
        <f t="shared" si="42"/>
        <v>540.74645551682579</v>
      </c>
      <c r="U18" s="157">
        <f t="shared" si="42"/>
        <v>743.63611786040087</v>
      </c>
      <c r="V18" s="157">
        <f t="shared" si="42"/>
        <v>1022.6505789260437</v>
      </c>
      <c r="W18" s="157">
        <f>W10*W7</f>
        <v>1406.16</v>
      </c>
      <c r="X18" s="157"/>
      <c r="Y18" s="157"/>
      <c r="Z18" s="157"/>
      <c r="AA18" s="157"/>
      <c r="AB18" s="157"/>
      <c r="AC18" s="157"/>
      <c r="AD18" s="112"/>
      <c r="AE18" s="159">
        <f t="shared" ref="AE18:AH18" si="43">AE10*AE7</f>
        <v>373.88554206208062</v>
      </c>
      <c r="AF18" s="157">
        <f t="shared" si="43"/>
        <v>488.96364635903086</v>
      </c>
      <c r="AG18" s="157">
        <f t="shared" si="43"/>
        <v>639.46160138233211</v>
      </c>
      <c r="AH18" s="157">
        <f t="shared" si="43"/>
        <v>836.28127098472635</v>
      </c>
      <c r="AI18" s="157">
        <f>AI10*AI7</f>
        <v>1093.68</v>
      </c>
      <c r="AJ18" s="157"/>
      <c r="AK18" s="157"/>
      <c r="AL18" s="157"/>
      <c r="AM18" s="157"/>
      <c r="AN18" s="157"/>
      <c r="AO18" s="157"/>
    </row>
    <row r="19" spans="2:41">
      <c r="B19" s="150" t="s">
        <v>41</v>
      </c>
      <c r="C19" s="30"/>
      <c r="D19" s="30"/>
      <c r="E19" s="30">
        <v>1</v>
      </c>
      <c r="F19" s="84">
        <v>0.9</v>
      </c>
      <c r="G19" s="30">
        <f>G18/G24</f>
        <v>0.85396097975688656</v>
      </c>
      <c r="H19" s="30">
        <f t="shared" ref="H19:K19" si="44">H18/H24</f>
        <v>0.83225384635298827</v>
      </c>
      <c r="I19" s="30">
        <f t="shared" si="44"/>
        <v>0.8079990709289312</v>
      </c>
      <c r="J19" s="30">
        <f t="shared" si="44"/>
        <v>0.78111119315870303</v>
      </c>
      <c r="K19" s="30">
        <f t="shared" si="44"/>
        <v>0.75156576200417535</v>
      </c>
      <c r="L19" s="30"/>
      <c r="M19" s="30"/>
      <c r="N19" s="30"/>
      <c r="O19" s="30"/>
      <c r="P19" s="30"/>
      <c r="Q19" s="170"/>
      <c r="R19" s="117"/>
      <c r="S19" s="30">
        <f>S18/S24</f>
        <v>0.85071402044368549</v>
      </c>
      <c r="T19" s="30">
        <f t="shared" ref="T19:W19" si="45">T18/T24</f>
        <v>0.83175388217538848</v>
      </c>
      <c r="U19" s="30">
        <f t="shared" si="45"/>
        <v>0.81088679618986115</v>
      </c>
      <c r="V19" s="30">
        <f t="shared" si="45"/>
        <v>0.78805602544743791</v>
      </c>
      <c r="W19" s="30">
        <f t="shared" si="45"/>
        <v>0.70434782608695656</v>
      </c>
      <c r="X19" s="30"/>
      <c r="Y19" s="30"/>
      <c r="Z19" s="30"/>
      <c r="AA19" s="30"/>
      <c r="AB19" s="30"/>
      <c r="AC19" s="30"/>
      <c r="AD19" s="117"/>
      <c r="AE19" s="135">
        <f>AE18/AE24</f>
        <v>0.86427128228642836</v>
      </c>
      <c r="AF19" s="30">
        <f t="shared" ref="AF19:AI19" si="46">AF18/AF24</f>
        <v>0.85472104238834001</v>
      </c>
      <c r="AG19" s="30">
        <f t="shared" si="46"/>
        <v>0.84458039410176766</v>
      </c>
      <c r="AH19" s="30">
        <f t="shared" si="46"/>
        <v>0.83383041224429388</v>
      </c>
      <c r="AI19" s="30">
        <f t="shared" si="46"/>
        <v>0.82245430809399478</v>
      </c>
      <c r="AJ19" s="30"/>
      <c r="AK19" s="30"/>
      <c r="AL19" s="30"/>
      <c r="AM19" s="30"/>
      <c r="AN19" s="30"/>
      <c r="AO19" s="30"/>
    </row>
    <row r="20" spans="2:41">
      <c r="B20" s="156" t="s">
        <v>52</v>
      </c>
      <c r="C20" s="157"/>
      <c r="D20" s="157"/>
      <c r="E20" s="157">
        <v>0</v>
      </c>
      <c r="F20" s="158">
        <v>35.579847380300052</v>
      </c>
      <c r="G20" s="157">
        <f t="shared" ref="G20:J20" si="47">G11*G6</f>
        <v>60.704203351623121</v>
      </c>
      <c r="H20" s="157">
        <f t="shared" si="47"/>
        <v>96.574731154644937</v>
      </c>
      <c r="I20" s="157">
        <f t="shared" si="47"/>
        <v>153.6413984970379</v>
      </c>
      <c r="J20" s="157">
        <f t="shared" si="47"/>
        <v>244.42914880421318</v>
      </c>
      <c r="K20" s="157">
        <f>K11*K6</f>
        <v>388.86400000000009</v>
      </c>
      <c r="L20" s="157"/>
      <c r="M20" s="157"/>
      <c r="N20" s="157"/>
      <c r="O20" s="157"/>
      <c r="P20" s="157"/>
      <c r="Q20" s="173"/>
      <c r="R20" s="112"/>
      <c r="S20" s="157">
        <f t="shared" ref="S20:V20" si="48">S11*S6</f>
        <v>65.19272822512194</v>
      </c>
      <c r="T20" s="157">
        <f t="shared" si="48"/>
        <v>103.71555599058269</v>
      </c>
      <c r="U20" s="157">
        <f t="shared" si="48"/>
        <v>165.00178543364791</v>
      </c>
      <c r="V20" s="157">
        <f t="shared" si="48"/>
        <v>262.50246586696841</v>
      </c>
      <c r="W20" s="157">
        <f>W11*W6</f>
        <v>555.5200000000001</v>
      </c>
      <c r="X20" s="157"/>
      <c r="Y20" s="157"/>
      <c r="Z20" s="157"/>
      <c r="AA20" s="157"/>
      <c r="AB20" s="157"/>
      <c r="AC20" s="157"/>
      <c r="AD20" s="112"/>
      <c r="AE20" s="159">
        <f t="shared" ref="AE20:AH20" si="49">AE11*AE6</f>
        <v>54.276414983103898</v>
      </c>
      <c r="AF20" s="157">
        <f t="shared" si="49"/>
        <v>77.205508612991991</v>
      </c>
      <c r="AG20" s="157">
        <f t="shared" si="49"/>
        <v>109.82100719154587</v>
      </c>
      <c r="AH20" s="157">
        <f t="shared" si="49"/>
        <v>156.21493643700992</v>
      </c>
      <c r="AI20" s="157">
        <f>AI11*AI6</f>
        <v>222.20800000000003</v>
      </c>
      <c r="AJ20" s="157"/>
      <c r="AK20" s="157"/>
      <c r="AL20" s="157"/>
      <c r="AM20" s="157"/>
      <c r="AN20" s="157"/>
      <c r="AO20" s="157"/>
    </row>
    <row r="21" spans="2:41">
      <c r="B21" s="150" t="s">
        <v>41</v>
      </c>
      <c r="C21" s="30"/>
      <c r="D21" s="30"/>
      <c r="E21" s="30">
        <v>0</v>
      </c>
      <c r="F21" s="84">
        <v>0.1</v>
      </c>
      <c r="G21" s="30">
        <f>G20/G24</f>
        <v>0.13499563618974239</v>
      </c>
      <c r="H21" s="30">
        <f t="shared" ref="H21:K21" si="50">H20/H24</f>
        <v>0.15582816938713859</v>
      </c>
      <c r="I21" s="30">
        <f t="shared" si="50"/>
        <v>0.17918822765681175</v>
      </c>
      <c r="J21" s="30">
        <f t="shared" si="50"/>
        <v>0.20517286759171191</v>
      </c>
      <c r="K21" s="30">
        <f t="shared" si="50"/>
        <v>0.23382045929018791</v>
      </c>
      <c r="L21" s="30"/>
      <c r="M21" s="30"/>
      <c r="N21" s="30"/>
      <c r="O21" s="30"/>
      <c r="P21" s="30"/>
      <c r="Q21" s="170"/>
      <c r="R21" s="117"/>
      <c r="S21" s="30">
        <f>S20/S24</f>
        <v>0.14104440353834541</v>
      </c>
      <c r="T21" s="30">
        <f t="shared" ref="T21:W21" si="51">T20/T24</f>
        <v>0.1595309880574183</v>
      </c>
      <c r="U21" s="30">
        <f t="shared" si="51"/>
        <v>0.17992370991993004</v>
      </c>
      <c r="V21" s="30">
        <f t="shared" si="51"/>
        <v>0.20228478248994869</v>
      </c>
      <c r="W21" s="30">
        <f t="shared" si="51"/>
        <v>0.27826086956521745</v>
      </c>
      <c r="X21" s="30"/>
      <c r="Y21" s="30"/>
      <c r="Z21" s="30"/>
      <c r="AA21" s="30"/>
      <c r="AB21" s="30"/>
      <c r="AC21" s="30"/>
      <c r="AD21" s="117"/>
      <c r="AE21" s="135">
        <f>AE20/AE24</f>
        <v>0.1254649926195022</v>
      </c>
      <c r="AF21" s="30">
        <f t="shared" ref="AF21:AI21" si="52">AF20/AF24</f>
        <v>0.1349572167403314</v>
      </c>
      <c r="AG21" s="30">
        <f t="shared" si="52"/>
        <v>0.1450480675211526</v>
      </c>
      <c r="AH21" s="30">
        <f t="shared" si="52"/>
        <v>0.15575712307249209</v>
      </c>
      <c r="AI21" s="30">
        <f t="shared" si="52"/>
        <v>0.16710182767624021</v>
      </c>
      <c r="AJ21" s="30"/>
      <c r="AK21" s="30"/>
      <c r="AL21" s="30"/>
      <c r="AM21" s="30"/>
      <c r="AN21" s="30"/>
      <c r="AO21" s="30"/>
    </row>
    <row r="22" spans="2:41">
      <c r="B22" s="156" t="s">
        <v>175</v>
      </c>
      <c r="C22" s="157"/>
      <c r="D22" s="157"/>
      <c r="E22" s="157">
        <v>0</v>
      </c>
      <c r="F22" s="158">
        <v>0</v>
      </c>
      <c r="G22" s="160">
        <f>(G15*84)/1000</f>
        <v>4.9659370494292174</v>
      </c>
      <c r="H22" s="160">
        <f t="shared" ref="H22:K22" si="53">(H15*84)/1000</f>
        <v>7.3861878139828212</v>
      </c>
      <c r="I22" s="160">
        <f t="shared" si="53"/>
        <v>10.985997180471504</v>
      </c>
      <c r="J22" s="160">
        <f t="shared" si="53"/>
        <v>16.340247105664581</v>
      </c>
      <c r="K22" s="160">
        <f t="shared" si="53"/>
        <v>24.304000000000006</v>
      </c>
      <c r="L22" s="160"/>
      <c r="M22" s="160"/>
      <c r="N22" s="160"/>
      <c r="O22" s="160"/>
      <c r="P22" s="160"/>
      <c r="Q22" s="174"/>
      <c r="R22" s="120"/>
      <c r="S22" s="160">
        <f>(S15*84)/1000</f>
        <v>3.8093735873757426</v>
      </c>
      <c r="T22" s="160">
        <f t="shared" ref="T22:W22" si="54">(T15*84)/1000</f>
        <v>5.6659495458599842</v>
      </c>
      <c r="U22" s="160">
        <f t="shared" si="54"/>
        <v>8.4273656862168096</v>
      </c>
      <c r="V22" s="160">
        <f t="shared" si="54"/>
        <v>12.534614336818088</v>
      </c>
      <c r="W22" s="160">
        <f t="shared" si="54"/>
        <v>34.720000000000006</v>
      </c>
      <c r="X22" s="160"/>
      <c r="Y22" s="160"/>
      <c r="Z22" s="160"/>
      <c r="AA22" s="160"/>
      <c r="AB22" s="160"/>
      <c r="AC22" s="160"/>
      <c r="AD22" s="120"/>
      <c r="AE22" s="161">
        <f>(AE15*84)/1000</f>
        <v>4.4401086777063155</v>
      </c>
      <c r="AF22" s="160">
        <f t="shared" ref="AF22:AI22" si="55">(AF15*84)/1000</f>
        <v>5.9047991133051143</v>
      </c>
      <c r="AG22" s="160">
        <f t="shared" si="55"/>
        <v>7.8526574683979078</v>
      </c>
      <c r="AH22" s="160">
        <f t="shared" si="55"/>
        <v>10.443069803516124</v>
      </c>
      <c r="AI22" s="160">
        <f t="shared" si="55"/>
        <v>13.888</v>
      </c>
      <c r="AJ22" s="160"/>
      <c r="AK22" s="160"/>
      <c r="AL22" s="160"/>
      <c r="AM22" s="160"/>
      <c r="AN22" s="160"/>
      <c r="AO22" s="160"/>
    </row>
    <row r="23" spans="2:41">
      <c r="B23" s="150" t="s">
        <v>59</v>
      </c>
      <c r="C23" s="30"/>
      <c r="D23" s="30"/>
      <c r="E23" s="30">
        <v>0</v>
      </c>
      <c r="F23" s="84">
        <v>0</v>
      </c>
      <c r="G23" s="30">
        <f>G22/G12</f>
        <v>1.081612064739272E-2</v>
      </c>
      <c r="H23" s="30">
        <f t="shared" ref="H23:K23" si="56">H22/H12</f>
        <v>1.1813882044902685E-2</v>
      </c>
      <c r="I23" s="30">
        <f t="shared" si="56"/>
        <v>1.28874763747581E-2</v>
      </c>
      <c r="J23" s="30">
        <f t="shared" si="56"/>
        <v>1.403965891038627E-2</v>
      </c>
      <c r="K23" s="30">
        <f t="shared" si="56"/>
        <v>1.5272727272727275E-2</v>
      </c>
      <c r="L23" s="30"/>
      <c r="M23" s="30"/>
      <c r="N23" s="30"/>
      <c r="O23" s="30"/>
      <c r="P23" s="30"/>
      <c r="Q23" s="170"/>
      <c r="R23" s="117"/>
      <c r="S23" s="30">
        <f>S22/S12</f>
        <v>8.3732500797654603E-3</v>
      </c>
      <c r="T23" s="30">
        <f t="shared" ref="T23" si="57">T22/T12</f>
        <v>8.9831710739628704E-3</v>
      </c>
      <c r="U23" s="30">
        <f t="shared" ref="U23" si="58">U22/U12</f>
        <v>9.6318613687018956E-3</v>
      </c>
      <c r="V23" s="30">
        <f t="shared" ref="V23" si="59">V22/V12</f>
        <v>1.0320949959355081E-2</v>
      </c>
      <c r="W23" s="30">
        <f t="shared" ref="W23" si="60">W22/W12</f>
        <v>1.8486932599724899E-2</v>
      </c>
      <c r="X23" s="30"/>
      <c r="Y23" s="30"/>
      <c r="Z23" s="30"/>
      <c r="AA23" s="30"/>
      <c r="AB23" s="30"/>
      <c r="AC23" s="30"/>
      <c r="AD23" s="117"/>
      <c r="AE23" s="135">
        <f>AE22/AE12</f>
        <v>1.0038169540383991E-2</v>
      </c>
      <c r="AF23" s="30">
        <f t="shared" ref="AF23" si="61">AF22/AF12</f>
        <v>1.0187145386134619E-2</v>
      </c>
      <c r="AG23" s="30">
        <f t="shared" ref="AG23" si="62">AG22/AG12</f>
        <v>1.0338023138531983E-2</v>
      </c>
      <c r="AH23" s="30">
        <f t="shared" ref="AH23" si="63">AH22/AH12</f>
        <v>1.0490817885051759E-2</v>
      </c>
      <c r="AI23" s="30">
        <f t="shared" ref="AI23" si="64">AI22/AI12</f>
        <v>1.0645544554455447E-2</v>
      </c>
      <c r="AJ23" s="30"/>
      <c r="AK23" s="30"/>
      <c r="AL23" s="30"/>
      <c r="AM23" s="30"/>
      <c r="AN23" s="30"/>
      <c r="AO23" s="30"/>
    </row>
    <row r="24" spans="2:41" ht="15" thickBot="1">
      <c r="B24" s="151" t="s">
        <v>46</v>
      </c>
      <c r="C24" s="85"/>
      <c r="D24" s="28"/>
      <c r="E24" s="28">
        <v>161.333</v>
      </c>
      <c r="F24" s="28">
        <v>355.79847380300049</v>
      </c>
      <c r="G24" s="28">
        <f>G22+G20+G18</f>
        <v>449.67530110603468</v>
      </c>
      <c r="H24" s="28">
        <f t="shared" ref="H24:K24" si="65">H22+H20+H18</f>
        <v>619.75143219911183</v>
      </c>
      <c r="I24" s="28">
        <f t="shared" si="65"/>
        <v>857.43020345788489</v>
      </c>
      <c r="J24" s="28">
        <f t="shared" si="65"/>
        <v>1191.3327121333614</v>
      </c>
      <c r="K24" s="28">
        <f t="shared" si="65"/>
        <v>1663.0880000000002</v>
      </c>
      <c r="L24" s="28">
        <f>K24*(1+L8)</f>
        <v>2123.9228926060241</v>
      </c>
      <c r="M24" s="28">
        <f t="shared" ref="M24:Q24" si="66">L24*(1+M8)</f>
        <v>2571.6924307272984</v>
      </c>
      <c r="N24" s="28">
        <f t="shared" si="66"/>
        <v>2943.4253200827443</v>
      </c>
      <c r="O24" s="28">
        <f t="shared" si="66"/>
        <v>3173.8189317118809</v>
      </c>
      <c r="P24" s="28">
        <f t="shared" si="66"/>
        <v>3211.9047588924236</v>
      </c>
      <c r="Q24" s="169">
        <f t="shared" si="66"/>
        <v>3250.4476159991327</v>
      </c>
      <c r="R24" s="112"/>
      <c r="S24" s="28">
        <f t="shared" ref="S24:W24" si="67">S22+S20+S18</f>
        <v>462.21421474123321</v>
      </c>
      <c r="T24" s="28">
        <f t="shared" si="67"/>
        <v>650.12796105326845</v>
      </c>
      <c r="U24" s="28">
        <f t="shared" si="67"/>
        <v>917.06526898026561</v>
      </c>
      <c r="V24" s="28">
        <f t="shared" si="67"/>
        <v>1297.6876591298303</v>
      </c>
      <c r="W24" s="28">
        <f t="shared" si="67"/>
        <v>1996.4</v>
      </c>
      <c r="X24" s="28">
        <f>W24*(1+X8)</f>
        <v>2549.5942865312395</v>
      </c>
      <c r="Y24" s="28">
        <f t="shared" ref="Y24:AC24" si="68">X24*(1+Y8)</f>
        <v>3087.1046924179468</v>
      </c>
      <c r="Z24" s="28">
        <f t="shared" si="68"/>
        <v>3533.3393717068434</v>
      </c>
      <c r="AA24" s="28">
        <f t="shared" si="68"/>
        <v>3809.9079034119654</v>
      </c>
      <c r="AB24" s="28">
        <f t="shared" si="68"/>
        <v>3855.6267982529089</v>
      </c>
      <c r="AC24" s="28">
        <f t="shared" si="68"/>
        <v>3901.8943198319439</v>
      </c>
      <c r="AD24" s="112"/>
      <c r="AE24" s="137">
        <f t="shared" ref="AE24:AI24" si="69">AE22+AE20+AE18</f>
        <v>432.60206572289081</v>
      </c>
      <c r="AF24" s="28">
        <f t="shared" si="69"/>
        <v>572.07395408532795</v>
      </c>
      <c r="AG24" s="28">
        <f t="shared" si="69"/>
        <v>757.13526604227593</v>
      </c>
      <c r="AH24" s="28">
        <f t="shared" si="69"/>
        <v>1002.9392772252525</v>
      </c>
      <c r="AI24" s="28">
        <f t="shared" si="69"/>
        <v>1329.7760000000001</v>
      </c>
      <c r="AJ24" s="28">
        <f>AI24*(1+AJ8)</f>
        <v>1698.2514986808083</v>
      </c>
      <c r="AK24" s="28">
        <f t="shared" ref="AK24:AO24" si="70">AJ24*(1+AK8)</f>
        <v>2056.28016903665</v>
      </c>
      <c r="AL24" s="28">
        <f t="shared" si="70"/>
        <v>2353.5112684586456</v>
      </c>
      <c r="AM24" s="46">
        <f t="shared" si="70"/>
        <v>2537.7299600117963</v>
      </c>
      <c r="AN24" s="46">
        <f t="shared" si="70"/>
        <v>2568.1827195319379</v>
      </c>
      <c r="AO24" s="46">
        <f t="shared" si="70"/>
        <v>2599.0009121663211</v>
      </c>
    </row>
    <row r="25" spans="2:41" ht="15" thickTop="1">
      <c r="B25" s="150" t="s">
        <v>103</v>
      </c>
      <c r="C25" s="24"/>
      <c r="D25" s="24"/>
      <c r="E25" s="15">
        <v>1.7925888888888888</v>
      </c>
      <c r="F25" s="87">
        <v>3.9533163755888943</v>
      </c>
      <c r="G25" s="15">
        <f t="shared" ref="G25:J25" si="71">G24/90</f>
        <v>4.9963922345114966</v>
      </c>
      <c r="H25" s="15">
        <f t="shared" si="71"/>
        <v>6.8861270244345762</v>
      </c>
      <c r="I25" s="15">
        <f t="shared" si="71"/>
        <v>9.5270022606431652</v>
      </c>
      <c r="J25" s="15">
        <f t="shared" si="71"/>
        <v>13.237030134815127</v>
      </c>
      <c r="K25" s="24">
        <f>K24/110</f>
        <v>15.118981818181821</v>
      </c>
      <c r="L25" s="24">
        <f t="shared" ref="L25:Q25" si="72">L24/110</f>
        <v>19.308389932782038</v>
      </c>
      <c r="M25" s="24">
        <f t="shared" si="72"/>
        <v>23.379022097520895</v>
      </c>
      <c r="N25" s="24">
        <f t="shared" si="72"/>
        <v>26.758412000752219</v>
      </c>
      <c r="O25" s="24">
        <f t="shared" si="72"/>
        <v>28.852899379198917</v>
      </c>
      <c r="P25" s="24">
        <f t="shared" si="72"/>
        <v>29.199134171749307</v>
      </c>
      <c r="Q25" s="24">
        <f t="shared" si="72"/>
        <v>29.549523781810297</v>
      </c>
      <c r="R25" s="120"/>
      <c r="S25" s="15">
        <f t="shared" ref="S25:V25" si="73">S24/90</f>
        <v>5.1357134971248133</v>
      </c>
      <c r="T25" s="15">
        <f t="shared" si="73"/>
        <v>7.2236440117029828</v>
      </c>
      <c r="U25" s="15">
        <f t="shared" si="73"/>
        <v>10.189614099780728</v>
      </c>
      <c r="V25" s="15">
        <f t="shared" si="73"/>
        <v>14.418751768109226</v>
      </c>
      <c r="W25" s="15">
        <f>W24/110</f>
        <v>18.149090909090908</v>
      </c>
      <c r="X25" s="15">
        <f t="shared" ref="X25:AC25" si="74">X24/110</f>
        <v>23.178129877556724</v>
      </c>
      <c r="Y25" s="15">
        <f t="shared" si="74"/>
        <v>28.064588112890426</v>
      </c>
      <c r="Z25" s="15">
        <f t="shared" si="74"/>
        <v>32.121267015516757</v>
      </c>
      <c r="AA25" s="15">
        <f t="shared" si="74"/>
        <v>34.635526394654228</v>
      </c>
      <c r="AB25" s="15">
        <f t="shared" si="74"/>
        <v>35.051152711390081</v>
      </c>
      <c r="AC25" s="15">
        <f t="shared" si="74"/>
        <v>35.471766543926762</v>
      </c>
      <c r="AD25" s="120"/>
      <c r="AE25" s="140">
        <f t="shared" ref="AE25:AH25" si="75">AE24/90</f>
        <v>4.8066896191432313</v>
      </c>
      <c r="AF25" s="15">
        <f t="shared" si="75"/>
        <v>6.3563772676147554</v>
      </c>
      <c r="AG25" s="15">
        <f t="shared" si="75"/>
        <v>8.4126140671363991</v>
      </c>
      <c r="AH25" s="15">
        <f t="shared" si="75"/>
        <v>11.14376974694725</v>
      </c>
      <c r="AI25" s="15">
        <f>AI24/110</f>
        <v>12.088872727272728</v>
      </c>
      <c r="AJ25" s="15">
        <f t="shared" ref="AJ25:AO25" si="76">AJ24/110</f>
        <v>15.438649988007347</v>
      </c>
      <c r="AK25" s="15">
        <f t="shared" si="76"/>
        <v>18.693456082151364</v>
      </c>
      <c r="AL25" s="15">
        <f t="shared" si="76"/>
        <v>21.395556985987689</v>
      </c>
      <c r="AM25" s="15">
        <f t="shared" si="76"/>
        <v>23.070272363743602</v>
      </c>
      <c r="AN25" s="15">
        <f t="shared" si="76"/>
        <v>23.347115632108526</v>
      </c>
      <c r="AO25" s="15">
        <f t="shared" si="76"/>
        <v>23.627281019693829</v>
      </c>
    </row>
    <row r="26" spans="2:41">
      <c r="B26" s="147" t="s">
        <v>47</v>
      </c>
      <c r="C26" s="24"/>
      <c r="D26" s="24"/>
      <c r="E26" s="24"/>
      <c r="F26" s="83">
        <v>0.15</v>
      </c>
      <c r="G26" s="30">
        <f>F26*(1+(($K$26/$F$26)^0.2-1))</f>
        <v>0.14345287496850553</v>
      </c>
      <c r="H26" s="30">
        <f>G26*(1+(($K$26/$F$26)^0.2-1))</f>
        <v>0.13719151557819789</v>
      </c>
      <c r="I26" s="30">
        <f>H26*(1+(($K$26/$F$26)^0.2-1))</f>
        <v>0.13120344887319335</v>
      </c>
      <c r="J26" s="30">
        <f>I26*(1+(($K$26/$F$26)^0.2-1))</f>
        <v>0.12547674631095276</v>
      </c>
      <c r="K26" s="106">
        <v>0.12</v>
      </c>
      <c r="L26" s="106"/>
      <c r="M26" s="106"/>
      <c r="N26" s="106"/>
      <c r="O26" s="106"/>
      <c r="P26" s="106"/>
      <c r="Q26" s="168"/>
      <c r="R26" s="116"/>
      <c r="S26" s="30">
        <f>F26*(1+(($W$26/$F$26)^0.2-1))</f>
        <v>0.14345287496850553</v>
      </c>
      <c r="T26" s="30">
        <f>G26*(1+(($W$26/$F$26)^0.2-1))</f>
        <v>0.13719151557819789</v>
      </c>
      <c r="U26" s="30">
        <f>H26*(1+(($W$26/$F$26)^0.2-1))</f>
        <v>0.13120344887319335</v>
      </c>
      <c r="V26" s="30">
        <f>I26*(1+(($W$26/$F$26)^0.2-1))</f>
        <v>0.12547674631095276</v>
      </c>
      <c r="W26" s="106">
        <v>0.12</v>
      </c>
      <c r="X26" s="106"/>
      <c r="Y26" s="106"/>
      <c r="Z26" s="106"/>
      <c r="AA26" s="106"/>
      <c r="AB26" s="106"/>
      <c r="AC26" s="106"/>
      <c r="AD26" s="116"/>
      <c r="AE26" s="135">
        <f>K26*(1+(($AI$26/$F$26)^0.2-1))</f>
        <v>0.11476229997480443</v>
      </c>
      <c r="AF26" s="135">
        <f>AE26</f>
        <v>0.11476229997480443</v>
      </c>
      <c r="AG26" s="30">
        <f>AF26</f>
        <v>0.11476229997480443</v>
      </c>
      <c r="AH26" s="30">
        <f>AG26</f>
        <v>0.11476229997480443</v>
      </c>
      <c r="AI26" s="106">
        <v>0.12</v>
      </c>
      <c r="AJ26" s="106"/>
      <c r="AK26" s="106"/>
      <c r="AL26" s="106"/>
      <c r="AM26" s="106"/>
      <c r="AN26" s="106"/>
      <c r="AO26" s="106"/>
    </row>
    <row r="27" spans="2:41" ht="15" thickBot="1">
      <c r="B27" s="151" t="s">
        <v>34</v>
      </c>
      <c r="C27" s="85">
        <v>19.795999999999999</v>
      </c>
      <c r="D27" s="28">
        <v>70.5</v>
      </c>
      <c r="E27" s="28">
        <v>161.333</v>
      </c>
      <c r="F27" s="28">
        <v>288.28099999999995</v>
      </c>
      <c r="G27" s="28">
        <f t="shared" ref="G27:AI27" si="77">(1-G26)*G24</f>
        <v>385.16808636004561</v>
      </c>
      <c r="H27" s="28">
        <f t="shared" si="77"/>
        <v>534.72679393395697</v>
      </c>
      <c r="I27" s="28">
        <f t="shared" si="77"/>
        <v>744.93240359616652</v>
      </c>
      <c r="J27" s="28">
        <f t="shared" si="77"/>
        <v>1041.8481596410643</v>
      </c>
      <c r="K27" s="28">
        <f t="shared" si="77"/>
        <v>1463.5174400000001</v>
      </c>
      <c r="L27" s="28">
        <f>K27*(1+L8)</f>
        <v>1869.0521454933012</v>
      </c>
      <c r="M27" s="28">
        <f t="shared" ref="M27:Q27" si="78">L27*(1+M8)</f>
        <v>2263.0893390400229</v>
      </c>
      <c r="N27" s="28">
        <f t="shared" si="78"/>
        <v>2590.2142816728156</v>
      </c>
      <c r="O27" s="28">
        <f t="shared" si="78"/>
        <v>2792.9606599064555</v>
      </c>
      <c r="P27" s="28">
        <f t="shared" si="78"/>
        <v>2826.476187825333</v>
      </c>
      <c r="Q27" s="169">
        <f t="shared" si="78"/>
        <v>2860.3939020792373</v>
      </c>
      <c r="R27" s="112"/>
      <c r="S27" s="28">
        <f t="shared" si="77"/>
        <v>395.90825678529308</v>
      </c>
      <c r="T27" s="28">
        <f t="shared" si="77"/>
        <v>560.93592075660695</v>
      </c>
      <c r="U27" s="28">
        <f t="shared" si="77"/>
        <v>796.74314284823208</v>
      </c>
      <c r="V27" s="28">
        <f t="shared" si="77"/>
        <v>1134.8580339343425</v>
      </c>
      <c r="W27" s="28">
        <f t="shared" si="77"/>
        <v>1756.8320000000001</v>
      </c>
      <c r="X27" s="28">
        <f>W27*(1+X8)</f>
        <v>2243.642972147491</v>
      </c>
      <c r="Y27" s="28">
        <f t="shared" ref="Y27:AC27" si="79">X27*(1+Y8)</f>
        <v>2716.6521293277938</v>
      </c>
      <c r="Z27" s="28">
        <f t="shared" si="79"/>
        <v>3109.3386471020226</v>
      </c>
      <c r="AA27" s="28">
        <f t="shared" si="79"/>
        <v>3352.71895500253</v>
      </c>
      <c r="AB27" s="28">
        <f t="shared" si="79"/>
        <v>3392.9515824625605</v>
      </c>
      <c r="AC27" s="28">
        <f t="shared" si="79"/>
        <v>3433.6670014521114</v>
      </c>
      <c r="AD27" s="112"/>
      <c r="AE27" s="137">
        <f t="shared" si="77"/>
        <v>382.95565768668035</v>
      </c>
      <c r="AF27" s="28">
        <f t="shared" si="77"/>
        <v>506.42143135881503</v>
      </c>
      <c r="AG27" s="28">
        <f t="shared" si="77"/>
        <v>670.24468151922883</v>
      </c>
      <c r="AH27" s="28">
        <f t="shared" si="77"/>
        <v>887.83965903581441</v>
      </c>
      <c r="AI27" s="28">
        <f t="shared" si="77"/>
        <v>1170.2028800000001</v>
      </c>
      <c r="AJ27" s="28">
        <f>AI27*(1+AJ8)</f>
        <v>1494.4613188391113</v>
      </c>
      <c r="AK27" s="28">
        <f t="shared" ref="AK27:AO27" si="80">AJ27*(1+AK8)</f>
        <v>1809.526548752252</v>
      </c>
      <c r="AL27" s="28">
        <f t="shared" si="80"/>
        <v>2071.0899162436081</v>
      </c>
      <c r="AM27" s="46">
        <f t="shared" si="80"/>
        <v>2233.2023648103809</v>
      </c>
      <c r="AN27" s="46">
        <f t="shared" si="80"/>
        <v>2260.0007931881055</v>
      </c>
      <c r="AO27" s="46">
        <f t="shared" si="80"/>
        <v>2287.1208027063626</v>
      </c>
    </row>
    <row r="28" spans="2:41" ht="15" thickTop="1">
      <c r="B28" s="150" t="s">
        <v>35</v>
      </c>
      <c r="C28" s="42"/>
      <c r="D28" s="30">
        <v>2.561325520307133</v>
      </c>
      <c r="E28" s="30">
        <v>1.2884113475177306</v>
      </c>
      <c r="F28" s="84">
        <v>0.78686939435825254</v>
      </c>
      <c r="G28" s="30">
        <f t="shared" ref="G28:K28" si="81">G27/F27-1</f>
        <v>0.33608557747491408</v>
      </c>
      <c r="H28" s="30">
        <f t="shared" si="81"/>
        <v>0.3882946507517957</v>
      </c>
      <c r="I28" s="30">
        <f t="shared" si="81"/>
        <v>0.39310842854112082</v>
      </c>
      <c r="J28" s="30">
        <f t="shared" si="81"/>
        <v>0.39858080358907033</v>
      </c>
      <c r="K28" s="30">
        <f t="shared" si="81"/>
        <v>0.40473199137214833</v>
      </c>
      <c r="L28" s="30"/>
      <c r="M28" s="30"/>
      <c r="N28" s="30"/>
      <c r="O28" s="30"/>
      <c r="P28" s="30"/>
      <c r="Q28" s="170"/>
      <c r="R28" s="117"/>
      <c r="S28" s="30">
        <f>S27/K27-1</f>
        <v>-0.72948169528796791</v>
      </c>
      <c r="T28" s="30">
        <f t="shared" ref="T28" si="82">T27/S27-1</f>
        <v>0.41683309489756559</v>
      </c>
      <c r="U28" s="30">
        <f t="shared" ref="U28" si="83">U27/T27-1</f>
        <v>0.42038174658802618</v>
      </c>
      <c r="V28" s="30">
        <f t="shared" ref="V28" si="84">V27/U27-1</f>
        <v>0.42437125957231658</v>
      </c>
      <c r="W28" s="30">
        <f t="shared" ref="W28" si="85">W27/V27-1</f>
        <v>0.54806323563608128</v>
      </c>
      <c r="X28" s="30"/>
      <c r="Y28" s="30"/>
      <c r="Z28" s="30"/>
      <c r="AA28" s="30"/>
      <c r="AB28" s="30"/>
      <c r="AC28" s="30"/>
      <c r="AD28" s="117"/>
      <c r="AE28" s="135">
        <f>AE27/F27-1</f>
        <v>0.3284110214918099</v>
      </c>
      <c r="AF28" s="30">
        <f t="shared" ref="AF28" si="86">AF27/AE27-1</f>
        <v>0.32240227084763329</v>
      </c>
      <c r="AG28" s="30">
        <f t="shared" ref="AG28" si="87">AG27/AF27-1</f>
        <v>0.3234919377737393</v>
      </c>
      <c r="AH28" s="30">
        <f t="shared" ref="AH28" si="88">AH27/AG27-1</f>
        <v>0.32465006215844605</v>
      </c>
      <c r="AI28" s="30">
        <f t="shared" ref="AI28" si="89">AI27/AH27-1</f>
        <v>0.31803402572805717</v>
      </c>
      <c r="AJ28" s="30"/>
      <c r="AK28" s="30"/>
      <c r="AL28" s="30"/>
      <c r="AM28" s="30"/>
      <c r="AN28" s="30"/>
      <c r="AO28" s="30"/>
    </row>
    <row r="29" spans="2:41">
      <c r="B29" s="147" t="s">
        <v>36</v>
      </c>
      <c r="C29" s="24">
        <v>3.59</v>
      </c>
      <c r="D29" s="24">
        <v>14.658999999999992</v>
      </c>
      <c r="E29" s="24">
        <v>40.31</v>
      </c>
      <c r="F29" s="82">
        <v>83.854999999999961</v>
      </c>
      <c r="G29" s="24">
        <f>G27*G30</f>
        <v>114.19593539815689</v>
      </c>
      <c r="H29" s="24">
        <f t="shared" ref="H29:Q29" si="90">H27*H30</f>
        <v>161.59194319423173</v>
      </c>
      <c r="I29" s="24">
        <f t="shared" si="90"/>
        <v>229.45209654807164</v>
      </c>
      <c r="J29" s="24">
        <f t="shared" si="90"/>
        <v>327.08979923895737</v>
      </c>
      <c r="K29" s="24">
        <f t="shared" si="90"/>
        <v>468.32558080000001</v>
      </c>
      <c r="L29" s="24">
        <f t="shared" si="90"/>
        <v>598.0966865578564</v>
      </c>
      <c r="M29" s="24">
        <f t="shared" si="90"/>
        <v>724.1885884928073</v>
      </c>
      <c r="N29" s="24">
        <f t="shared" si="90"/>
        <v>828.86857013530096</v>
      </c>
      <c r="O29" s="24">
        <f t="shared" si="90"/>
        <v>893.74741117006579</v>
      </c>
      <c r="P29" s="24">
        <f t="shared" si="90"/>
        <v>904.47238010410661</v>
      </c>
      <c r="Q29" s="164">
        <f t="shared" si="90"/>
        <v>915.32604866535598</v>
      </c>
      <c r="R29" s="112"/>
      <c r="S29" s="24">
        <f>S27*S30</f>
        <v>119.50292153164713</v>
      </c>
      <c r="T29" s="24">
        <f t="shared" ref="T29:AC29" si="91">T27*T30</f>
        <v>175.69857358290307</v>
      </c>
      <c r="U29" s="24">
        <f t="shared" si="91"/>
        <v>258.96694791061975</v>
      </c>
      <c r="V29" s="24">
        <f t="shared" si="91"/>
        <v>382.77058917315964</v>
      </c>
      <c r="W29" s="24">
        <f t="shared" si="91"/>
        <v>614.89120000000003</v>
      </c>
      <c r="X29" s="24">
        <f t="shared" si="91"/>
        <v>785.27504025162182</v>
      </c>
      <c r="Y29" s="24">
        <f t="shared" si="91"/>
        <v>950.8282452647278</v>
      </c>
      <c r="Z29" s="24">
        <f t="shared" si="91"/>
        <v>1088.2685264857078</v>
      </c>
      <c r="AA29" s="24">
        <f t="shared" si="91"/>
        <v>1173.4516342508855</v>
      </c>
      <c r="AB29" s="24">
        <f t="shared" si="91"/>
        <v>1187.5330538618962</v>
      </c>
      <c r="AC29" s="24">
        <f t="shared" si="91"/>
        <v>1201.783450508239</v>
      </c>
      <c r="AD29" s="112"/>
      <c r="AE29" s="133">
        <f>AE27*AE30</f>
        <v>111.32647151491823</v>
      </c>
      <c r="AF29" s="24">
        <f t="shared" ref="AF29:AO29" si="92">AF27*AF30</f>
        <v>147.12925693105944</v>
      </c>
      <c r="AG29" s="24">
        <f t="shared" si="92"/>
        <v>194.6065047723142</v>
      </c>
      <c r="AH29" s="24">
        <f t="shared" si="92"/>
        <v>257.62946264581115</v>
      </c>
      <c r="AI29" s="24">
        <f t="shared" si="92"/>
        <v>339.35883519999999</v>
      </c>
      <c r="AJ29" s="24">
        <f t="shared" si="92"/>
        <v>433.39378246334223</v>
      </c>
      <c r="AK29" s="24">
        <f t="shared" si="92"/>
        <v>524.76269913815304</v>
      </c>
      <c r="AL29" s="24">
        <f t="shared" si="92"/>
        <v>600.61607571064633</v>
      </c>
      <c r="AM29" s="24">
        <f t="shared" si="92"/>
        <v>647.62868579501037</v>
      </c>
      <c r="AN29" s="24">
        <f t="shared" si="92"/>
        <v>655.40023002455052</v>
      </c>
      <c r="AO29" s="24">
        <f t="shared" si="92"/>
        <v>663.26503278484506</v>
      </c>
    </row>
    <row r="30" spans="2:41">
      <c r="B30" s="150" t="s">
        <v>37</v>
      </c>
      <c r="C30" s="30">
        <v>0.18134976762982422</v>
      </c>
      <c r="D30" s="30">
        <v>0.20792907801418428</v>
      </c>
      <c r="E30" s="30">
        <v>0.2498558881320003</v>
      </c>
      <c r="F30" s="84">
        <v>0.2908793850444531</v>
      </c>
      <c r="G30" s="31">
        <f>F30*(1+(($K$30/$F$30)^0.2-1))</f>
        <v>0.29648337814626041</v>
      </c>
      <c r="H30" s="31">
        <f t="shared" ref="H30:J30" si="93">G30*(1+(($K$30/$F$30)^0.2-1))</f>
        <v>0.30219533606200705</v>
      </c>
      <c r="I30" s="31">
        <f t="shared" si="93"/>
        <v>0.30801733880871607</v>
      </c>
      <c r="J30" s="31">
        <f t="shared" si="93"/>
        <v>0.31395150647638115</v>
      </c>
      <c r="K30" s="106">
        <f>'Bull-Bear'!E9</f>
        <v>0.32</v>
      </c>
      <c r="L30" s="106">
        <f>K30</f>
        <v>0.32</v>
      </c>
      <c r="M30" s="106">
        <f t="shared" ref="M30:Q30" si="94">L30</f>
        <v>0.32</v>
      </c>
      <c r="N30" s="106">
        <f t="shared" si="94"/>
        <v>0.32</v>
      </c>
      <c r="O30" s="106">
        <f t="shared" si="94"/>
        <v>0.32</v>
      </c>
      <c r="P30" s="106">
        <f t="shared" si="94"/>
        <v>0.32</v>
      </c>
      <c r="Q30" s="168">
        <f t="shared" si="94"/>
        <v>0.32</v>
      </c>
      <c r="R30" s="116"/>
      <c r="S30" s="30">
        <f>F30*(1+(($W$30/$F$30)^0.2-1))</f>
        <v>0.3018449842445578</v>
      </c>
      <c r="T30" s="30">
        <f>S30*(1+(($W$30/$F$30)^0.2-1))</f>
        <v>0.31322396566423422</v>
      </c>
      <c r="U30" s="30">
        <f>T30*(1+(($W$30/$F$30)^0.2-1))</f>
        <v>0.32503191302639067</v>
      </c>
      <c r="V30" s="30">
        <f>U30*(1+(($W$30/$F$30)^0.2-1))</f>
        <v>0.3372849975306294</v>
      </c>
      <c r="W30" s="106">
        <f>'Bull-Bear'!D9</f>
        <v>0.35</v>
      </c>
      <c r="X30" s="106">
        <f>W30</f>
        <v>0.35</v>
      </c>
      <c r="Y30" s="106">
        <f t="shared" ref="Y30:AC30" si="95">X30</f>
        <v>0.35</v>
      </c>
      <c r="Z30" s="106">
        <f t="shared" si="95"/>
        <v>0.35</v>
      </c>
      <c r="AA30" s="106">
        <f t="shared" si="95"/>
        <v>0.35</v>
      </c>
      <c r="AB30" s="106">
        <f t="shared" si="95"/>
        <v>0.35</v>
      </c>
      <c r="AC30" s="106">
        <f t="shared" si="95"/>
        <v>0.35</v>
      </c>
      <c r="AD30" s="116"/>
      <c r="AE30" s="135">
        <f>F30*(1+(($AI$30/$F$30)^0.2-1))</f>
        <v>0.29070329496476921</v>
      </c>
      <c r="AF30" s="30">
        <f>AE30*(1+(($AI$30/$F$30)^0.2-1))</f>
        <v>0.29052731148499494</v>
      </c>
      <c r="AG30" s="30">
        <f>AF30*(1+(($AI$30/$F$30)^0.2-1))</f>
        <v>0.29035143454059781</v>
      </c>
      <c r="AH30" s="30">
        <f>AG30*(1+(($AI$30/$F$30)^0.2-1))</f>
        <v>0.29017566406708428</v>
      </c>
      <c r="AI30" s="106">
        <f>'Bull-Bear'!F9</f>
        <v>0.28999999999999998</v>
      </c>
      <c r="AJ30" s="106">
        <f>AI30</f>
        <v>0.28999999999999998</v>
      </c>
      <c r="AK30" s="106">
        <f t="shared" ref="AK30:AO30" si="96">AJ30</f>
        <v>0.28999999999999998</v>
      </c>
      <c r="AL30" s="106">
        <f t="shared" si="96"/>
        <v>0.28999999999999998</v>
      </c>
      <c r="AM30" s="106">
        <f t="shared" si="96"/>
        <v>0.28999999999999998</v>
      </c>
      <c r="AN30" s="106">
        <f t="shared" si="96"/>
        <v>0.28999999999999998</v>
      </c>
      <c r="AO30" s="106">
        <f t="shared" si="96"/>
        <v>0.28999999999999998</v>
      </c>
    </row>
    <row r="31" spans="2:41">
      <c r="B31" s="147" t="s">
        <v>90</v>
      </c>
      <c r="C31" s="124">
        <v>12</v>
      </c>
      <c r="D31" s="32">
        <v>25</v>
      </c>
      <c r="E31" s="32">
        <v>61</v>
      </c>
      <c r="F31" s="88">
        <v>87</v>
      </c>
      <c r="G31" s="24">
        <f>G33*G27</f>
        <v>113.68041095135924</v>
      </c>
      <c r="H31" s="24">
        <f t="shared" ref="H31:K31" si="97">H33*H27</f>
        <v>154.34742605447568</v>
      </c>
      <c r="I31" s="24">
        <f t="shared" si="97"/>
        <v>210.28893305140036</v>
      </c>
      <c r="J31" s="24">
        <f t="shared" si="97"/>
        <v>287.63126200650208</v>
      </c>
      <c r="K31" s="24">
        <f t="shared" si="97"/>
        <v>395.14970880000004</v>
      </c>
      <c r="L31" s="24">
        <f>L33*L27</f>
        <v>504.64407928319133</v>
      </c>
      <c r="M31" s="24">
        <f t="shared" ref="M31:Q31" si="98">M33*M27</f>
        <v>611.03412154080627</v>
      </c>
      <c r="N31" s="24">
        <f t="shared" si="98"/>
        <v>699.35785605166029</v>
      </c>
      <c r="O31" s="24">
        <f t="shared" si="98"/>
        <v>754.09937817474304</v>
      </c>
      <c r="P31" s="24">
        <f t="shared" si="98"/>
        <v>763.14857071283996</v>
      </c>
      <c r="Q31" s="164">
        <f t="shared" si="98"/>
        <v>772.30635356139408</v>
      </c>
      <c r="R31" s="112"/>
      <c r="S31" s="24">
        <f>S33*S27</f>
        <v>114.12988869354891</v>
      </c>
      <c r="T31" s="24">
        <f t="shared" ref="T31:W31" si="99">T33*T27</f>
        <v>154.46130089911907</v>
      </c>
      <c r="U31" s="24">
        <f t="shared" si="99"/>
        <v>209.56867739597914</v>
      </c>
      <c r="V31" s="24">
        <f t="shared" si="99"/>
        <v>285.13542455801701</v>
      </c>
      <c r="W31" s="24">
        <f t="shared" si="99"/>
        <v>421.63968</v>
      </c>
      <c r="X31" s="24">
        <f>X33*X27</f>
        <v>538.47431331539781</v>
      </c>
      <c r="Y31" s="24">
        <f t="shared" ref="Y31:AC31" si="100">Y33*Y27</f>
        <v>651.99651103867052</v>
      </c>
      <c r="Z31" s="24">
        <f t="shared" si="100"/>
        <v>746.24127530448538</v>
      </c>
      <c r="AA31" s="24">
        <f t="shared" si="100"/>
        <v>804.65254920060715</v>
      </c>
      <c r="AB31" s="24">
        <f t="shared" si="100"/>
        <v>814.30837979101454</v>
      </c>
      <c r="AC31" s="24">
        <f t="shared" si="100"/>
        <v>824.08008034850673</v>
      </c>
      <c r="AD31" s="112"/>
      <c r="AE31" s="133">
        <f>AE33*AE27</f>
        <v>115.43442053591225</v>
      </c>
      <c r="AF31" s="24">
        <f t="shared" ref="AF31:AI31" si="101">AF33*AF27</f>
        <v>152.46933914793081</v>
      </c>
      <c r="AG31" s="24">
        <f t="shared" si="101"/>
        <v>201.55214405143749</v>
      </c>
      <c r="AH31" s="24">
        <f t="shared" si="101"/>
        <v>266.66879041645768</v>
      </c>
      <c r="AI31" s="24">
        <f t="shared" si="101"/>
        <v>351.06086399999998</v>
      </c>
      <c r="AJ31" s="24">
        <f>AJ33*AJ27</f>
        <v>448.33839565173338</v>
      </c>
      <c r="AK31" s="24">
        <f t="shared" ref="AK31:AO31" si="102">AK33*AK27</f>
        <v>542.85796462567555</v>
      </c>
      <c r="AL31" s="24">
        <f t="shared" si="102"/>
        <v>621.32697487308235</v>
      </c>
      <c r="AM31" s="24">
        <f t="shared" si="102"/>
        <v>669.9607094431143</v>
      </c>
      <c r="AN31" s="24">
        <f t="shared" si="102"/>
        <v>678.00023795643165</v>
      </c>
      <c r="AO31" s="24">
        <f t="shared" si="102"/>
        <v>686.13624081190881</v>
      </c>
    </row>
    <row r="32" spans="2:41">
      <c r="B32" s="150" t="s">
        <v>35</v>
      </c>
      <c r="C32" s="29"/>
      <c r="D32" s="29">
        <v>1.0833333333333335</v>
      </c>
      <c r="E32" s="30">
        <v>1.44</v>
      </c>
      <c r="F32" s="84">
        <v>0.42622950819672134</v>
      </c>
      <c r="G32" s="31">
        <f>F32*(1+(($K$32/$F$32)^0.2-1))</f>
        <v>0.42184054278738847</v>
      </c>
      <c r="H32" s="31">
        <f t="shared" ref="H32:K32" si="103">H28</f>
        <v>0.3882946507517957</v>
      </c>
      <c r="I32" s="31">
        <f t="shared" si="103"/>
        <v>0.39310842854112082</v>
      </c>
      <c r="J32" s="31">
        <f t="shared" si="103"/>
        <v>0.39858080358907033</v>
      </c>
      <c r="K32" s="31">
        <f t="shared" si="103"/>
        <v>0.40473199137214833</v>
      </c>
      <c r="L32" s="31"/>
      <c r="M32" s="31"/>
      <c r="N32" s="31"/>
      <c r="O32" s="31"/>
      <c r="P32" s="31"/>
      <c r="Q32" s="167"/>
      <c r="R32" s="115"/>
      <c r="S32" s="31">
        <f>K32*(1+(($K$32/$F$32)^0.2-1))</f>
        <v>0.4005643899367195</v>
      </c>
      <c r="T32" s="31">
        <f t="shared" ref="T32:W32" si="104">T28</f>
        <v>0.41683309489756559</v>
      </c>
      <c r="U32" s="31">
        <f t="shared" si="104"/>
        <v>0.42038174658802618</v>
      </c>
      <c r="V32" s="31">
        <f t="shared" si="104"/>
        <v>0.42437125957231658</v>
      </c>
      <c r="W32" s="31">
        <f t="shared" si="104"/>
        <v>0.54806323563608128</v>
      </c>
      <c r="X32" s="31"/>
      <c r="Y32" s="31"/>
      <c r="Z32" s="31"/>
      <c r="AA32" s="31"/>
      <c r="AB32" s="31"/>
      <c r="AC32" s="31"/>
      <c r="AD32" s="115"/>
      <c r="AE32" s="136">
        <f>W32*(1+(($K$32/$F$32)^0.2-1))</f>
        <v>0.54241972542133654</v>
      </c>
      <c r="AF32" s="31">
        <f t="shared" ref="AF32:AI32" si="105">AF28</f>
        <v>0.32240227084763329</v>
      </c>
      <c r="AG32" s="31">
        <f t="shared" si="105"/>
        <v>0.3234919377737393</v>
      </c>
      <c r="AH32" s="31">
        <f t="shared" si="105"/>
        <v>0.32465006215844605</v>
      </c>
      <c r="AI32" s="31">
        <f t="shared" si="105"/>
        <v>0.31803402572805717</v>
      </c>
      <c r="AJ32" s="31"/>
      <c r="AK32" s="31"/>
      <c r="AL32" s="31"/>
      <c r="AM32" s="31"/>
      <c r="AN32" s="31"/>
      <c r="AO32" s="31"/>
    </row>
    <row r="33" spans="2:41">
      <c r="B33" s="150" t="s">
        <v>39</v>
      </c>
      <c r="C33" s="42"/>
      <c r="D33" s="30">
        <v>0.3546099290780142</v>
      </c>
      <c r="E33" s="30">
        <v>0.37809995475197261</v>
      </c>
      <c r="F33" s="84">
        <v>0.30178887960011247</v>
      </c>
      <c r="G33" s="30">
        <f>F33*(1+(($K$33/$F$33)^0.2-1))</f>
        <v>0.29514493795598007</v>
      </c>
      <c r="H33" s="30">
        <f t="shared" ref="H33:J33" si="106">G33*(1+(($K$33/$F$33)^0.2-1))</f>
        <v>0.28864726399616103</v>
      </c>
      <c r="I33" s="30">
        <f t="shared" si="106"/>
        <v>0.28229263760876694</v>
      </c>
      <c r="J33" s="30">
        <f t="shared" si="106"/>
        <v>0.27607790957330702</v>
      </c>
      <c r="K33" s="106">
        <f>'Bull-Bear'!E10</f>
        <v>0.27</v>
      </c>
      <c r="L33" s="106">
        <f>K33</f>
        <v>0.27</v>
      </c>
      <c r="M33" s="106">
        <f t="shared" ref="M33:Q33" si="107">L33</f>
        <v>0.27</v>
      </c>
      <c r="N33" s="106">
        <f t="shared" si="107"/>
        <v>0.27</v>
      </c>
      <c r="O33" s="106">
        <f t="shared" si="107"/>
        <v>0.27</v>
      </c>
      <c r="P33" s="106">
        <f t="shared" si="107"/>
        <v>0.27</v>
      </c>
      <c r="Q33" s="168">
        <f t="shared" si="107"/>
        <v>0.27</v>
      </c>
      <c r="R33" s="116"/>
      <c r="S33" s="30">
        <f>F33*(1+(($W$33/$F$33)^0.2-1))</f>
        <v>0.28827357534865267</v>
      </c>
      <c r="T33" s="30">
        <f>S33*(1+(($W$33/$F$33)^0.2-1))</f>
        <v>0.2753635400827551</v>
      </c>
      <c r="U33" s="30">
        <f>T33*(1+(($W$33/$F$33)^0.2-1))</f>
        <v>0.26303166745408552</v>
      </c>
      <c r="V33" s="30">
        <f>U33*(1+(($W$33/$F$33)^0.2-1))</f>
        <v>0.25125206504421116</v>
      </c>
      <c r="W33" s="106">
        <f>'Bull-Bear'!D10</f>
        <v>0.24</v>
      </c>
      <c r="X33" s="106">
        <f>W33</f>
        <v>0.24</v>
      </c>
      <c r="Y33" s="106">
        <f t="shared" ref="Y33:AC33" si="108">X33</f>
        <v>0.24</v>
      </c>
      <c r="Z33" s="106">
        <f t="shared" si="108"/>
        <v>0.24</v>
      </c>
      <c r="AA33" s="106">
        <f t="shared" si="108"/>
        <v>0.24</v>
      </c>
      <c r="AB33" s="106">
        <f t="shared" si="108"/>
        <v>0.24</v>
      </c>
      <c r="AC33" s="106">
        <f t="shared" si="108"/>
        <v>0.24</v>
      </c>
      <c r="AD33" s="116"/>
      <c r="AE33" s="135">
        <f>F33*(1+(($AI$33/$F$33)^0.2-1))</f>
        <v>0.30143025235145182</v>
      </c>
      <c r="AF33" s="30">
        <f>AE33*(1+(($AI$33/$F$33)^0.2-1))</f>
        <v>0.30107205127324405</v>
      </c>
      <c r="AG33" s="30">
        <f>AF33*(1+(($AI$33/$F$33)^0.2-1))</f>
        <v>0.30071427585905447</v>
      </c>
      <c r="AH33" s="30">
        <f>AG33*(1+(($AI$33/$F$33)^0.2-1))</f>
        <v>0.30035692560305033</v>
      </c>
      <c r="AI33" s="106">
        <f>'Bull-Bear'!F10</f>
        <v>0.3</v>
      </c>
      <c r="AJ33" s="106">
        <f>AI33</f>
        <v>0.3</v>
      </c>
      <c r="AK33" s="106">
        <f t="shared" ref="AK33:AO33" si="109">AJ33</f>
        <v>0.3</v>
      </c>
      <c r="AL33" s="106">
        <f t="shared" si="109"/>
        <v>0.3</v>
      </c>
      <c r="AM33" s="106">
        <f t="shared" si="109"/>
        <v>0.3</v>
      </c>
      <c r="AN33" s="106">
        <f t="shared" si="109"/>
        <v>0.3</v>
      </c>
      <c r="AO33" s="106">
        <f t="shared" si="109"/>
        <v>0.3</v>
      </c>
    </row>
    <row r="34" spans="2:41" ht="15" thickBot="1">
      <c r="B34" s="151" t="s">
        <v>3</v>
      </c>
      <c r="C34" s="85"/>
      <c r="D34" s="28">
        <v>-1</v>
      </c>
      <c r="E34" s="28">
        <v>-18</v>
      </c>
      <c r="F34" s="28">
        <v>-3.1450000000000387</v>
      </c>
      <c r="G34" s="28">
        <f t="shared" ref="G34:K34" si="110">G29-G31</f>
        <v>0.51552444679765586</v>
      </c>
      <c r="H34" s="28">
        <f t="shared" si="110"/>
        <v>7.2445171397560557</v>
      </c>
      <c r="I34" s="28">
        <f t="shared" si="110"/>
        <v>19.163163496671274</v>
      </c>
      <c r="J34" s="28">
        <f t="shared" si="110"/>
        <v>39.458537232455285</v>
      </c>
      <c r="K34" s="28">
        <f t="shared" si="110"/>
        <v>73.17587199999997</v>
      </c>
      <c r="L34" s="28">
        <f>L29-L31</f>
        <v>93.45260727466507</v>
      </c>
      <c r="M34" s="28">
        <f t="shared" ref="M34:Q34" si="111">M29-M31</f>
        <v>113.15446695200103</v>
      </c>
      <c r="N34" s="28">
        <f t="shared" si="111"/>
        <v>129.51071408364066</v>
      </c>
      <c r="O34" s="28">
        <f t="shared" si="111"/>
        <v>139.64803299532275</v>
      </c>
      <c r="P34" s="28">
        <f t="shared" si="111"/>
        <v>141.32380939126665</v>
      </c>
      <c r="Q34" s="169">
        <f t="shared" si="111"/>
        <v>143.01969510396191</v>
      </c>
      <c r="R34" s="112"/>
      <c r="S34" s="28">
        <f t="shared" ref="S34:W34" si="112">S29-S31</f>
        <v>5.3730328380982257</v>
      </c>
      <c r="T34" s="28">
        <f t="shared" si="112"/>
        <v>21.237272683783999</v>
      </c>
      <c r="U34" s="28">
        <f t="shared" si="112"/>
        <v>49.398270514640615</v>
      </c>
      <c r="V34" s="28">
        <f t="shared" si="112"/>
        <v>97.635164615142628</v>
      </c>
      <c r="W34" s="28">
        <f t="shared" si="112"/>
        <v>193.25152000000003</v>
      </c>
      <c r="X34" s="28">
        <f>X29-X31</f>
        <v>246.80072693622401</v>
      </c>
      <c r="Y34" s="28">
        <f t="shared" ref="Y34:AC34" si="113">Y29-Y31</f>
        <v>298.83173422605728</v>
      </c>
      <c r="Z34" s="28">
        <f t="shared" si="113"/>
        <v>342.02725118122237</v>
      </c>
      <c r="AA34" s="28">
        <f t="shared" si="113"/>
        <v>368.79908505027834</v>
      </c>
      <c r="AB34" s="28">
        <f t="shared" si="113"/>
        <v>373.22467407088163</v>
      </c>
      <c r="AC34" s="28">
        <f t="shared" si="113"/>
        <v>377.70337015973223</v>
      </c>
      <c r="AD34" s="112"/>
      <c r="AE34" s="137">
        <f t="shared" ref="AE34:AI34" si="114">AE29-AE31</f>
        <v>-4.1079490209940275</v>
      </c>
      <c r="AF34" s="28">
        <f t="shared" si="114"/>
        <v>-5.340082216871366</v>
      </c>
      <c r="AG34" s="28">
        <f t="shared" si="114"/>
        <v>-6.9456392791232986</v>
      </c>
      <c r="AH34" s="28">
        <f t="shared" si="114"/>
        <v>-9.0393277706465369</v>
      </c>
      <c r="AI34" s="28">
        <f t="shared" si="114"/>
        <v>-11.702028799999994</v>
      </c>
      <c r="AJ34" s="28">
        <f>AJ29-AJ31</f>
        <v>-14.944613188391145</v>
      </c>
      <c r="AK34" s="28">
        <f t="shared" ref="AK34:AO34" si="115">AK29-AK31</f>
        <v>-18.095265487522511</v>
      </c>
      <c r="AL34" s="28">
        <f t="shared" si="115"/>
        <v>-20.710899162436021</v>
      </c>
      <c r="AM34" s="46">
        <f t="shared" si="115"/>
        <v>-22.332023648103927</v>
      </c>
      <c r="AN34" s="46">
        <f t="shared" si="115"/>
        <v>-22.600007931881123</v>
      </c>
      <c r="AO34" s="46">
        <f t="shared" si="115"/>
        <v>-22.871208027063744</v>
      </c>
    </row>
    <row r="35" spans="2:41" ht="15" thickTop="1">
      <c r="B35" s="150" t="s">
        <v>37</v>
      </c>
      <c r="C35" s="42"/>
      <c r="D35" s="30">
        <v>-1.4184397163120567E-2</v>
      </c>
      <c r="E35" s="30">
        <v>-0.11157047845140176</v>
      </c>
      <c r="F35" s="84">
        <v>-1.0909494555659371E-2</v>
      </c>
      <c r="G35" s="30">
        <f t="shared" ref="G35:K35" si="116">G34/G27</f>
        <v>1.3384401902803451E-3</v>
      </c>
      <c r="H35" s="30">
        <f t="shared" si="116"/>
        <v>1.3548072065846043E-2</v>
      </c>
      <c r="I35" s="30">
        <f t="shared" si="116"/>
        <v>2.5724701199949102E-2</v>
      </c>
      <c r="J35" s="30">
        <f t="shared" si="116"/>
        <v>3.7873596903074118E-2</v>
      </c>
      <c r="K35" s="30">
        <f t="shared" si="116"/>
        <v>4.9999999999999975E-2</v>
      </c>
      <c r="L35" s="30"/>
      <c r="M35" s="30"/>
      <c r="N35" s="30"/>
      <c r="O35" s="30"/>
      <c r="P35" s="30"/>
      <c r="Q35" s="170"/>
      <c r="R35" s="117"/>
      <c r="S35" s="30">
        <f t="shared" ref="S35:W35" si="117">S34/S27</f>
        <v>1.3571408895905147E-2</v>
      </c>
      <c r="T35" s="30">
        <f t="shared" si="117"/>
        <v>3.7860425581479146E-2</v>
      </c>
      <c r="U35" s="30">
        <f t="shared" si="117"/>
        <v>6.2000245572305178E-2</v>
      </c>
      <c r="V35" s="30">
        <f t="shared" si="117"/>
        <v>8.6032932486418232E-2</v>
      </c>
      <c r="W35" s="30">
        <f t="shared" si="117"/>
        <v>0.11000000000000001</v>
      </c>
      <c r="X35" s="30"/>
      <c r="Y35" s="30"/>
      <c r="Z35" s="30"/>
      <c r="AA35" s="30"/>
      <c r="AB35" s="30"/>
      <c r="AC35" s="30"/>
      <c r="AD35" s="117"/>
      <c r="AE35" s="135">
        <f t="shared" ref="AE35:AI35" si="118">AE34/AE27</f>
        <v>-1.0726957386682596E-2</v>
      </c>
      <c r="AF35" s="30">
        <f t="shared" si="118"/>
        <v>-1.0544739788249118E-2</v>
      </c>
      <c r="AG35" s="30">
        <f t="shared" si="118"/>
        <v>-1.0362841318456674E-2</v>
      </c>
      <c r="AH35" s="30">
        <f t="shared" si="118"/>
        <v>-1.0181261535966036E-2</v>
      </c>
      <c r="AI35" s="30">
        <f t="shared" si="118"/>
        <v>-9.999999999999995E-3</v>
      </c>
      <c r="AJ35" s="30"/>
      <c r="AK35" s="30"/>
      <c r="AL35" s="30"/>
      <c r="AM35" s="30"/>
      <c r="AN35" s="30"/>
      <c r="AO35" s="30"/>
    </row>
    <row r="36" spans="2:41">
      <c r="B36" s="147" t="s">
        <v>86</v>
      </c>
      <c r="C36" s="24">
        <v>0</v>
      </c>
      <c r="D36" s="24">
        <v>0</v>
      </c>
      <c r="E36" s="24">
        <v>24.7</v>
      </c>
      <c r="F36" s="82">
        <v>39.979999999999997</v>
      </c>
      <c r="G36" s="24">
        <f>BS!$S$5*'Model 7%'!G25*(1-BS!$S$9)</f>
        <v>50.579643410388464</v>
      </c>
      <c r="H36" s="24">
        <f>BS!$S$5*'Model 7%'!H25*(1-BS!$S$9)</f>
        <v>69.709869247003539</v>
      </c>
      <c r="I36" s="24">
        <f>BS!$S$5*'Model 7%'!I25*(1-BS!$S$9)</f>
        <v>96.444064936468976</v>
      </c>
      <c r="J36" s="24">
        <f>BS!$S$5*'Model 7%'!J25*(1-BS!$S$9)</f>
        <v>134.00154203405444</v>
      </c>
      <c r="K36" s="24">
        <f>BS!$S$5*'Model 7%'!K25*(1-BS!$S$9)</f>
        <v>153.05297766850566</v>
      </c>
      <c r="L36" s="24">
        <f>BS!$S$5*'Model 7%'!L25*(1-BS!$S$9)</f>
        <v>195.46333269896587</v>
      </c>
      <c r="M36" s="24">
        <f>BS!$S$5*'Model 7%'!M25*(1-BS!$S$9)</f>
        <v>236.67129109846874</v>
      </c>
      <c r="N36" s="24">
        <f>BS!$S$5*'Model 7%'!N25*(1-BS!$S$9)</f>
        <v>270.88164293383051</v>
      </c>
      <c r="O36" s="24">
        <f>BS!$S$5*'Model 7%'!O25*(1-BS!$S$9)</f>
        <v>292.08462695851262</v>
      </c>
      <c r="P36" s="24">
        <f>BS!$S$5*'Model 7%'!P25*(1-BS!$S$9)</f>
        <v>295.58964248201488</v>
      </c>
      <c r="Q36" s="164">
        <f>BS!$S$5*'Model 7%'!Q25*(1-BS!$S$9)</f>
        <v>299.13671819179899</v>
      </c>
      <c r="R36" s="112"/>
      <c r="S36" s="24">
        <f>BS!$S$5*'Model 7%'!S25*(1-BS!$S$9)</f>
        <v>51.990025032109891</v>
      </c>
      <c r="T36" s="24">
        <f>BS!$S$5*'Model 7%'!T25*(1-BS!$S$9)</f>
        <v>73.126632395234182</v>
      </c>
      <c r="U36" s="24">
        <f>BS!$S$5*'Model 7%'!U25*(1-BS!$S$9)</f>
        <v>103.15183906028261</v>
      </c>
      <c r="V36" s="24">
        <f>BS!$S$5*'Model 7%'!V25*(1-BS!$S$9)</f>
        <v>145.96438562537654</v>
      </c>
      <c r="W36" s="24">
        <f>BS!$S$5*'Model 7%'!W25*(1-BS!$S$9)</f>
        <v>183.7274784120892</v>
      </c>
      <c r="X36" s="24">
        <f>BS!$S$5*'Model 7%'!X25*(1-BS!$S$9)</f>
        <v>234.63761232130551</v>
      </c>
      <c r="Y36" s="24">
        <f>BS!$S$5*'Model 7%'!Y25*(1-BS!$S$9)</f>
        <v>284.10436822885077</v>
      </c>
      <c r="Z36" s="24">
        <f>BS!$S$5*'Model 7%'!Z25*(1-BS!$S$9)</f>
        <v>325.1710745030324</v>
      </c>
      <c r="AA36" s="24">
        <f>BS!$S$5*'Model 7%'!AA25*(1-BS!$S$9)</f>
        <v>350.6235083531206</v>
      </c>
      <c r="AB36" s="24">
        <f>BS!$S$5*'Model 7%'!AB25*(1-BS!$S$9)</f>
        <v>354.83099045335803</v>
      </c>
      <c r="AC36" s="24">
        <f>BS!$S$5*'Model 7%'!AC25*(1-BS!$S$9)</f>
        <v>359.08896233879835</v>
      </c>
      <c r="AD36" s="112"/>
      <c r="AE36" s="24">
        <f>BS!$S$5*'Model 7%'!AE25*(1-BS!$S$9)</f>
        <v>48.659239609207908</v>
      </c>
      <c r="AF36" s="24">
        <f>BS!$S$5*'Model 7%'!AF25*(1-BS!$S$9)</f>
        <v>64.347088956935636</v>
      </c>
      <c r="AG36" s="24">
        <f>BS!$S$5*'Model 7%'!AG25*(1-BS!$S$9)</f>
        <v>85.162853453713936</v>
      </c>
      <c r="AH36" s="24">
        <f>BS!$S$5*'Model 7%'!AH25*(1-BS!$S$9)</f>
        <v>112.81097912105281</v>
      </c>
      <c r="AI36" s="24">
        <f>BS!$S$5*'Model 7%'!AI25*(1-BS!$S$9)</f>
        <v>122.37847692492204</v>
      </c>
      <c r="AJ36" s="24">
        <f>BS!$S$5*'Model 7%'!AJ25*(1-BS!$S$9)</f>
        <v>156.28905307662609</v>
      </c>
      <c r="AK36" s="24">
        <f>BS!$S$5*'Model 7%'!AK25*(1-BS!$S$9)</f>
        <v>189.23821396808671</v>
      </c>
      <c r="AL36" s="24">
        <f>BS!$S$5*'Model 7%'!AL25*(1-BS!$S$9)</f>
        <v>216.59221136462861</v>
      </c>
      <c r="AM36" s="24">
        <f>BS!$S$5*'Model 7%'!AM25*(1-BS!$S$9)</f>
        <v>233.54574556390472</v>
      </c>
      <c r="AN36" s="24">
        <f>BS!$S$5*'Model 7%'!AN25*(1-BS!$S$9)</f>
        <v>236.34829451067156</v>
      </c>
      <c r="AO36" s="24">
        <f>BS!$S$5*'Model 7%'!AO25*(1-BS!$S$9)</f>
        <v>239.18447404479963</v>
      </c>
    </row>
    <row r="37" spans="2:41">
      <c r="B37" s="147" t="s">
        <v>87</v>
      </c>
      <c r="C37" s="24"/>
      <c r="D37" s="24"/>
      <c r="E37" s="24">
        <v>2.6</v>
      </c>
      <c r="F37" s="82">
        <v>8.1</v>
      </c>
      <c r="G37" s="24">
        <f t="shared" ref="G37:Q37" si="119">G42+F37</f>
        <v>14.229408451317017</v>
      </c>
      <c r="H37" s="24">
        <f t="shared" si="119"/>
        <v>22.677080931645918</v>
      </c>
      <c r="I37" s="24">
        <f t="shared" si="119"/>
        <v>34.364491653476861</v>
      </c>
      <c r="J37" s="24">
        <f t="shared" si="119"/>
        <v>50.603241649574109</v>
      </c>
      <c r="K37" s="24">
        <f t="shared" si="119"/>
        <v>69.150707617432104</v>
      </c>
      <c r="L37" s="24">
        <f t="shared" si="119"/>
        <v>92.837600655542388</v>
      </c>
      <c r="M37" s="24">
        <f t="shared" si="119"/>
        <v>121.51821036393579</v>
      </c>
      <c r="N37" s="24">
        <f t="shared" si="119"/>
        <v>154.34454363864299</v>
      </c>
      <c r="O37" s="24">
        <f t="shared" si="119"/>
        <v>189.74032463403802</v>
      </c>
      <c r="P37" s="24">
        <f t="shared" si="119"/>
        <v>225.5608550013778</v>
      </c>
      <c r="Q37" s="164">
        <f t="shared" si="119"/>
        <v>261.81123173312562</v>
      </c>
      <c r="R37" s="112"/>
      <c r="S37" s="24">
        <f>G37</f>
        <v>14.229408451317017</v>
      </c>
      <c r="T37" s="24">
        <f>T42+S37</f>
        <v>22.677080931645918</v>
      </c>
      <c r="U37" s="24">
        <f>U42+T37</f>
        <v>34.364491653476861</v>
      </c>
      <c r="V37" s="24">
        <f>V42+U37</f>
        <v>50.603241649574109</v>
      </c>
      <c r="W37" s="24">
        <f>W42+V37</f>
        <v>69.150707617432104</v>
      </c>
      <c r="X37" s="24">
        <f t="shared" ref="X37:AC37" si="120">X42+W37</f>
        <v>97.584869406395384</v>
      </c>
      <c r="Y37" s="24">
        <f t="shared" si="120"/>
        <v>132.01357625885095</v>
      </c>
      <c r="Z37" s="24">
        <f t="shared" si="120"/>
        <v>171.41888238193368</v>
      </c>
      <c r="AA37" s="24">
        <f t="shared" si="120"/>
        <v>213.90859860813856</v>
      </c>
      <c r="AB37" s="24">
        <f t="shared" si="120"/>
        <v>256.90819142905792</v>
      </c>
      <c r="AC37" s="24">
        <f t="shared" si="120"/>
        <v>300.42377936382832</v>
      </c>
      <c r="AD37" s="112"/>
      <c r="AE37" s="133">
        <f>AE42+F37</f>
        <v>14.229408451317017</v>
      </c>
      <c r="AF37" s="24">
        <f>AF42+AE37</f>
        <v>22.677080931645918</v>
      </c>
      <c r="AG37" s="24">
        <f t="shared" ref="AG37:AO37" si="121">AG42+AF37</f>
        <v>34.364491653476861</v>
      </c>
      <c r="AH37" s="24">
        <f t="shared" si="121"/>
        <v>50.603241649574109</v>
      </c>
      <c r="AI37" s="24">
        <f t="shared" si="121"/>
        <v>69.150707617432104</v>
      </c>
      <c r="AJ37" s="24">
        <f t="shared" si="121"/>
        <v>88.090331904689378</v>
      </c>
      <c r="AK37" s="24">
        <f t="shared" si="121"/>
        <v>111.02284446902064</v>
      </c>
      <c r="AL37" s="24">
        <f t="shared" si="121"/>
        <v>137.27020489535229</v>
      </c>
      <c r="AM37" s="24">
        <f t="shared" si="121"/>
        <v>165.57205065993747</v>
      </c>
      <c r="AN37" s="24">
        <f t="shared" si="121"/>
        <v>194.21351857369768</v>
      </c>
      <c r="AO37" s="24">
        <f t="shared" si="121"/>
        <v>223.19868410242299</v>
      </c>
    </row>
    <row r="38" spans="2:41" ht="15" thickBot="1">
      <c r="B38" s="151" t="s">
        <v>44</v>
      </c>
      <c r="C38" s="27"/>
      <c r="D38" s="27">
        <v>-1</v>
      </c>
      <c r="E38" s="28">
        <v>-20.6</v>
      </c>
      <c r="F38" s="89">
        <v>-8.6450000000000387</v>
      </c>
      <c r="G38" s="28">
        <f t="shared" ref="G38:Q38" si="122">G34-G42</f>
        <v>-5.6138840045193605</v>
      </c>
      <c r="H38" s="28">
        <f t="shared" si="122"/>
        <v>-1.2031553405728452</v>
      </c>
      <c r="I38" s="28">
        <f t="shared" si="122"/>
        <v>7.4757527748403287</v>
      </c>
      <c r="J38" s="28">
        <f t="shared" si="122"/>
        <v>23.219787236358037</v>
      </c>
      <c r="K38" s="28">
        <f t="shared" si="122"/>
        <v>54.628406032141967</v>
      </c>
      <c r="L38" s="28">
        <f t="shared" si="122"/>
        <v>69.765714236554786</v>
      </c>
      <c r="M38" s="28">
        <f t="shared" si="122"/>
        <v>84.473857243607625</v>
      </c>
      <c r="N38" s="28">
        <f t="shared" si="122"/>
        <v>96.684380808933469</v>
      </c>
      <c r="O38" s="28">
        <f t="shared" si="122"/>
        <v>104.25225199992772</v>
      </c>
      <c r="P38" s="28">
        <f t="shared" si="122"/>
        <v>105.50327902392686</v>
      </c>
      <c r="Q38" s="169">
        <f t="shared" si="122"/>
        <v>106.76931837221406</v>
      </c>
      <c r="R38" s="112"/>
      <c r="S38" s="28">
        <f t="shared" ref="S38:AC38" si="123">S34-S42</f>
        <v>-0.75637561321879065</v>
      </c>
      <c r="T38" s="28">
        <f t="shared" si="123"/>
        <v>12.789600203455098</v>
      </c>
      <c r="U38" s="28">
        <f t="shared" si="123"/>
        <v>37.710859792809671</v>
      </c>
      <c r="V38" s="28">
        <f t="shared" si="123"/>
        <v>81.396414619045373</v>
      </c>
      <c r="W38" s="28">
        <f t="shared" si="123"/>
        <v>174.70405403214204</v>
      </c>
      <c r="X38" s="28">
        <f t="shared" si="123"/>
        <v>218.36656514726073</v>
      </c>
      <c r="Y38" s="28">
        <f t="shared" si="123"/>
        <v>264.40302737360173</v>
      </c>
      <c r="Z38" s="28">
        <f t="shared" si="123"/>
        <v>302.6219450581396</v>
      </c>
      <c r="AA38" s="28">
        <f t="shared" si="123"/>
        <v>326.30936882407343</v>
      </c>
      <c r="AB38" s="28">
        <f t="shared" si="123"/>
        <v>330.22508124996227</v>
      </c>
      <c r="AC38" s="28">
        <f t="shared" si="123"/>
        <v>334.18778222496184</v>
      </c>
      <c r="AD38" s="112"/>
      <c r="AE38" s="137">
        <f t="shared" ref="AE38:AO38" si="124">AE34-AE42</f>
        <v>-10.237357472311043</v>
      </c>
      <c r="AF38" s="28">
        <f t="shared" si="124"/>
        <v>-13.787754697200267</v>
      </c>
      <c r="AG38" s="28">
        <f t="shared" si="124"/>
        <v>-18.633050000954242</v>
      </c>
      <c r="AH38" s="28">
        <f t="shared" si="124"/>
        <v>-25.278077766743785</v>
      </c>
      <c r="AI38" s="28">
        <f t="shared" si="124"/>
        <v>-30.249494767857993</v>
      </c>
      <c r="AJ38" s="28">
        <f t="shared" si="124"/>
        <v>-33.884237475648419</v>
      </c>
      <c r="AK38" s="28">
        <f t="shared" si="124"/>
        <v>-41.027778051853772</v>
      </c>
      <c r="AL38" s="28">
        <f t="shared" si="124"/>
        <v>-46.95825958876766</v>
      </c>
      <c r="AM38" s="28">
        <f t="shared" si="124"/>
        <v>-50.633869412689101</v>
      </c>
      <c r="AN38" s="28">
        <f t="shared" si="124"/>
        <v>-51.241475845641318</v>
      </c>
      <c r="AO38" s="28">
        <f t="shared" si="124"/>
        <v>-51.856373555789062</v>
      </c>
    </row>
    <row r="39" spans="2:41" ht="15" thickTop="1">
      <c r="B39" s="150" t="s">
        <v>37</v>
      </c>
      <c r="C39" s="42"/>
      <c r="D39" s="30">
        <v>-1.4184397163120567E-2</v>
      </c>
      <c r="E39" s="30">
        <v>-0.12768621422771537</v>
      </c>
      <c r="F39" s="84">
        <v>-2.9988101886700962E-2</v>
      </c>
      <c r="G39" s="30">
        <f>G38/G27</f>
        <v>-1.4575153558469122E-2</v>
      </c>
      <c r="H39" s="30">
        <f>H38/H27</f>
        <v>-2.2500375036778961E-3</v>
      </c>
      <c r="I39" s="30">
        <f>I38/I27</f>
        <v>1.0035478036330651E-2</v>
      </c>
      <c r="J39" s="30">
        <f>J38/J27</f>
        <v>2.2287112590723083E-2</v>
      </c>
      <c r="K39" s="30">
        <f>K38/K27</f>
        <v>3.7326788556849698E-2</v>
      </c>
      <c r="L39" s="30"/>
      <c r="M39" s="30"/>
      <c r="N39" s="30"/>
      <c r="O39" s="30"/>
      <c r="P39" s="30"/>
      <c r="Q39" s="170"/>
      <c r="R39" s="117"/>
      <c r="S39" s="30">
        <f>S38/S27</f>
        <v>-1.9104820378348017E-3</v>
      </c>
      <c r="T39" s="30">
        <f>T38/T27</f>
        <v>2.2800465668527892E-2</v>
      </c>
      <c r="U39" s="30">
        <f>U38/U27</f>
        <v>4.7331263696853726E-2</v>
      </c>
      <c r="V39" s="30">
        <f>V38/V27</f>
        <v>7.1723873987003542E-2</v>
      </c>
      <c r="W39" s="30">
        <f>W38/W27</f>
        <v>9.9442663858662655E-2</v>
      </c>
      <c r="X39" s="30"/>
      <c r="Y39" s="30"/>
      <c r="Z39" s="30"/>
      <c r="AA39" s="30"/>
      <c r="AB39" s="30"/>
      <c r="AC39" s="30"/>
      <c r="AD39" s="117"/>
      <c r="AE39" s="135">
        <f>AE38/AE27</f>
        <v>-2.673248786596295E-2</v>
      </c>
      <c r="AF39" s="30">
        <f>AF38/AF27</f>
        <v>-2.7225851520946438E-2</v>
      </c>
      <c r="AG39" s="30">
        <f>AG38/AG27</f>
        <v>-2.7800369797368805E-2</v>
      </c>
      <c r="AH39" s="30">
        <f>AH38/AH27</f>
        <v>-2.8471444713559588E-2</v>
      </c>
      <c r="AI39" s="30">
        <f>AI38/AI27</f>
        <v>-2.584978663516705E-2</v>
      </c>
      <c r="AJ39" s="30"/>
      <c r="AK39" s="30"/>
      <c r="AL39" s="30"/>
      <c r="AM39" s="30"/>
      <c r="AN39" s="30"/>
      <c r="AO39" s="30"/>
    </row>
    <row r="40" spans="2:41">
      <c r="B40" s="150" t="s">
        <v>125</v>
      </c>
      <c r="C40" s="42"/>
      <c r="D40" s="30">
        <v>0</v>
      </c>
      <c r="E40" s="30">
        <v>0</v>
      </c>
      <c r="F40" s="84">
        <v>0</v>
      </c>
      <c r="G40" s="71">
        <f>BS!S26</f>
        <v>0.26600000000000001</v>
      </c>
      <c r="H40" s="71">
        <f>G40</f>
        <v>0.26600000000000001</v>
      </c>
      <c r="I40" s="71">
        <f t="shared" ref="I40:K40" si="125">H40</f>
        <v>0.26600000000000001</v>
      </c>
      <c r="J40" s="71">
        <f t="shared" si="125"/>
        <v>0.26600000000000001</v>
      </c>
      <c r="K40" s="71">
        <f t="shared" si="125"/>
        <v>0.26600000000000001</v>
      </c>
      <c r="L40" s="71">
        <f t="shared" ref="L40" si="126">K40</f>
        <v>0.26600000000000001</v>
      </c>
      <c r="M40" s="71">
        <f t="shared" ref="M40" si="127">L40</f>
        <v>0.26600000000000001</v>
      </c>
      <c r="N40" s="71">
        <f t="shared" ref="N40" si="128">M40</f>
        <v>0.26600000000000001</v>
      </c>
      <c r="O40" s="71">
        <f t="shared" ref="O40" si="129">N40</f>
        <v>0.26600000000000001</v>
      </c>
      <c r="P40" s="71">
        <f t="shared" ref="P40" si="130">O40</f>
        <v>0.26600000000000001</v>
      </c>
      <c r="Q40" s="175">
        <f t="shared" ref="Q40" si="131">P40</f>
        <v>0.26600000000000001</v>
      </c>
      <c r="R40" s="122"/>
      <c r="S40" s="71">
        <v>0.26600000000000001</v>
      </c>
      <c r="T40" s="71">
        <v>0.26600000000000001</v>
      </c>
      <c r="U40" s="71">
        <v>0.26600000000000001</v>
      </c>
      <c r="V40" s="71">
        <v>0.26600000000000001</v>
      </c>
      <c r="W40" s="71">
        <v>0.26600000000000001</v>
      </c>
      <c r="X40" s="71">
        <f t="shared" ref="X40" si="132">W40</f>
        <v>0.26600000000000001</v>
      </c>
      <c r="Y40" s="71">
        <f t="shared" ref="Y40" si="133">X40</f>
        <v>0.26600000000000001</v>
      </c>
      <c r="Z40" s="71">
        <f t="shared" ref="Z40" si="134">Y40</f>
        <v>0.26600000000000001</v>
      </c>
      <c r="AA40" s="71">
        <f t="shared" ref="AA40" si="135">Z40</f>
        <v>0.26600000000000001</v>
      </c>
      <c r="AB40" s="71">
        <f t="shared" ref="AB40" si="136">AA40</f>
        <v>0.26600000000000001</v>
      </c>
      <c r="AC40" s="71">
        <f t="shared" ref="AC40" si="137">AB40</f>
        <v>0.26600000000000001</v>
      </c>
      <c r="AD40" s="122"/>
      <c r="AE40" s="141">
        <v>0.26600000000000001</v>
      </c>
      <c r="AF40" s="71">
        <v>0.26600000000000001</v>
      </c>
      <c r="AG40" s="71">
        <v>0.26600000000000001</v>
      </c>
      <c r="AH40" s="71">
        <v>0.26600000000000001</v>
      </c>
      <c r="AI40" s="71">
        <v>0.26600000000000001</v>
      </c>
      <c r="AJ40" s="71">
        <f t="shared" ref="AJ40" si="138">AI40</f>
        <v>0.26600000000000001</v>
      </c>
      <c r="AK40" s="71">
        <f t="shared" ref="AK40" si="139">AJ40</f>
        <v>0.26600000000000001</v>
      </c>
      <c r="AL40" s="71">
        <f t="shared" ref="AL40" si="140">AK40</f>
        <v>0.26600000000000001</v>
      </c>
      <c r="AM40" s="71">
        <f t="shared" ref="AM40" si="141">AL40</f>
        <v>0.26600000000000001</v>
      </c>
      <c r="AN40" s="71">
        <f t="shared" ref="AN40" si="142">AM40</f>
        <v>0.26600000000000001</v>
      </c>
      <c r="AO40" s="71">
        <f t="shared" ref="AO40" si="143">AN40</f>
        <v>0.26600000000000001</v>
      </c>
    </row>
    <row r="41" spans="2:41" ht="15" thickBot="1">
      <c r="B41" s="151" t="s">
        <v>38</v>
      </c>
      <c r="C41" s="27"/>
      <c r="D41" s="27">
        <v>-1</v>
      </c>
      <c r="E41" s="28">
        <v>-20.6</v>
      </c>
      <c r="F41" s="89">
        <v>-8.6450000000000387</v>
      </c>
      <c r="G41" s="28">
        <f t="shared" ref="G41:Q41" si="144">G38*(1-G40)</f>
        <v>-4.1205908593172103</v>
      </c>
      <c r="H41" s="28">
        <f t="shared" si="144"/>
        <v>-0.8831160199804684</v>
      </c>
      <c r="I41" s="28">
        <f t="shared" si="144"/>
        <v>5.4872025367328012</v>
      </c>
      <c r="J41" s="28">
        <f t="shared" si="144"/>
        <v>17.043323831486799</v>
      </c>
      <c r="K41" s="28">
        <f t="shared" si="144"/>
        <v>40.097250027592203</v>
      </c>
      <c r="L41" s="28">
        <f t="shared" si="144"/>
        <v>51.208034249631211</v>
      </c>
      <c r="M41" s="28">
        <f t="shared" si="144"/>
        <v>62.003811216807996</v>
      </c>
      <c r="N41" s="28">
        <f t="shared" si="144"/>
        <v>70.966335513757159</v>
      </c>
      <c r="O41" s="28">
        <f t="shared" si="144"/>
        <v>76.521152967946946</v>
      </c>
      <c r="P41" s="28">
        <f t="shared" si="144"/>
        <v>77.439406803562321</v>
      </c>
      <c r="Q41" s="169">
        <f t="shared" si="144"/>
        <v>78.368679685205123</v>
      </c>
      <c r="R41" s="112"/>
      <c r="S41" s="28">
        <f t="shared" ref="S41:AC41" si="145">S38*(1-S40)</f>
        <v>-0.55517970010259232</v>
      </c>
      <c r="T41" s="28">
        <f t="shared" si="145"/>
        <v>9.3875665493360412</v>
      </c>
      <c r="U41" s="28">
        <f t="shared" si="145"/>
        <v>27.679771087922298</v>
      </c>
      <c r="V41" s="28">
        <f t="shared" si="145"/>
        <v>59.744968330379301</v>
      </c>
      <c r="W41" s="28">
        <f t="shared" si="145"/>
        <v>128.23277565959225</v>
      </c>
      <c r="X41" s="28">
        <f t="shared" si="145"/>
        <v>160.28105881808938</v>
      </c>
      <c r="Y41" s="28">
        <f t="shared" si="145"/>
        <v>194.07182209222367</v>
      </c>
      <c r="Z41" s="28">
        <f t="shared" si="145"/>
        <v>222.12450767267447</v>
      </c>
      <c r="AA41" s="28">
        <f t="shared" si="145"/>
        <v>239.51107671686989</v>
      </c>
      <c r="AB41" s="28">
        <f t="shared" si="145"/>
        <v>242.38520963747231</v>
      </c>
      <c r="AC41" s="28">
        <f t="shared" si="145"/>
        <v>245.293832153122</v>
      </c>
      <c r="AD41" s="112"/>
      <c r="AE41" s="137">
        <f t="shared" ref="AE41:AO41" si="146">AE38*(1-AE40)</f>
        <v>-7.5142203846763058</v>
      </c>
      <c r="AF41" s="28">
        <f t="shared" si="146"/>
        <v>-10.120211947744997</v>
      </c>
      <c r="AG41" s="28">
        <f t="shared" si="146"/>
        <v>-13.676658700700413</v>
      </c>
      <c r="AH41" s="28">
        <f t="shared" si="146"/>
        <v>-18.554109080789939</v>
      </c>
      <c r="AI41" s="28">
        <f t="shared" si="146"/>
        <v>-22.203129159607766</v>
      </c>
      <c r="AJ41" s="28">
        <f t="shared" si="146"/>
        <v>-24.871030307125938</v>
      </c>
      <c r="AK41" s="28">
        <f t="shared" si="146"/>
        <v>-30.114389090060669</v>
      </c>
      <c r="AL41" s="28">
        <f t="shared" si="146"/>
        <v>-34.467362538155463</v>
      </c>
      <c r="AM41" s="28">
        <f t="shared" si="146"/>
        <v>-37.165260148913802</v>
      </c>
      <c r="AN41" s="28">
        <f t="shared" si="146"/>
        <v>-37.611243270700726</v>
      </c>
      <c r="AO41" s="28">
        <f t="shared" si="146"/>
        <v>-38.062578189949171</v>
      </c>
    </row>
    <row r="42" spans="2:41" ht="15" thickTop="1">
      <c r="B42" s="147" t="s">
        <v>169</v>
      </c>
      <c r="C42" s="32"/>
      <c r="D42" s="24">
        <v>0</v>
      </c>
      <c r="E42" s="24">
        <v>2.6</v>
      </c>
      <c r="F42" s="82">
        <v>5.5</v>
      </c>
      <c r="G42" s="24">
        <f>(G36/(1-BS!$S$9))*BS!$S$9</f>
        <v>6.1294084513170164</v>
      </c>
      <c r="H42" s="24">
        <f>(H36/(1-BS!$S$9))*BS!$S$9</f>
        <v>8.4476724803289009</v>
      </c>
      <c r="I42" s="24">
        <f>(I36/(1-BS!$S$9))*BS!$S$9</f>
        <v>11.687410721830945</v>
      </c>
      <c r="J42" s="24">
        <f>(J36/(1-BS!$S$9))*BS!$S$9</f>
        <v>16.238749996097248</v>
      </c>
      <c r="K42" s="24">
        <f>(K36/(1-BS!$S$9))*BS!$S$9</f>
        <v>18.547465967857999</v>
      </c>
      <c r="L42" s="24">
        <f>(L36/(1-BS!$S$9))*BS!$S$9</f>
        <v>23.686893038110281</v>
      </c>
      <c r="M42" s="24">
        <f>(M36/(1-BS!$S$9))*BS!$S$9</f>
        <v>28.680609708393408</v>
      </c>
      <c r="N42" s="24">
        <f>(N36/(1-BS!$S$9))*BS!$S$9</f>
        <v>32.826333274707189</v>
      </c>
      <c r="O42" s="24">
        <f>(O36/(1-BS!$S$9))*BS!$S$9</f>
        <v>35.395780995395022</v>
      </c>
      <c r="P42" s="24">
        <f>(P36/(1-BS!$S$9))*BS!$S$9</f>
        <v>35.820530367339778</v>
      </c>
      <c r="Q42" s="164">
        <f>(Q36/(1-BS!$S$9))*BS!$S$9</f>
        <v>36.250376731747849</v>
      </c>
      <c r="R42" s="112"/>
      <c r="S42" s="24">
        <f t="shared" ref="S42:W47" si="147">G42</f>
        <v>6.1294084513170164</v>
      </c>
      <c r="T42" s="24">
        <f t="shared" si="147"/>
        <v>8.4476724803289009</v>
      </c>
      <c r="U42" s="24">
        <f t="shared" si="147"/>
        <v>11.687410721830945</v>
      </c>
      <c r="V42" s="24">
        <f t="shared" si="147"/>
        <v>16.238749996097248</v>
      </c>
      <c r="W42" s="24">
        <f t="shared" si="147"/>
        <v>18.547465967857999</v>
      </c>
      <c r="X42" s="24">
        <f>(X36/(1-BS!$S$9))*BS!$S$9</f>
        <v>28.434161788963277</v>
      </c>
      <c r="Y42" s="24">
        <f>(Y36/(1-BS!$S$9))*BS!$S$9</f>
        <v>34.428706852455555</v>
      </c>
      <c r="Z42" s="24">
        <f>(Z36/(1-BS!$S$9))*BS!$S$9</f>
        <v>39.405306123082745</v>
      </c>
      <c r="AA42" s="24">
        <f>(AA36/(1-BS!$S$9))*BS!$S$9</f>
        <v>42.489716226204891</v>
      </c>
      <c r="AB42" s="24">
        <f>(AB36/(1-BS!$S$9))*BS!$S$9</f>
        <v>42.999592820919347</v>
      </c>
      <c r="AC42" s="24">
        <f>(AC36/(1-BS!$S$9))*BS!$S$9</f>
        <v>43.51558793477038</v>
      </c>
      <c r="AD42" s="112"/>
      <c r="AE42" s="133">
        <f>S42</f>
        <v>6.1294084513170164</v>
      </c>
      <c r="AF42" s="24">
        <f t="shared" ref="AF42:AF47" si="148">T42</f>
        <v>8.4476724803289009</v>
      </c>
      <c r="AG42" s="24">
        <f t="shared" ref="AG42:AG47" si="149">U42</f>
        <v>11.687410721830945</v>
      </c>
      <c r="AH42" s="24">
        <f t="shared" ref="AH42:AH47" si="150">V42</f>
        <v>16.238749996097248</v>
      </c>
      <c r="AI42" s="24">
        <f t="shared" ref="AI42:AI47" si="151">W42</f>
        <v>18.547465967857999</v>
      </c>
      <c r="AJ42" s="24">
        <f>(AJ36/(1-BS!$S$9))*BS!$S$9</f>
        <v>18.939624287257278</v>
      </c>
      <c r="AK42" s="24">
        <f>(AK36/(1-BS!$S$9))*BS!$S$9</f>
        <v>22.932512564331265</v>
      </c>
      <c r="AL42" s="24">
        <f>(AL36/(1-BS!$S$9))*BS!$S$9</f>
        <v>26.247360426331642</v>
      </c>
      <c r="AM42" s="24">
        <f>(AM36/(1-BS!$S$9))*BS!$S$9</f>
        <v>28.301845764585174</v>
      </c>
      <c r="AN42" s="24">
        <f>(AN36/(1-BS!$S$9))*BS!$S$9</f>
        <v>28.641467913760199</v>
      </c>
      <c r="AO42" s="24">
        <f>(AO36/(1-BS!$S$9))*BS!$S$9</f>
        <v>28.985165528725318</v>
      </c>
    </row>
    <row r="43" spans="2:41">
      <c r="B43" s="150" t="s">
        <v>39</v>
      </c>
      <c r="C43" s="42"/>
      <c r="D43" s="42"/>
      <c r="E43" s="30">
        <v>1.6115735776313589E-2</v>
      </c>
      <c r="F43" s="84">
        <v>1.9078607331041591E-2</v>
      </c>
      <c r="G43" s="30">
        <f>G42/G27</f>
        <v>1.5913593748749465E-2</v>
      </c>
      <c r="H43" s="30">
        <f>H42/H27</f>
        <v>1.579810956952394E-2</v>
      </c>
      <c r="I43" s="30">
        <f>I42/I27</f>
        <v>1.5689223163618451E-2</v>
      </c>
      <c r="J43" s="30">
        <f>J42/J27</f>
        <v>1.5586484312351037E-2</v>
      </c>
      <c r="K43" s="30">
        <f>K42/K27</f>
        <v>1.2673211443150277E-2</v>
      </c>
      <c r="L43" s="30"/>
      <c r="M43" s="30"/>
      <c r="N43" s="30"/>
      <c r="O43" s="30"/>
      <c r="P43" s="30"/>
      <c r="Q43" s="170"/>
      <c r="R43" s="117"/>
      <c r="S43" s="30">
        <f t="shared" si="147"/>
        <v>1.5913593748749465E-2</v>
      </c>
      <c r="T43" s="30">
        <f t="shared" si="147"/>
        <v>1.579810956952394E-2</v>
      </c>
      <c r="U43" s="30">
        <f t="shared" si="147"/>
        <v>1.5689223163618451E-2</v>
      </c>
      <c r="V43" s="30">
        <f t="shared" si="147"/>
        <v>1.5586484312351037E-2</v>
      </c>
      <c r="W43" s="30">
        <f t="shared" si="147"/>
        <v>1.2673211443150277E-2</v>
      </c>
      <c r="X43" s="30"/>
      <c r="Y43" s="30"/>
      <c r="Z43" s="30"/>
      <c r="AA43" s="30"/>
      <c r="AB43" s="30"/>
      <c r="AC43" s="30"/>
      <c r="AD43" s="117"/>
      <c r="AE43" s="135">
        <f t="shared" ref="AE43:AE47" si="152">S43</f>
        <v>1.5913593748749465E-2</v>
      </c>
      <c r="AF43" s="30">
        <f t="shared" si="148"/>
        <v>1.579810956952394E-2</v>
      </c>
      <c r="AG43" s="30">
        <f t="shared" si="149"/>
        <v>1.5689223163618451E-2</v>
      </c>
      <c r="AH43" s="30">
        <f t="shared" si="150"/>
        <v>1.5586484312351037E-2</v>
      </c>
      <c r="AI43" s="30">
        <f t="shared" si="151"/>
        <v>1.2673211443150277E-2</v>
      </c>
      <c r="AJ43" s="30"/>
      <c r="AK43" s="30"/>
      <c r="AL43" s="30"/>
      <c r="AM43" s="30"/>
      <c r="AN43" s="30"/>
      <c r="AO43" s="30"/>
    </row>
    <row r="44" spans="2:41">
      <c r="B44" s="147" t="s">
        <v>40</v>
      </c>
      <c r="C44" s="32"/>
      <c r="D44" s="32"/>
      <c r="E44" s="24">
        <v>27.3</v>
      </c>
      <c r="F44" s="82">
        <v>20.779999999999998</v>
      </c>
      <c r="G44" s="24">
        <f t="shared" ref="G44:P44" si="153">G36-F36+G42</f>
        <v>16.729051861705482</v>
      </c>
      <c r="H44" s="24">
        <f t="shared" si="153"/>
        <v>27.577898316943976</v>
      </c>
      <c r="I44" s="24">
        <f t="shared" si="153"/>
        <v>38.421606411296381</v>
      </c>
      <c r="J44" s="24">
        <f t="shared" si="153"/>
        <v>53.79622709368271</v>
      </c>
      <c r="K44" s="37">
        <f t="shared" si="153"/>
        <v>37.598901602309226</v>
      </c>
      <c r="L44" s="37">
        <f t="shared" si="153"/>
        <v>66.097248068570494</v>
      </c>
      <c r="M44" s="37">
        <f t="shared" si="153"/>
        <v>69.888568107896276</v>
      </c>
      <c r="N44" s="37">
        <f t="shared" si="153"/>
        <v>67.036685110068959</v>
      </c>
      <c r="O44" s="37">
        <f t="shared" si="153"/>
        <v>56.598765020077131</v>
      </c>
      <c r="P44" s="37">
        <f t="shared" si="153"/>
        <v>39.325545890842044</v>
      </c>
      <c r="Q44" s="176">
        <f>AVERAGE(L44:P44)</f>
        <v>59.789362439490972</v>
      </c>
      <c r="R44" s="121"/>
      <c r="S44" s="24">
        <f t="shared" si="147"/>
        <v>16.729051861705482</v>
      </c>
      <c r="T44" s="24">
        <f t="shared" si="147"/>
        <v>27.577898316943976</v>
      </c>
      <c r="U44" s="24">
        <f t="shared" si="147"/>
        <v>38.421606411296381</v>
      </c>
      <c r="V44" s="24">
        <f t="shared" si="147"/>
        <v>53.79622709368271</v>
      </c>
      <c r="W44" s="24">
        <f t="shared" si="147"/>
        <v>37.598901602309226</v>
      </c>
      <c r="X44" s="37">
        <f>X36-W36+X42</f>
        <v>79.344295698179593</v>
      </c>
      <c r="Y44" s="37">
        <f>Y36-X36+Y42</f>
        <v>83.895462760000811</v>
      </c>
      <c r="Z44" s="37">
        <f>Z36-Y36+Z42</f>
        <v>80.472012397264365</v>
      </c>
      <c r="AA44" s="37">
        <f>AA36-Z36+AA42</f>
        <v>67.942150076293089</v>
      </c>
      <c r="AB44" s="37">
        <f>AB36-AA36+AB42</f>
        <v>47.207074921156774</v>
      </c>
      <c r="AC44" s="176">
        <f>AVERAGE(X44:AB44)</f>
        <v>71.772199170578929</v>
      </c>
      <c r="AD44" s="121"/>
      <c r="AE44" s="142">
        <f>AE36-F36+AE42</f>
        <v>14.808648060524927</v>
      </c>
      <c r="AF44" s="37">
        <f t="shared" ref="AF44:AN44" si="154">AF36-AE36+AF42</f>
        <v>24.135521828056628</v>
      </c>
      <c r="AG44" s="37">
        <f t="shared" si="154"/>
        <v>32.503175218609243</v>
      </c>
      <c r="AH44" s="37">
        <f t="shared" si="154"/>
        <v>43.886875663436122</v>
      </c>
      <c r="AI44" s="37">
        <f t="shared" si="154"/>
        <v>28.114963771727229</v>
      </c>
      <c r="AJ44" s="37">
        <f t="shared" si="154"/>
        <v>52.850200438961323</v>
      </c>
      <c r="AK44" s="37">
        <f t="shared" si="154"/>
        <v>55.881673455791883</v>
      </c>
      <c r="AL44" s="37">
        <f t="shared" si="154"/>
        <v>53.601357822873538</v>
      </c>
      <c r="AM44" s="37">
        <f t="shared" si="154"/>
        <v>45.25537996386128</v>
      </c>
      <c r="AN44" s="37">
        <f t="shared" si="154"/>
        <v>31.444016860527046</v>
      </c>
      <c r="AO44" s="176">
        <f>AVERAGE(AJ44:AN44)</f>
        <v>47.806525708403015</v>
      </c>
    </row>
    <row r="45" spans="2:41">
      <c r="B45" s="150" t="s">
        <v>41</v>
      </c>
      <c r="C45" s="42"/>
      <c r="D45" s="42"/>
      <c r="E45" s="30">
        <v>0.16921522565129268</v>
      </c>
      <c r="F45" s="84">
        <v>7.2082447334371677E-2</v>
      </c>
      <c r="G45" s="30">
        <f>G44/G27</f>
        <v>4.3433120380766903E-2</v>
      </c>
      <c r="H45" s="30">
        <f>H44/H27</f>
        <v>5.157381045758868E-2</v>
      </c>
      <c r="I45" s="30">
        <f>I44/I27</f>
        <v>5.157730584119552E-2</v>
      </c>
      <c r="J45" s="30">
        <f>J44/J27</f>
        <v>5.1635381409337509E-2</v>
      </c>
      <c r="K45" s="30">
        <f>K44/K27</f>
        <v>2.5690777967298583E-2</v>
      </c>
      <c r="L45" s="30"/>
      <c r="M45" s="30"/>
      <c r="N45" s="30"/>
      <c r="O45" s="30"/>
      <c r="P45" s="30"/>
      <c r="Q45" s="170"/>
      <c r="R45" s="117"/>
      <c r="S45" s="30">
        <f t="shared" si="147"/>
        <v>4.3433120380766903E-2</v>
      </c>
      <c r="T45" s="30">
        <f t="shared" si="147"/>
        <v>5.157381045758868E-2</v>
      </c>
      <c r="U45" s="30">
        <f t="shared" si="147"/>
        <v>5.157730584119552E-2</v>
      </c>
      <c r="V45" s="30">
        <f t="shared" si="147"/>
        <v>5.1635381409337509E-2</v>
      </c>
      <c r="W45" s="30">
        <f t="shared" si="147"/>
        <v>2.5690777967298583E-2</v>
      </c>
      <c r="X45" s="30"/>
      <c r="Y45" s="30"/>
      <c r="Z45" s="30"/>
      <c r="AA45" s="30"/>
      <c r="AB45" s="30"/>
      <c r="AC45" s="30"/>
      <c r="AD45" s="117"/>
      <c r="AE45" s="135">
        <f t="shared" si="152"/>
        <v>4.3433120380766903E-2</v>
      </c>
      <c r="AF45" s="30">
        <f t="shared" si="148"/>
        <v>5.157381045758868E-2</v>
      </c>
      <c r="AG45" s="30">
        <f t="shared" si="149"/>
        <v>5.157730584119552E-2</v>
      </c>
      <c r="AH45" s="30">
        <f t="shared" si="150"/>
        <v>5.1635381409337509E-2</v>
      </c>
      <c r="AI45" s="30">
        <f t="shared" si="151"/>
        <v>2.5690777967298583E-2</v>
      </c>
      <c r="AJ45" s="30"/>
      <c r="AK45" s="30"/>
      <c r="AL45" s="30"/>
      <c r="AM45" s="30"/>
      <c r="AN45" s="30"/>
      <c r="AO45" s="30"/>
    </row>
    <row r="46" spans="2:41">
      <c r="B46" s="147" t="s">
        <v>1</v>
      </c>
      <c r="C46" s="42"/>
      <c r="D46" s="43">
        <v>-6.3159639866977111</v>
      </c>
      <c r="E46" s="43">
        <v>-13.688453100089843</v>
      </c>
      <c r="F46" s="86">
        <v>-23.121850503118964</v>
      </c>
      <c r="G46" s="43">
        <f>(G27-G29)*BS!$T$18</f>
        <v>-30.648633564465253</v>
      </c>
      <c r="H46" s="43">
        <f>(H27-H29)*BS!$T$18</f>
        <v>-42.203869548430902</v>
      </c>
      <c r="I46" s="43">
        <f>(I27-I29)*BS!$T$18</f>
        <v>-58.304024913014544</v>
      </c>
      <c r="J46" s="43">
        <f>(J27-J29)*BS!$T$18</f>
        <v>-80.843610671205923</v>
      </c>
      <c r="K46" s="43">
        <f>(K27-K29)*BS!$T$18</f>
        <v>-112.56238145022364</v>
      </c>
      <c r="L46" s="43">
        <f>(L27-L29)*BS!$T$18</f>
        <v>-143.75295763566427</v>
      </c>
      <c r="M46" s="43">
        <f>(M27-M29)*BS!$T$18</f>
        <v>-174.0592346046505</v>
      </c>
      <c r="N46" s="43">
        <f>(N27-N29)*BS!$T$18</f>
        <v>-199.21914153033424</v>
      </c>
      <c r="O46" s="43">
        <f>(O27-O29)*BS!$T$18</f>
        <v>-214.81281642660764</v>
      </c>
      <c r="P46" s="43">
        <f>(P27-P29)*BS!$T$18</f>
        <v>-217.39057022372694</v>
      </c>
      <c r="Q46" s="177">
        <f>(Q27-Q29)*BS!$T$18</f>
        <v>-219.99925706641167</v>
      </c>
      <c r="R46" s="123"/>
      <c r="S46" s="43">
        <f t="shared" si="147"/>
        <v>-30.648633564465253</v>
      </c>
      <c r="T46" s="43">
        <f t="shared" si="147"/>
        <v>-42.203869548430902</v>
      </c>
      <c r="U46" s="43">
        <f t="shared" si="147"/>
        <v>-58.304024913014544</v>
      </c>
      <c r="V46" s="43">
        <f t="shared" si="147"/>
        <v>-80.843610671205923</v>
      </c>
      <c r="W46" s="43">
        <f t="shared" si="147"/>
        <v>-112.56238145022364</v>
      </c>
      <c r="X46" s="43">
        <f>(X27-X29)*BS!$T$18</f>
        <v>-164.95047254184433</v>
      </c>
      <c r="Y46" s="43">
        <f>(Y27-Y29)*BS!$T$18</f>
        <v>-199.72565066157478</v>
      </c>
      <c r="Z46" s="43">
        <f>(Z27-Z29)*BS!$T$18</f>
        <v>-228.59558561636507</v>
      </c>
      <c r="AA46" s="43">
        <f>(AA27-AA29)*BS!$T$18</f>
        <v>-246.48867167949345</v>
      </c>
      <c r="AB46" s="43">
        <f>(AB27-AB29)*BS!$T$18</f>
        <v>-249.44653573964735</v>
      </c>
      <c r="AC46" s="43">
        <f>(AC27-AC29)*BS!$T$18</f>
        <v>-252.43989416852313</v>
      </c>
      <c r="AD46" s="123"/>
      <c r="AE46" s="139">
        <f>(AE27-AE29)*BS!$T$18</f>
        <v>-30.722948328232967</v>
      </c>
      <c r="AF46" s="43">
        <f>(AF27-AF29)*BS!$T$18</f>
        <v>-40.638176866245523</v>
      </c>
      <c r="AG46" s="43">
        <f>(AG27-AG29)*BS!$T$18</f>
        <v>-53.797632474921166</v>
      </c>
      <c r="AH46" s="43">
        <f>(AH27-AH29)*BS!$T$18</f>
        <v>-71.28068810459969</v>
      </c>
      <c r="AI46" s="43">
        <f>(AI27-AI29)*BS!$T$18</f>
        <v>-93.97362270588026</v>
      </c>
      <c r="AJ46" s="43">
        <f>(AJ27-AJ29)*BS!$T$18</f>
        <v>-120.01332976134776</v>
      </c>
      <c r="AK46" s="43">
        <f>(AK27-AK29)*BS!$T$18</f>
        <v>-145.31477239973785</v>
      </c>
      <c r="AL46" s="43">
        <f>(AL27-AL29)*BS!$T$18</f>
        <v>-166.31972601112548</v>
      </c>
      <c r="AM46" s="43">
        <f>(AM27-AM29)*BS!$T$18</f>
        <v>-179.33823274864122</v>
      </c>
      <c r="AN46" s="43">
        <f>(AN27-AN29)*BS!$T$18</f>
        <v>-181.49029154162491</v>
      </c>
      <c r="AO46" s="43">
        <f>(AO27-AO29)*BS!$T$18</f>
        <v>-183.6681750401244</v>
      </c>
    </row>
    <row r="47" spans="2:41">
      <c r="B47" s="147" t="s">
        <v>42</v>
      </c>
      <c r="C47" s="32"/>
      <c r="D47" s="32"/>
      <c r="E47" s="24">
        <v>-7.372489113392132</v>
      </c>
      <c r="F47" s="82">
        <v>-9.4333974030291206</v>
      </c>
      <c r="G47" s="24">
        <f t="shared" ref="G47:K47" si="155">G46-F46</f>
        <v>-7.5267830613462898</v>
      </c>
      <c r="H47" s="24">
        <f t="shared" si="155"/>
        <v>-11.555235983965648</v>
      </c>
      <c r="I47" s="24">
        <f t="shared" si="155"/>
        <v>-16.100155364583642</v>
      </c>
      <c r="J47" s="24">
        <f t="shared" si="155"/>
        <v>-22.539585758191379</v>
      </c>
      <c r="K47" s="24">
        <f t="shared" si="155"/>
        <v>-31.718770779017717</v>
      </c>
      <c r="L47" s="24">
        <f t="shared" ref="L47" si="156">L46-K46</f>
        <v>-31.190576185440634</v>
      </c>
      <c r="M47" s="24">
        <f t="shared" ref="M47" si="157">M46-L46</f>
        <v>-30.306276968986225</v>
      </c>
      <c r="N47" s="24">
        <f t="shared" ref="N47" si="158">N46-M46</f>
        <v>-25.159906925683742</v>
      </c>
      <c r="O47" s="24">
        <f t="shared" ref="O47" si="159">O46-N46</f>
        <v>-15.593674896273399</v>
      </c>
      <c r="P47" s="24">
        <f t="shared" ref="P47" si="160">P46-O46</f>
        <v>-2.5777537971192999</v>
      </c>
      <c r="Q47" s="164">
        <f t="shared" ref="Q47" si="161">Q46-P46</f>
        <v>-2.6086868426847332</v>
      </c>
      <c r="R47" s="112"/>
      <c r="S47" s="24">
        <f t="shared" si="147"/>
        <v>-7.5267830613462898</v>
      </c>
      <c r="T47" s="24">
        <f t="shared" si="147"/>
        <v>-11.555235983965648</v>
      </c>
      <c r="U47" s="24">
        <f t="shared" si="147"/>
        <v>-16.100155364583642</v>
      </c>
      <c r="V47" s="24">
        <f t="shared" si="147"/>
        <v>-22.539585758191379</v>
      </c>
      <c r="W47" s="24">
        <f t="shared" si="147"/>
        <v>-31.718770779017717</v>
      </c>
      <c r="X47" s="24">
        <f t="shared" ref="X47" si="162">X46-W46</f>
        <v>-52.388091091620694</v>
      </c>
      <c r="Y47" s="24">
        <f t="shared" ref="Y47" si="163">Y46-X46</f>
        <v>-34.775178119730441</v>
      </c>
      <c r="Z47" s="24">
        <f t="shared" ref="Z47" si="164">Z46-Y46</f>
        <v>-28.869934954790295</v>
      </c>
      <c r="AA47" s="24">
        <f t="shared" ref="AA47" si="165">AA46-Z46</f>
        <v>-17.893086063128379</v>
      </c>
      <c r="AB47" s="24">
        <f t="shared" ref="AB47" si="166">AB46-AA46</f>
        <v>-2.957864060153895</v>
      </c>
      <c r="AC47" s="24">
        <f t="shared" ref="AC47" si="167">AC46-AB46</f>
        <v>-2.99335842887578</v>
      </c>
      <c r="AD47" s="112"/>
      <c r="AE47" s="133">
        <f t="shared" si="152"/>
        <v>-7.5267830613462898</v>
      </c>
      <c r="AF47" s="24">
        <f t="shared" si="148"/>
        <v>-11.555235983965648</v>
      </c>
      <c r="AG47" s="24">
        <f t="shared" si="149"/>
        <v>-16.100155364583642</v>
      </c>
      <c r="AH47" s="24">
        <f t="shared" si="150"/>
        <v>-22.539585758191379</v>
      </c>
      <c r="AI47" s="24">
        <f t="shared" si="151"/>
        <v>-31.718770779017717</v>
      </c>
      <c r="AJ47" s="24">
        <f t="shared" ref="AJ47" si="168">AJ46-AI46</f>
        <v>-26.039707055467503</v>
      </c>
      <c r="AK47" s="24">
        <f t="shared" ref="AK47" si="169">AK46-AJ46</f>
        <v>-25.301442638390085</v>
      </c>
      <c r="AL47" s="24">
        <f t="shared" ref="AL47" si="170">AL46-AK46</f>
        <v>-21.004953611387634</v>
      </c>
      <c r="AM47" s="24">
        <f t="shared" ref="AM47" si="171">AM46-AL46</f>
        <v>-13.018506737515736</v>
      </c>
      <c r="AN47" s="24">
        <f t="shared" ref="AN47" si="172">AN46-AM46</f>
        <v>-2.152058792983695</v>
      </c>
      <c r="AO47" s="24">
        <f t="shared" ref="AO47" si="173">AO46-AN46</f>
        <v>-2.177883498499483</v>
      </c>
    </row>
    <row r="48" spans="2:41" ht="15" thickBot="1">
      <c r="B48" s="151" t="s">
        <v>43</v>
      </c>
      <c r="C48" s="27"/>
      <c r="D48" s="27">
        <v>-1</v>
      </c>
      <c r="E48" s="28">
        <v>-40.527510886607871</v>
      </c>
      <c r="F48" s="89">
        <v>-19.991602596970914</v>
      </c>
      <c r="G48" s="28">
        <f t="shared" ref="G48:Q48" si="174">G41+(G42*G40)-G44-G47</f>
        <v>-11.692437011626076</v>
      </c>
      <c r="H48" s="28">
        <f t="shared" si="174"/>
        <v>-14.65869747319131</v>
      </c>
      <c r="I48" s="28">
        <f t="shared" si="174"/>
        <v>-13.725397257972904</v>
      </c>
      <c r="J48" s="28">
        <f t="shared" si="174"/>
        <v>-9.8938100050426669</v>
      </c>
      <c r="K48" s="28">
        <f t="shared" si="174"/>
        <v>39.150745151750925</v>
      </c>
      <c r="L48" s="28">
        <f t="shared" si="174"/>
        <v>22.602075914638689</v>
      </c>
      <c r="M48" s="28">
        <f t="shared" si="174"/>
        <v>30.050562260330594</v>
      </c>
      <c r="N48" s="28">
        <f t="shared" si="174"/>
        <v>37.821361980444053</v>
      </c>
      <c r="O48" s="28">
        <f t="shared" si="174"/>
        <v>44.931340588918296</v>
      </c>
      <c r="P48" s="28">
        <f t="shared" si="174"/>
        <v>50.219875787551963</v>
      </c>
      <c r="Q48" s="169">
        <f t="shared" si="174"/>
        <v>30.830604299043813</v>
      </c>
      <c r="R48" s="112"/>
      <c r="S48" s="28">
        <f t="shared" ref="S48:AC48" si="175">S41+(S42*S40)-S44-S47</f>
        <v>-8.1270258524114585</v>
      </c>
      <c r="T48" s="28">
        <f t="shared" si="175"/>
        <v>-4.3880149038747991</v>
      </c>
      <c r="U48" s="28">
        <f t="shared" si="175"/>
        <v>8.467171293216591</v>
      </c>
      <c r="V48" s="28">
        <f t="shared" si="175"/>
        <v>32.807834493849832</v>
      </c>
      <c r="W48" s="28">
        <f t="shared" si="175"/>
        <v>127.28627078375096</v>
      </c>
      <c r="X48" s="28">
        <f t="shared" si="175"/>
        <v>140.88834124739469</v>
      </c>
      <c r="Y48" s="28">
        <f t="shared" si="175"/>
        <v>154.10957347470648</v>
      </c>
      <c r="Z48" s="28">
        <f t="shared" si="175"/>
        <v>181.0042416589404</v>
      </c>
      <c r="AA48" s="28">
        <f t="shared" si="175"/>
        <v>200.76427721987571</v>
      </c>
      <c r="AB48" s="28">
        <f t="shared" si="175"/>
        <v>209.57389046683397</v>
      </c>
      <c r="AC48" s="28">
        <f t="shared" si="175"/>
        <v>188.0901378020678</v>
      </c>
      <c r="AD48" s="112"/>
      <c r="AE48" s="137">
        <f t="shared" ref="AE48:AO48" si="176">AE41+(AE42*AE40)-AE44-AE47</f>
        <v>-13.165662735804617</v>
      </c>
      <c r="AF48" s="28">
        <f t="shared" si="176"/>
        <v>-20.453416912068487</v>
      </c>
      <c r="AG48" s="28">
        <f t="shared" si="176"/>
        <v>-26.97082730271898</v>
      </c>
      <c r="AH48" s="28">
        <f t="shared" si="176"/>
        <v>-35.581891487072809</v>
      </c>
      <c r="AI48" s="28">
        <f t="shared" si="176"/>
        <v>-13.665696204867047</v>
      </c>
      <c r="AJ48" s="28">
        <f t="shared" si="176"/>
        <v>-46.643583630209321</v>
      </c>
      <c r="AK48" s="28">
        <f t="shared" si="176"/>
        <v>-54.59457156535035</v>
      </c>
      <c r="AL48" s="28">
        <f t="shared" si="176"/>
        <v>-60.081968876237141</v>
      </c>
      <c r="AM48" s="28">
        <f t="shared" si="176"/>
        <v>-61.873842401879685</v>
      </c>
      <c r="AN48" s="28">
        <f t="shared" si="176"/>
        <v>-59.284570873183867</v>
      </c>
      <c r="AO48" s="28">
        <f t="shared" si="176"/>
        <v>-75.981166369211763</v>
      </c>
    </row>
    <row r="49" spans="2:41" ht="15.5" thickTop="1" thickBot="1">
      <c r="B49" s="178" t="s">
        <v>137</v>
      </c>
      <c r="C49" s="179"/>
      <c r="D49" s="180"/>
      <c r="E49" s="181"/>
      <c r="F49" s="182"/>
      <c r="G49" s="181">
        <f>G48/(1+$E$54)^1</f>
        <v>-11.081310052531203</v>
      </c>
      <c r="H49" s="181">
        <f>H48/(1+$E$54)^2</f>
        <v>-13.166414309103095</v>
      </c>
      <c r="I49" s="181">
        <f>I48/(1+$E$54)^3</f>
        <v>-11.683773406604553</v>
      </c>
      <c r="J49" s="181">
        <f>J48/(1+$E$54)^4</f>
        <v>-7.981928555865947</v>
      </c>
      <c r="K49" s="181">
        <f>K48/(1+$E$54)^5</f>
        <v>29.934387059483875</v>
      </c>
      <c r="L49" s="181">
        <f>(L48+J54)/(1+$E$54)^6</f>
        <v>16.37814585293663</v>
      </c>
      <c r="M49" s="181">
        <f>(M48+K54)/(1+$E$54)^7</f>
        <v>20.63740441789059</v>
      </c>
      <c r="N49" s="181">
        <f>(N48+L54)/(1+$E$54)^8</f>
        <v>24.6164659718028</v>
      </c>
      <c r="O49" s="181">
        <f>(O48+M54)/(1+$E$54)^9</f>
        <v>27.715580811279139</v>
      </c>
      <c r="P49" s="181">
        <f>(P48+N54)/(1+$E$54)^10</f>
        <v>29.358665398370814</v>
      </c>
      <c r="Q49" s="183">
        <f>Q48/(E54-E8)</f>
        <v>559.03847843761753</v>
      </c>
      <c r="R49" s="112"/>
      <c r="S49" s="144">
        <f>S48/(1+$E$54)^1</f>
        <v>-7.7022517363968781</v>
      </c>
      <c r="T49" s="144">
        <f>T48/(1+$E$54)^2</f>
        <v>-3.9413066764353424</v>
      </c>
      <c r="U49" s="144">
        <f>U48/(1+$E$54)^3</f>
        <v>7.2076974476919569</v>
      </c>
      <c r="V49" s="144">
        <f>V48/(1+$E$54)^4</f>
        <v>26.468043238056346</v>
      </c>
      <c r="W49" s="144">
        <f>W48/(1+$E$54)^5</f>
        <v>97.322196096915704</v>
      </c>
      <c r="X49" s="144">
        <f>(X48+V54)/(1+$E$54)^6</f>
        <v>102.09194105191222</v>
      </c>
      <c r="Y49" s="144">
        <f>(Y48+W54)/(1+$E$54)^7</f>
        <v>105.83567671426169</v>
      </c>
      <c r="Z49" s="144">
        <f>(Z48+X54)/(1+$E$54)^8</f>
        <v>117.80868065653313</v>
      </c>
      <c r="AA49" s="144">
        <f>(AA48+Y54)/(1+$E$54)^9</f>
        <v>123.84002961794269</v>
      </c>
      <c r="AB49" s="144">
        <f>(AB48+Z54)/(1+$E$54)^10</f>
        <v>122.51742223495692</v>
      </c>
      <c r="AC49" s="144">
        <f>Q48/(E54-Q8)</f>
        <v>714.5092553597392</v>
      </c>
      <c r="AD49" s="112"/>
      <c r="AE49" s="145">
        <f>AE48/(1+$E$54)^1</f>
        <v>-12.477534895201265</v>
      </c>
      <c r="AF49" s="144">
        <f>AF48/(1+$E$54)^2</f>
        <v>-18.371220334795648</v>
      </c>
      <c r="AG49" s="144">
        <f>AG48/(1+$E$54)^3</f>
        <v>-22.958973709164034</v>
      </c>
      <c r="AH49" s="144">
        <f>AH48/(1+$E$54)^4</f>
        <v>-28.706041008229882</v>
      </c>
      <c r="AI49" s="144">
        <f>(AI48+AG54)/(1+$E$54)^5</f>
        <v>-10.448696137154242</v>
      </c>
      <c r="AJ49" s="144">
        <f>(AJ48+AH54)/(1+$E$54)^6</f>
        <v>-33.799347399963267</v>
      </c>
      <c r="AK49" s="144">
        <f>(AK48+AI54)/(1+$E$54)^7</f>
        <v>-37.493150466037577</v>
      </c>
      <c r="AL49" s="144">
        <f>(AL48+AJ54)/(1+$E$54)^8</f>
        <v>-39.105036543251465</v>
      </c>
      <c r="AM49" s="144">
        <f>(AM48+AK54)/(1+$E$54)^9</f>
        <v>-38.166443660855187</v>
      </c>
      <c r="AN49" s="144">
        <f>(AN48+AL54)/(1+$E$54)^10</f>
        <v>-34.657908890790772</v>
      </c>
      <c r="AO49" s="144">
        <f>AO48/(E54-AC8)</f>
        <v>-1760.8881771257948</v>
      </c>
    </row>
    <row r="50" spans="2:41" ht="15" thickBot="1">
      <c r="B50" s="153" t="s">
        <v>138</v>
      </c>
      <c r="E50" s="89">
        <f>SUM(G49:P49)+Q49/(1+$E$54)^10</f>
        <v>431.54252043561758</v>
      </c>
      <c r="H50" s="32"/>
      <c r="I50" s="32"/>
      <c r="J50" s="32"/>
      <c r="K50" s="32"/>
      <c r="L50" s="32"/>
      <c r="M50" s="32"/>
      <c r="N50" s="32"/>
      <c r="O50" s="32"/>
      <c r="P50" s="32"/>
      <c r="Q50" s="32"/>
      <c r="S50" s="89">
        <f>SUM(S49:AB49)+AC49/(1+$E$54)^10</f>
        <v>1109.1520321932298</v>
      </c>
      <c r="T50" s="32"/>
      <c r="U50" s="32"/>
      <c r="V50" s="32"/>
      <c r="W50" s="32"/>
      <c r="X50" s="32"/>
      <c r="Y50" s="32"/>
      <c r="Z50" s="32"/>
      <c r="AA50" s="32"/>
      <c r="AB50" s="32"/>
      <c r="AC50" s="32"/>
      <c r="AE50" s="143">
        <f>SUM(AE49:AN49)+AO49/(1+$E$54)^10</f>
        <v>-1305.6039998578231</v>
      </c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2:41" ht="15" thickTop="1">
      <c r="B51" s="147" t="s">
        <v>139</v>
      </c>
      <c r="E51" s="82">
        <f>E50-E56</f>
        <v>362.6425204356176</v>
      </c>
      <c r="H51" s="32"/>
      <c r="I51" s="32"/>
      <c r="J51" s="32"/>
      <c r="K51" s="32"/>
      <c r="L51" s="32"/>
      <c r="M51" s="32"/>
      <c r="N51" s="32"/>
      <c r="O51" s="32"/>
      <c r="P51" s="32"/>
      <c r="Q51" s="32"/>
      <c r="S51" s="82">
        <f>S50-O56</f>
        <v>1109.1520321932298</v>
      </c>
      <c r="T51" s="32"/>
      <c r="U51" s="32"/>
      <c r="V51" s="32"/>
      <c r="W51" s="32"/>
      <c r="X51" s="32"/>
      <c r="Y51" s="32"/>
      <c r="Z51" s="32"/>
      <c r="AA51" s="32"/>
      <c r="AB51" s="32"/>
      <c r="AC51" s="32"/>
      <c r="AE51" s="131">
        <f>AE50-AA56</f>
        <v>-1305.6039998578231</v>
      </c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2:41" ht="15" thickBot="1">
      <c r="B52" s="154" t="s">
        <v>140</v>
      </c>
      <c r="E52" s="89">
        <f>E51/59.1</f>
        <v>6.1360832561018208</v>
      </c>
      <c r="H52" s="32"/>
      <c r="I52" s="32"/>
      <c r="J52" s="32"/>
      <c r="K52" s="32"/>
      <c r="L52" s="32"/>
      <c r="M52" s="32"/>
      <c r="N52" s="32"/>
      <c r="O52" s="32"/>
      <c r="P52" s="32"/>
      <c r="Q52" s="32"/>
      <c r="S52" s="89">
        <f>S51/59.1</f>
        <v>18.767377871289845</v>
      </c>
      <c r="T52" s="32"/>
      <c r="U52" s="32"/>
      <c r="V52" s="32"/>
      <c r="W52" s="32"/>
      <c r="X52" s="32"/>
      <c r="Y52" s="32"/>
      <c r="Z52" s="32"/>
      <c r="AA52" s="32"/>
      <c r="AB52" s="32"/>
      <c r="AC52" s="32"/>
      <c r="AE52" s="130">
        <f>AE51/59.1</f>
        <v>-22.091438237865027</v>
      </c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2:41" ht="15" thickBot="1">
      <c r="F53" s="4"/>
      <c r="G53" s="4"/>
      <c r="H53" s="4"/>
      <c r="I53" s="4"/>
      <c r="S53" s="32"/>
      <c r="T53" s="37"/>
      <c r="U53" s="128"/>
      <c r="V53" s="32"/>
      <c r="W53" s="32"/>
      <c r="X53" s="32"/>
      <c r="Y53" s="32"/>
      <c r="Z53" s="32"/>
      <c r="AA53" s="32"/>
      <c r="AB53" s="32"/>
      <c r="AC53" s="32"/>
      <c r="AE53" s="32"/>
      <c r="AF53" s="129"/>
      <c r="AG53" s="129"/>
      <c r="AH53" s="129"/>
      <c r="AI53" s="32"/>
      <c r="AJ53" s="129"/>
      <c r="AK53" s="129"/>
      <c r="AL53" s="129"/>
      <c r="AM53" s="129"/>
      <c r="AN53" s="129"/>
      <c r="AO53" s="129"/>
    </row>
    <row r="54" spans="2:41" ht="15" thickBot="1">
      <c r="B54" s="72" t="s">
        <v>134</v>
      </c>
      <c r="E54" s="76">
        <f>(E57*E59)+(E58*(1-E61)*E60)</f>
        <v>5.5149342108271646E-2</v>
      </c>
      <c r="S54" s="32"/>
      <c r="T54" s="37"/>
      <c r="U54" s="128"/>
      <c r="V54" s="129"/>
      <c r="W54" s="32"/>
      <c r="X54" s="32"/>
      <c r="Y54" s="32"/>
      <c r="Z54" s="32"/>
      <c r="AA54" s="32"/>
      <c r="AB54" s="32"/>
      <c r="AC54" s="32"/>
      <c r="AE54" s="32"/>
      <c r="AF54" s="129"/>
      <c r="AG54" s="129"/>
      <c r="AH54" s="129"/>
      <c r="AI54" s="32"/>
      <c r="AJ54" s="129"/>
      <c r="AK54" s="129"/>
      <c r="AL54" s="129"/>
      <c r="AM54" s="129"/>
      <c r="AN54" s="129"/>
      <c r="AO54" s="129"/>
    </row>
    <row r="55" spans="2:41">
      <c r="B55" s="35" t="s">
        <v>127</v>
      </c>
      <c r="E55" s="66">
        <v>466.42699199999998</v>
      </c>
      <c r="J55" s="37"/>
      <c r="S55"/>
      <c r="T55"/>
      <c r="U55"/>
      <c r="V55"/>
      <c r="AE55" s="32"/>
      <c r="AF55"/>
      <c r="AG55"/>
      <c r="AH55"/>
      <c r="AI55" s="32"/>
    </row>
    <row r="56" spans="2:41">
      <c r="B56" s="35" t="s">
        <v>128</v>
      </c>
      <c r="E56" s="36">
        <f>BS!F32+BS!F33+BS!F34+BS!F27+BS!F28+BS!F25</f>
        <v>68.899999999999991</v>
      </c>
      <c r="J56" s="32"/>
      <c r="S56"/>
      <c r="T56"/>
      <c r="U56"/>
      <c r="V56"/>
      <c r="AE56" s="32"/>
      <c r="AF56"/>
      <c r="AG56"/>
      <c r="AH56"/>
      <c r="AI56" s="32"/>
    </row>
    <row r="57" spans="2:41">
      <c r="B57" s="35" t="s">
        <v>129</v>
      </c>
      <c r="E57" s="38">
        <f>E55/(E55+E56)</f>
        <v>0.8712936186113327</v>
      </c>
      <c r="J57" s="25"/>
      <c r="S57"/>
      <c r="T57"/>
      <c r="U57"/>
      <c r="V57"/>
      <c r="AE57"/>
      <c r="AF57"/>
      <c r="AG57"/>
      <c r="AH57"/>
    </row>
    <row r="58" spans="2:41">
      <c r="B58" s="35" t="s">
        <v>130</v>
      </c>
      <c r="E58" s="77">
        <f>1-E57</f>
        <v>0.1287063813886673</v>
      </c>
      <c r="J58" s="73"/>
      <c r="S58"/>
      <c r="T58"/>
      <c r="U58"/>
      <c r="V58"/>
      <c r="AE58"/>
      <c r="AF58"/>
      <c r="AG58"/>
      <c r="AH58"/>
    </row>
    <row r="59" spans="2:41">
      <c r="B59" s="35" t="s">
        <v>131</v>
      </c>
      <c r="E59" s="78">
        <f>BS!S33*BS!S35+BS!S34</f>
        <v>5.7299999999999997E-2</v>
      </c>
      <c r="J59" s="75"/>
      <c r="S59"/>
      <c r="T59"/>
      <c r="U59"/>
      <c r="V59"/>
      <c r="AE59"/>
      <c r="AF59"/>
      <c r="AG59"/>
      <c r="AH59"/>
    </row>
    <row r="60" spans="2:41">
      <c r="B60" s="35" t="s">
        <v>132</v>
      </c>
      <c r="E60" s="79">
        <v>5.5300000000000002E-2</v>
      </c>
      <c r="J60" s="74"/>
      <c r="S60"/>
      <c r="T60"/>
      <c r="U60"/>
      <c r="V60"/>
      <c r="AE60"/>
      <c r="AF60"/>
      <c r="AG60"/>
      <c r="AH60"/>
    </row>
    <row r="61" spans="2:41" ht="15" thickBot="1">
      <c r="B61" s="44" t="s">
        <v>133</v>
      </c>
      <c r="E61" s="80">
        <f>BS!S26</f>
        <v>0.26600000000000001</v>
      </c>
      <c r="J61" s="74"/>
      <c r="S61"/>
      <c r="T61"/>
      <c r="U61"/>
      <c r="V61"/>
      <c r="AE61"/>
      <c r="AF61"/>
      <c r="AG61"/>
      <c r="AH61"/>
    </row>
    <row r="62" spans="2:41">
      <c r="S62"/>
      <c r="T62"/>
      <c r="U62"/>
      <c r="V62"/>
      <c r="AE62"/>
      <c r="AF62"/>
      <c r="AG62"/>
      <c r="AH62"/>
    </row>
    <row r="63" spans="2:41">
      <c r="S63"/>
      <c r="T63"/>
      <c r="U63"/>
      <c r="V63"/>
      <c r="AE63"/>
      <c r="AF63"/>
      <c r="AG63"/>
      <c r="AH63"/>
    </row>
    <row r="64" spans="2:41">
      <c r="S64"/>
      <c r="T64"/>
      <c r="U64"/>
      <c r="V64"/>
      <c r="AE64"/>
      <c r="AF64"/>
      <c r="AG64"/>
      <c r="AH64"/>
    </row>
  </sheetData>
  <mergeCells count="3">
    <mergeCell ref="AE1:AO1"/>
    <mergeCell ref="S1:AC1"/>
    <mergeCell ref="G1:Q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30235-FE65-446D-A009-03B1B88FDF2C}">
  <dimension ref="A1:AO63"/>
  <sheetViews>
    <sheetView showGridLines="0" topLeftCell="A10" zoomScale="60" zoomScaleNormal="60" workbookViewId="0">
      <selection activeCell="A63" sqref="A63:XFD73"/>
    </sheetView>
  </sheetViews>
  <sheetFormatPr defaultRowHeight="14.5"/>
  <cols>
    <col min="1" max="1" width="3.81640625" style="2" customWidth="1"/>
    <col min="2" max="2" width="24.90625" style="2" customWidth="1"/>
    <col min="3" max="3" width="8" style="2" hidden="1" customWidth="1"/>
    <col min="4" max="4" width="8.7265625" style="2" hidden="1" customWidth="1"/>
    <col min="5" max="5" width="7.81640625" style="2" bestFit="1" customWidth="1"/>
    <col min="6" max="6" width="7.81640625" style="2" customWidth="1"/>
    <col min="7" max="7" width="7.90625" style="2" customWidth="1"/>
    <col min="8" max="8" width="7.7265625" style="2" customWidth="1"/>
    <col min="9" max="9" width="10.08984375" style="2" customWidth="1"/>
    <col min="10" max="10" width="7.90625" style="2" customWidth="1"/>
    <col min="11" max="11" width="9.36328125" style="2" customWidth="1"/>
    <col min="12" max="17" width="9.36328125" style="2" hidden="1" customWidth="1"/>
    <col min="18" max="18" width="2" style="124" customWidth="1"/>
    <col min="19" max="19" width="7.90625" style="2" customWidth="1"/>
    <col min="20" max="20" width="7.7265625" style="2" customWidth="1"/>
    <col min="21" max="21" width="10.08984375" style="2" customWidth="1"/>
    <col min="22" max="22" width="7.90625" style="2" customWidth="1"/>
    <col min="23" max="29" width="9.36328125" style="2" customWidth="1"/>
    <col min="30" max="30" width="2" style="124" customWidth="1"/>
    <col min="31" max="31" width="7.90625" style="2" customWidth="1"/>
    <col min="32" max="32" width="7.7265625" style="2" customWidth="1"/>
    <col min="33" max="33" width="10.08984375" style="2" customWidth="1"/>
    <col min="34" max="34" width="7.90625" style="2" customWidth="1"/>
    <col min="35" max="35" width="9.36328125" style="2" customWidth="1"/>
  </cols>
  <sheetData>
    <row r="1" spans="2:41" ht="15" thickBot="1">
      <c r="B1" s="163"/>
      <c r="C1" s="45"/>
      <c r="D1" s="45"/>
      <c r="E1" s="45"/>
      <c r="F1" s="45"/>
      <c r="G1" s="196" t="s">
        <v>167</v>
      </c>
      <c r="H1" s="196"/>
      <c r="I1" s="196"/>
      <c r="J1" s="196"/>
      <c r="K1" s="196"/>
      <c r="L1" s="196"/>
      <c r="M1" s="196"/>
      <c r="N1" s="196"/>
      <c r="O1" s="196"/>
      <c r="P1" s="196"/>
      <c r="Q1" s="197"/>
      <c r="R1" s="125"/>
      <c r="S1" s="195" t="s">
        <v>181</v>
      </c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25"/>
      <c r="AE1" s="194" t="s">
        <v>182</v>
      </c>
      <c r="AF1" s="194"/>
      <c r="AG1" s="194"/>
      <c r="AH1" s="194"/>
      <c r="AI1" s="194"/>
      <c r="AJ1" s="194"/>
      <c r="AK1" s="194"/>
      <c r="AL1" s="194"/>
      <c r="AM1" s="194"/>
      <c r="AN1" s="194"/>
      <c r="AO1" s="194"/>
    </row>
    <row r="2" spans="2:41">
      <c r="B2" s="146" t="s">
        <v>170</v>
      </c>
      <c r="C2" s="34">
        <v>2017</v>
      </c>
      <c r="D2" s="34">
        <v>2018</v>
      </c>
      <c r="E2" s="34">
        <v>2019</v>
      </c>
      <c r="F2" s="81">
        <v>2020</v>
      </c>
      <c r="G2" s="34">
        <v>2021</v>
      </c>
      <c r="H2" s="34">
        <v>2022</v>
      </c>
      <c r="I2" s="34">
        <v>2023</v>
      </c>
      <c r="J2" s="34">
        <v>2024</v>
      </c>
      <c r="K2" s="81">
        <v>2025</v>
      </c>
      <c r="L2" s="34">
        <f>K2+1</f>
        <v>2026</v>
      </c>
      <c r="M2" s="34">
        <f t="shared" ref="M2:O2" si="0">L2+1</f>
        <v>2027</v>
      </c>
      <c r="N2" s="34">
        <f t="shared" si="0"/>
        <v>2028</v>
      </c>
      <c r="O2" s="34">
        <f t="shared" si="0"/>
        <v>2029</v>
      </c>
      <c r="P2" s="34">
        <f>O2+1</f>
        <v>2030</v>
      </c>
      <c r="Q2" s="96" t="s">
        <v>183</v>
      </c>
      <c r="R2" s="126"/>
      <c r="S2" s="127">
        <v>2021</v>
      </c>
      <c r="T2" s="127">
        <v>2022</v>
      </c>
      <c r="U2" s="127">
        <v>2023</v>
      </c>
      <c r="V2" s="127">
        <v>2024</v>
      </c>
      <c r="W2" s="127">
        <v>2025</v>
      </c>
      <c r="X2" s="127">
        <f>W2+1</f>
        <v>2026</v>
      </c>
      <c r="Y2" s="127">
        <f t="shared" ref="Y2:AA2" si="1">X2+1</f>
        <v>2027</v>
      </c>
      <c r="Z2" s="127">
        <f t="shared" si="1"/>
        <v>2028</v>
      </c>
      <c r="AA2" s="127">
        <f t="shared" si="1"/>
        <v>2029</v>
      </c>
      <c r="AB2" s="127">
        <f>AA2+1</f>
        <v>2030</v>
      </c>
      <c r="AC2" s="104" t="s">
        <v>183</v>
      </c>
      <c r="AD2" s="126"/>
      <c r="AE2" s="132">
        <v>2021</v>
      </c>
      <c r="AF2" s="127">
        <v>2022</v>
      </c>
      <c r="AG2" s="127">
        <v>2023</v>
      </c>
      <c r="AH2" s="127">
        <v>2024</v>
      </c>
      <c r="AI2" s="127">
        <v>2025</v>
      </c>
      <c r="AJ2" s="127">
        <f>AI2+1</f>
        <v>2026</v>
      </c>
      <c r="AK2" s="127">
        <f t="shared" ref="AK2:AM2" si="2">AJ2+1</f>
        <v>2027</v>
      </c>
      <c r="AL2" s="127">
        <f t="shared" si="2"/>
        <v>2028</v>
      </c>
      <c r="AM2" s="127">
        <f t="shared" si="2"/>
        <v>2029</v>
      </c>
      <c r="AN2" s="127">
        <f>AM2+1</f>
        <v>2030</v>
      </c>
      <c r="AO2" s="104" t="s">
        <v>183</v>
      </c>
    </row>
    <row r="3" spans="2:41">
      <c r="B3" s="147" t="s">
        <v>51</v>
      </c>
      <c r="C3" s="32"/>
      <c r="D3" s="32"/>
      <c r="E3" s="37">
        <v>124000</v>
      </c>
      <c r="F3" s="82">
        <v>124000</v>
      </c>
      <c r="G3" s="24">
        <f t="shared" ref="G3:K3" si="3">F3</f>
        <v>124000</v>
      </c>
      <c r="H3" s="24">
        <f t="shared" si="3"/>
        <v>124000</v>
      </c>
      <c r="I3" s="24">
        <f t="shared" si="3"/>
        <v>124000</v>
      </c>
      <c r="J3" s="24">
        <f t="shared" si="3"/>
        <v>124000</v>
      </c>
      <c r="K3" s="24">
        <f t="shared" si="3"/>
        <v>124000</v>
      </c>
      <c r="L3" s="24"/>
      <c r="M3" s="24"/>
      <c r="N3" s="24"/>
      <c r="O3" s="24"/>
      <c r="P3" s="24"/>
      <c r="Q3" s="164"/>
      <c r="R3" s="112"/>
      <c r="S3" s="24">
        <f>K3</f>
        <v>124000</v>
      </c>
      <c r="T3" s="24">
        <f t="shared" ref="T3:W3" si="4">S3</f>
        <v>124000</v>
      </c>
      <c r="U3" s="24">
        <f t="shared" si="4"/>
        <v>124000</v>
      </c>
      <c r="V3" s="24">
        <f t="shared" si="4"/>
        <v>124000</v>
      </c>
      <c r="W3" s="24">
        <f t="shared" si="4"/>
        <v>124000</v>
      </c>
      <c r="X3" s="24"/>
      <c r="Y3" s="24"/>
      <c r="Z3" s="24"/>
      <c r="AA3" s="24"/>
      <c r="AB3" s="24"/>
      <c r="AC3" s="24"/>
      <c r="AD3" s="112"/>
      <c r="AE3" s="133">
        <f t="shared" ref="AE3" si="5">W3</f>
        <v>124000</v>
      </c>
      <c r="AF3" s="24">
        <f t="shared" ref="AF3:AI3" si="6">AE3</f>
        <v>124000</v>
      </c>
      <c r="AG3" s="24">
        <f t="shared" si="6"/>
        <v>124000</v>
      </c>
      <c r="AH3" s="24">
        <f t="shared" si="6"/>
        <v>124000</v>
      </c>
      <c r="AI3" s="24">
        <f t="shared" si="6"/>
        <v>124000</v>
      </c>
      <c r="AJ3" s="24"/>
      <c r="AK3" s="24"/>
      <c r="AL3" s="24"/>
      <c r="AM3" s="24"/>
      <c r="AN3" s="24"/>
      <c r="AO3" s="24"/>
    </row>
    <row r="4" spans="2:41">
      <c r="B4" s="147" t="s">
        <v>65</v>
      </c>
      <c r="C4" s="32"/>
      <c r="D4" s="32"/>
      <c r="E4" s="155">
        <v>8.0000000000000002E-3</v>
      </c>
      <c r="F4" s="83">
        <v>1.6E-2</v>
      </c>
      <c r="G4" s="25">
        <f>F4*(1+(($K$4/$F$4)^0.2-1))</f>
        <v>2.3083198494515417E-2</v>
      </c>
      <c r="H4" s="25">
        <f t="shared" ref="H4:J4" si="7">G4*(1+(($K$4/$F$4)^0.2-1))</f>
        <v>3.3302128296074929E-2</v>
      </c>
      <c r="I4" s="25">
        <f t="shared" si="7"/>
        <v>4.8044977359257258E-2</v>
      </c>
      <c r="J4" s="25">
        <f t="shared" si="7"/>
        <v>6.9314484315514652E-2</v>
      </c>
      <c r="K4" s="105">
        <f>'Bull-Bear'!I3</f>
        <v>0.1</v>
      </c>
      <c r="L4" s="105"/>
      <c r="M4" s="105"/>
      <c r="N4" s="105"/>
      <c r="O4" s="105"/>
      <c r="P4" s="105"/>
      <c r="Q4" s="165"/>
      <c r="R4" s="113"/>
      <c r="S4" s="25">
        <f>F4*(1+(($W$4/$F$4)^0.2-1))</f>
        <v>2.3083198494515417E-2</v>
      </c>
      <c r="T4" s="25">
        <f>S4*(1+(($W$4/$F$4)^0.2-1))</f>
        <v>3.3302128296074929E-2</v>
      </c>
      <c r="U4" s="25">
        <f>T4*(1+(($W$4/$F$4)^0.2-1))</f>
        <v>4.8044977359257258E-2</v>
      </c>
      <c r="V4" s="25">
        <f>U4*(1+(($W$4/$F$4)^0.2-1))</f>
        <v>6.9314484315514652E-2</v>
      </c>
      <c r="W4" s="105">
        <f>K4</f>
        <v>0.1</v>
      </c>
      <c r="X4" s="105"/>
      <c r="Y4" s="105"/>
      <c r="Z4" s="105"/>
      <c r="AA4" s="105"/>
      <c r="AB4" s="105"/>
      <c r="AC4" s="105"/>
      <c r="AD4" s="113"/>
      <c r="AE4" s="134">
        <f>F4*(1+(($AI$4/$F$4)^0.2-1))</f>
        <v>2.3083198494515417E-2</v>
      </c>
      <c r="AF4" s="25">
        <f>AE4*(1+(($AI$4/$F$4)^0.2-1))</f>
        <v>3.3302128296074929E-2</v>
      </c>
      <c r="AG4" s="25">
        <f>AF4*(1+(($AI$4/$F$4)^0.2-1))</f>
        <v>4.8044977359257258E-2</v>
      </c>
      <c r="AH4" s="25">
        <f>AG4*(1+(($AI$4/$F$4)^0.2-1))</f>
        <v>6.9314484315514652E-2</v>
      </c>
      <c r="AI4" s="105">
        <f>'Bull-Bear'!I3</f>
        <v>0.1</v>
      </c>
      <c r="AJ4" s="105"/>
      <c r="AK4" s="105"/>
      <c r="AL4" s="105"/>
      <c r="AM4" s="105"/>
      <c r="AN4" s="105"/>
      <c r="AO4" s="105"/>
    </row>
    <row r="5" spans="2:41">
      <c r="B5" s="147" t="s">
        <v>53</v>
      </c>
      <c r="C5" s="32"/>
      <c r="D5" s="32"/>
      <c r="E5" s="24">
        <v>992</v>
      </c>
      <c r="F5" s="82">
        <v>1984</v>
      </c>
      <c r="G5" s="24">
        <f>SUM(G6:G7)</f>
        <v>2862.316613319912</v>
      </c>
      <c r="H5" s="24">
        <f t="shared" ref="H5:K5" si="8">SUM(H6:H7)</f>
        <v>4129.4639087132909</v>
      </c>
      <c r="I5" s="24">
        <f t="shared" si="8"/>
        <v>5957.5771925479003</v>
      </c>
      <c r="J5" s="24">
        <f t="shared" si="8"/>
        <v>8594.9960551238164</v>
      </c>
      <c r="K5" s="24">
        <f t="shared" si="8"/>
        <v>12400</v>
      </c>
      <c r="L5" s="24"/>
      <c r="M5" s="24"/>
      <c r="N5" s="24"/>
      <c r="O5" s="24"/>
      <c r="P5" s="24"/>
      <c r="Q5" s="164"/>
      <c r="R5" s="112"/>
      <c r="S5" s="24">
        <f>SUM(S6:S7)</f>
        <v>2862.316613319912</v>
      </c>
      <c r="T5" s="24">
        <f t="shared" ref="T5:W5" si="9">SUM(T6:T7)</f>
        <v>4129.4639087132909</v>
      </c>
      <c r="U5" s="24">
        <f t="shared" si="9"/>
        <v>5957.5771925479003</v>
      </c>
      <c r="V5" s="24">
        <f t="shared" si="9"/>
        <v>8594.9960551238164</v>
      </c>
      <c r="W5" s="24">
        <f t="shared" si="9"/>
        <v>12400</v>
      </c>
      <c r="X5" s="24"/>
      <c r="Y5" s="24"/>
      <c r="Z5" s="24"/>
      <c r="AA5" s="24"/>
      <c r="AB5" s="24"/>
      <c r="AC5" s="24"/>
      <c r="AD5" s="112"/>
      <c r="AE5" s="133">
        <f>SUM(AE6:AE7)</f>
        <v>2862.316613319912</v>
      </c>
      <c r="AF5" s="24">
        <f t="shared" ref="AF5:AI5" si="10">SUM(AF6:AF7)</f>
        <v>4129.4639087132909</v>
      </c>
      <c r="AG5" s="24">
        <f t="shared" si="10"/>
        <v>5957.5771925479003</v>
      </c>
      <c r="AH5" s="24">
        <f t="shared" si="10"/>
        <v>8594.9960551238164</v>
      </c>
      <c r="AI5" s="24">
        <f t="shared" si="10"/>
        <v>12400</v>
      </c>
      <c r="AJ5" s="24"/>
      <c r="AK5" s="24"/>
      <c r="AL5" s="24"/>
      <c r="AM5" s="24"/>
      <c r="AN5" s="24"/>
      <c r="AO5" s="24"/>
    </row>
    <row r="6" spans="2:41">
      <c r="B6" s="148" t="s">
        <v>180</v>
      </c>
      <c r="C6" s="32"/>
      <c r="D6" s="32"/>
      <c r="E6" s="24">
        <v>592</v>
      </c>
      <c r="F6" s="82">
        <v>1184</v>
      </c>
      <c r="G6" s="24">
        <f t="shared" ref="G6:J6" si="11">0.64*G4*G3</f>
        <v>1831.8826325247437</v>
      </c>
      <c r="H6" s="24">
        <f t="shared" si="11"/>
        <v>2642.8569015765065</v>
      </c>
      <c r="I6" s="24">
        <f t="shared" si="11"/>
        <v>3812.8494032306558</v>
      </c>
      <c r="J6" s="24">
        <f t="shared" si="11"/>
        <v>5500.7974752792425</v>
      </c>
      <c r="K6" s="24">
        <f>0.64*K4*K3</f>
        <v>7936</v>
      </c>
      <c r="L6" s="24"/>
      <c r="M6" s="24"/>
      <c r="N6" s="24"/>
      <c r="O6" s="24"/>
      <c r="P6" s="24"/>
      <c r="Q6" s="164"/>
      <c r="R6" s="112"/>
      <c r="S6" s="24">
        <f t="shared" ref="S6:V6" si="12">0.64*S4*S3</f>
        <v>1831.8826325247437</v>
      </c>
      <c r="T6" s="24">
        <f t="shared" si="12"/>
        <v>2642.8569015765065</v>
      </c>
      <c r="U6" s="24">
        <f t="shared" si="12"/>
        <v>3812.8494032306558</v>
      </c>
      <c r="V6" s="24">
        <f t="shared" si="12"/>
        <v>5500.7974752792425</v>
      </c>
      <c r="W6" s="24">
        <f>0.64*W4*W3</f>
        <v>7936</v>
      </c>
      <c r="X6" s="24"/>
      <c r="Y6" s="24"/>
      <c r="Z6" s="24"/>
      <c r="AA6" s="24"/>
      <c r="AB6" s="24"/>
      <c r="AC6" s="24"/>
      <c r="AD6" s="112"/>
      <c r="AE6" s="133">
        <f t="shared" ref="AE6:AH6" si="13">0.64*AE4*AE3</f>
        <v>1831.8826325247437</v>
      </c>
      <c r="AF6" s="24">
        <f t="shared" si="13"/>
        <v>2642.8569015765065</v>
      </c>
      <c r="AG6" s="24">
        <f t="shared" si="13"/>
        <v>3812.8494032306558</v>
      </c>
      <c r="AH6" s="24">
        <f t="shared" si="13"/>
        <v>5500.7974752792425</v>
      </c>
      <c r="AI6" s="24">
        <f>0.64*AI4*AI3</f>
        <v>7936</v>
      </c>
      <c r="AJ6" s="24"/>
      <c r="AK6" s="24"/>
      <c r="AL6" s="24"/>
      <c r="AM6" s="24"/>
      <c r="AN6" s="24"/>
      <c r="AO6" s="24"/>
    </row>
    <row r="7" spans="2:41">
      <c r="B7" s="148" t="s">
        <v>179</v>
      </c>
      <c r="C7" s="39"/>
      <c r="D7" s="39"/>
      <c r="E7" s="40">
        <v>400</v>
      </c>
      <c r="F7" s="82">
        <v>800</v>
      </c>
      <c r="G7" s="24">
        <f t="shared" ref="G7:J7" si="14">0.36*G4*G3</f>
        <v>1030.4339807951681</v>
      </c>
      <c r="H7" s="24">
        <f t="shared" si="14"/>
        <v>1486.6070071367849</v>
      </c>
      <c r="I7" s="24">
        <f t="shared" si="14"/>
        <v>2144.7277893172441</v>
      </c>
      <c r="J7" s="24">
        <f t="shared" si="14"/>
        <v>3094.1985798445739</v>
      </c>
      <c r="K7" s="24">
        <f>0.36*K4*K3</f>
        <v>4464</v>
      </c>
      <c r="L7" s="24"/>
      <c r="M7" s="24"/>
      <c r="N7" s="24"/>
      <c r="O7" s="24"/>
      <c r="P7" s="24"/>
      <c r="Q7" s="164"/>
      <c r="R7" s="112"/>
      <c r="S7" s="24">
        <f t="shared" ref="S7:V7" si="15">0.36*S4*S3</f>
        <v>1030.4339807951681</v>
      </c>
      <c r="T7" s="24">
        <f t="shared" si="15"/>
        <v>1486.6070071367849</v>
      </c>
      <c r="U7" s="24">
        <f t="shared" si="15"/>
        <v>2144.7277893172441</v>
      </c>
      <c r="V7" s="24">
        <f t="shared" si="15"/>
        <v>3094.1985798445739</v>
      </c>
      <c r="W7" s="24">
        <f>0.36*W4*W3</f>
        <v>4464</v>
      </c>
      <c r="X7" s="24"/>
      <c r="Y7" s="24"/>
      <c r="Z7" s="24"/>
      <c r="AA7" s="24"/>
      <c r="AB7" s="24"/>
      <c r="AC7" s="24"/>
      <c r="AD7" s="112"/>
      <c r="AE7" s="133">
        <f t="shared" ref="AE7:AH7" si="16">0.36*AE4*AE3</f>
        <v>1030.4339807951681</v>
      </c>
      <c r="AF7" s="24">
        <f t="shared" si="16"/>
        <v>1486.6070071367849</v>
      </c>
      <c r="AG7" s="24">
        <f t="shared" si="16"/>
        <v>2144.7277893172441</v>
      </c>
      <c r="AH7" s="24">
        <f t="shared" si="16"/>
        <v>3094.1985798445739</v>
      </c>
      <c r="AI7" s="24">
        <f>0.36*AI4*AI3</f>
        <v>4464</v>
      </c>
      <c r="AJ7" s="24"/>
      <c r="AK7" s="24"/>
      <c r="AL7" s="24"/>
      <c r="AM7" s="24"/>
      <c r="AN7" s="24"/>
      <c r="AO7" s="24"/>
    </row>
    <row r="8" spans="2:41">
      <c r="B8" s="149" t="s">
        <v>79</v>
      </c>
      <c r="C8" s="41"/>
      <c r="D8" s="41"/>
      <c r="E8" s="29"/>
      <c r="F8" s="84">
        <v>1</v>
      </c>
      <c r="G8" s="30">
        <f t="shared" ref="G8:K8" si="17">G7/F7-1</f>
        <v>0.28804247599396016</v>
      </c>
      <c r="H8" s="30">
        <f t="shared" si="17"/>
        <v>0.44269990590721409</v>
      </c>
      <c r="I8" s="30">
        <f t="shared" si="17"/>
        <v>0.44269990590721364</v>
      </c>
      <c r="J8" s="30">
        <f t="shared" si="17"/>
        <v>0.44269990590721342</v>
      </c>
      <c r="K8" s="30">
        <f t="shared" si="17"/>
        <v>0.44269990590721342</v>
      </c>
      <c r="L8" s="30">
        <f>K8-(($K$8-$P$8)/5)</f>
        <v>0.35655992472577075</v>
      </c>
      <c r="M8" s="30">
        <f>L8-(($K$8-$Q$8)/5)</f>
        <v>0.27041994354432808</v>
      </c>
      <c r="N8" s="30">
        <f>M8-(($K$8-$Q$8)/5)</f>
        <v>0.18427996236288541</v>
      </c>
      <c r="O8" s="30">
        <f>N8-(($K$8-$Q$8)/5)</f>
        <v>9.8139981181442723E-2</v>
      </c>
      <c r="P8" s="71">
        <v>1.2000000000000011E-2</v>
      </c>
      <c r="Q8" s="166">
        <v>1.2E-2</v>
      </c>
      <c r="R8" s="114"/>
      <c r="S8" s="30">
        <f>S7/K7-1</f>
        <v>-0.76916801505484589</v>
      </c>
      <c r="T8" s="30">
        <f t="shared" ref="T8:W8" si="18">T7/S7-1</f>
        <v>0.44269990590721409</v>
      </c>
      <c r="U8" s="30">
        <f t="shared" si="18"/>
        <v>0.44269990590721364</v>
      </c>
      <c r="V8" s="30">
        <f t="shared" si="18"/>
        <v>0.44269990590721342</v>
      </c>
      <c r="W8" s="30">
        <f t="shared" si="18"/>
        <v>0.44269990590721342</v>
      </c>
      <c r="X8" s="30">
        <f>W8-(($K$8-$P$8)/5)</f>
        <v>0.35655992472577075</v>
      </c>
      <c r="Y8" s="30">
        <f>X8-(($K$8-$Q$8)/5)</f>
        <v>0.27041994354432808</v>
      </c>
      <c r="Z8" s="30">
        <f>Y8-(($K$8-$Q$8)/5)</f>
        <v>0.18427996236288541</v>
      </c>
      <c r="AA8" s="30">
        <f>Z8-(($K$8-$Q$8)/5)</f>
        <v>9.8139981181442723E-2</v>
      </c>
      <c r="AB8" s="71">
        <v>1.2000000000000011E-2</v>
      </c>
      <c r="AC8" s="108">
        <v>1.2E-2</v>
      </c>
      <c r="AD8" s="114"/>
      <c r="AE8" s="135">
        <f>AE7/F7-1</f>
        <v>0.28804247599396016</v>
      </c>
      <c r="AF8" s="30">
        <f t="shared" ref="AF8:AI8" si="19">AF7/AE7-1</f>
        <v>0.44269990590721409</v>
      </c>
      <c r="AG8" s="30">
        <f t="shared" si="19"/>
        <v>0.44269990590721364</v>
      </c>
      <c r="AH8" s="30">
        <f t="shared" si="19"/>
        <v>0.44269990590721342</v>
      </c>
      <c r="AI8" s="30">
        <f t="shared" si="19"/>
        <v>0.44269990590721342</v>
      </c>
      <c r="AJ8" s="30">
        <f>AI8-(($K$8-$P$8)/5)</f>
        <v>0.35655992472577075</v>
      </c>
      <c r="AK8" s="30">
        <f>AJ8-(($K$8-$Q$8)/5)</f>
        <v>0.27041994354432808</v>
      </c>
      <c r="AL8" s="30">
        <f>AK8-(($K$8-$Q$8)/5)</f>
        <v>0.18427996236288541</v>
      </c>
      <c r="AM8" s="30">
        <f>AL8-(($K$8-$Q$8)/5)</f>
        <v>9.8139981181442723E-2</v>
      </c>
      <c r="AN8" s="71">
        <v>1.2000000000000011E-2</v>
      </c>
      <c r="AO8" s="108">
        <v>1.2E-2</v>
      </c>
    </row>
    <row r="9" spans="2:41">
      <c r="B9" s="150" t="s">
        <v>67</v>
      </c>
      <c r="C9" s="29"/>
      <c r="D9" s="29"/>
      <c r="E9" s="30">
        <v>0.16263407258064516</v>
      </c>
      <c r="F9" s="84">
        <v>0.17933390816683492</v>
      </c>
      <c r="G9" s="31">
        <f>G24/G5</f>
        <v>0.16871813063102548</v>
      </c>
      <c r="H9" s="31">
        <v>0.16</v>
      </c>
      <c r="I9" s="31">
        <v>0.17</v>
      </c>
      <c r="J9" s="31">
        <v>0.18</v>
      </c>
      <c r="K9" s="31">
        <f>'Bull-Bear'!J7</f>
        <v>0.4</v>
      </c>
      <c r="L9" s="31"/>
      <c r="M9" s="31"/>
      <c r="N9" s="31"/>
      <c r="O9" s="31"/>
      <c r="P9" s="31"/>
      <c r="Q9" s="167"/>
      <c r="R9" s="115"/>
      <c r="S9" s="31">
        <f>S24/S5</f>
        <v>0.16998796399263777</v>
      </c>
      <c r="T9" s="31">
        <v>0.16</v>
      </c>
      <c r="U9" s="31">
        <v>0.17</v>
      </c>
      <c r="V9" s="31">
        <v>0.18</v>
      </c>
      <c r="W9" s="31">
        <v>0.19</v>
      </c>
      <c r="X9" s="31"/>
      <c r="Y9" s="31"/>
      <c r="Z9" s="31"/>
      <c r="AA9" s="31"/>
      <c r="AB9" s="31"/>
      <c r="AC9" s="31"/>
      <c r="AD9" s="115"/>
      <c r="AE9" s="136">
        <f>AE24/AE5</f>
        <v>0.16231225432298188</v>
      </c>
      <c r="AF9" s="31">
        <v>0.16</v>
      </c>
      <c r="AG9" s="31">
        <v>0.17</v>
      </c>
      <c r="AH9" s="31">
        <v>0.18</v>
      </c>
      <c r="AI9" s="31">
        <v>0.19</v>
      </c>
      <c r="AJ9" s="31"/>
      <c r="AK9" s="31"/>
      <c r="AL9" s="31"/>
      <c r="AM9" s="31"/>
      <c r="AN9" s="31"/>
      <c r="AO9" s="31"/>
    </row>
    <row r="10" spans="2:41">
      <c r="B10" s="150" t="s">
        <v>66</v>
      </c>
      <c r="C10" s="29"/>
      <c r="D10" s="29"/>
      <c r="E10" s="30">
        <v>0.40333249999999998</v>
      </c>
      <c r="F10" s="84">
        <v>0.4002732830283755</v>
      </c>
      <c r="G10" s="30">
        <f>F10*(1+(($K$10/$F$10)^0.2-1))</f>
        <v>0.40021861149005811</v>
      </c>
      <c r="H10" s="30">
        <f>G10*(1+(($K$10/$F$10)^0.2-1))</f>
        <v>0.40016394741908173</v>
      </c>
      <c r="I10" s="30">
        <f>H10*(1+(($K$10/$F$10)^0.2-1))</f>
        <v>0.40010929081442642</v>
      </c>
      <c r="J10" s="30">
        <f>I10*(1+(($K$10/$F$10)^0.2-1))</f>
        <v>0.40005464167507238</v>
      </c>
      <c r="K10" s="106">
        <f>'Bull-Bear'!J7</f>
        <v>0.4</v>
      </c>
      <c r="L10" s="106"/>
      <c r="M10" s="106"/>
      <c r="N10" s="106"/>
      <c r="O10" s="106"/>
      <c r="P10" s="106"/>
      <c r="Q10" s="168"/>
      <c r="R10" s="116"/>
      <c r="S10" s="30">
        <f>F10*(1+(($W$10/$K$10)^0.2-1))</f>
        <v>0.4002732830283755</v>
      </c>
      <c r="T10" s="30">
        <f>S10*(1+(($W$10/$F$10)^0.2-1))</f>
        <v>0.40021861149005811</v>
      </c>
      <c r="U10" s="30">
        <f>T10*(1+(($W$10/$F$10)^0.2-1))</f>
        <v>0.40016394741908173</v>
      </c>
      <c r="V10" s="30">
        <f>U10*(1+(($W$10/$F$10)^0.2-1))</f>
        <v>0.40010929081442642</v>
      </c>
      <c r="W10" s="106">
        <f>'Bull-Bear'!I7</f>
        <v>0.4</v>
      </c>
      <c r="X10" s="106"/>
      <c r="Y10" s="106"/>
      <c r="Z10" s="106"/>
      <c r="AA10" s="106"/>
      <c r="AB10" s="106"/>
      <c r="AC10" s="106"/>
      <c r="AD10" s="116"/>
      <c r="AE10" s="135">
        <f>F10*(1+(($AI$10/$F$10)^0.2-1))</f>
        <v>0.38967172270701239</v>
      </c>
      <c r="AF10" s="30">
        <f>AE10*(1+(($AI$10/$F$10)^0.2-1))</f>
        <v>0.37935095325032347</v>
      </c>
      <c r="AG10" s="30">
        <f>AF10*(1+(($AI$10/$F$10)^0.2-1))</f>
        <v>0.3693035376860806</v>
      </c>
      <c r="AH10" s="30">
        <f>AG10*(1+(($AI$10/$F$10)^0.2-1))</f>
        <v>0.3595222360162556</v>
      </c>
      <c r="AI10" s="106">
        <f>'Bull-Bear'!K7</f>
        <v>0.35</v>
      </c>
      <c r="AJ10" s="106"/>
      <c r="AK10" s="106"/>
      <c r="AL10" s="106"/>
      <c r="AM10" s="106"/>
      <c r="AN10" s="106"/>
      <c r="AO10" s="106"/>
    </row>
    <row r="11" spans="2:41">
      <c r="B11" s="150" t="s">
        <v>80</v>
      </c>
      <c r="C11" s="29" t="s">
        <v>176</v>
      </c>
      <c r="D11" s="29"/>
      <c r="E11" s="30"/>
      <c r="F11" s="84">
        <v>3.0050546773902072E-2</v>
      </c>
      <c r="G11" s="30">
        <f>F11*(1+(($K$11/$F$11)^0.2-1))</f>
        <v>3.5587830283248974E-2</v>
      </c>
      <c r="H11" s="30">
        <f>G11*(1+(($K$11/$F$11)^0.2-1))</f>
        <v>4.2145444933109885E-2</v>
      </c>
      <c r="I11" s="30">
        <f>H11*(1+(($K$11/$F$11)^0.2-1))</f>
        <v>4.9911402703464759E-2</v>
      </c>
      <c r="J11" s="30">
        <f>I11*(1+(($K$11/$F$11)^0.2-1))</f>
        <v>5.9108359723837156E-2</v>
      </c>
      <c r="K11" s="106">
        <f>'Bull-Bear'!J8</f>
        <v>7.0000000000000007E-2</v>
      </c>
      <c r="L11" s="106"/>
      <c r="M11" s="106"/>
      <c r="N11" s="106"/>
      <c r="O11" s="106"/>
      <c r="P11" s="106"/>
      <c r="Q11" s="168"/>
      <c r="R11" s="116"/>
      <c r="S11" s="30">
        <f>F11*(1+(($W$11/$F$11)^0.2-1))</f>
        <v>3.8219227329923937E-2</v>
      </c>
      <c r="T11" s="30">
        <f>G11*(1+(($W$11/$F$11)^0.2-1))</f>
        <v>4.5261718064826727E-2</v>
      </c>
      <c r="U11" s="30">
        <f>H11*(1+(($W$11/$F$11)^0.2-1))</f>
        <v>5.3601897926802984E-2</v>
      </c>
      <c r="V11" s="30">
        <f>I11*(1+(($W$11/$F$11)^0.2-1))</f>
        <v>6.3478886445279825E-2</v>
      </c>
      <c r="W11" s="106">
        <f>'Bull-Bear'!I8</f>
        <v>0.1</v>
      </c>
      <c r="X11" s="106"/>
      <c r="Y11" s="106"/>
      <c r="Z11" s="106"/>
      <c r="AA11" s="106"/>
      <c r="AB11" s="106"/>
      <c r="AC11" s="106"/>
      <c r="AD11" s="116"/>
      <c r="AE11" s="135">
        <f>F11*(1+(($AI$11/$F$11)^0.2-1))</f>
        <v>3.1819540297949506E-2</v>
      </c>
      <c r="AF11" s="30">
        <f>AE11*(1+(($AI$11/$F$11)^0.2-1))</f>
        <v>3.3692669633956257E-2</v>
      </c>
      <c r="AG11" s="30">
        <f>AF11*(1+(($AI$11/$F$11)^0.2-1))</f>
        <v>3.5676064972443099E-2</v>
      </c>
      <c r="AH11" s="30">
        <f>AG11*(1+(($AI$11/$F$11)^0.2-1))</f>
        <v>3.7776217371485531E-2</v>
      </c>
      <c r="AI11" s="106">
        <f>'Bull-Bear'!K8</f>
        <v>0.04</v>
      </c>
      <c r="AJ11" s="106"/>
      <c r="AK11" s="106"/>
      <c r="AL11" s="106"/>
      <c r="AM11" s="106"/>
      <c r="AN11" s="106"/>
      <c r="AO11" s="106"/>
    </row>
    <row r="12" spans="2:41" ht="15" thickBot="1">
      <c r="B12" s="151" t="s">
        <v>33</v>
      </c>
      <c r="C12" s="27"/>
      <c r="D12" s="27"/>
      <c r="E12" s="27">
        <v>200</v>
      </c>
      <c r="F12" s="85">
        <v>360.83333333333331</v>
      </c>
      <c r="G12" s="28">
        <f>G14+G15</f>
        <v>493.0717025250284</v>
      </c>
      <c r="H12" s="28">
        <f t="shared" ref="H12:K12" si="20">H14+H15</f>
        <v>721.08838506999439</v>
      </c>
      <c r="I12" s="28">
        <f t="shared" si="20"/>
        <v>1055.875656141779</v>
      </c>
      <c r="J12" s="28">
        <f t="shared" si="20"/>
        <v>1548.1877650188198</v>
      </c>
      <c r="K12" s="28">
        <f t="shared" si="20"/>
        <v>2273.3333333333335</v>
      </c>
      <c r="L12" s="28"/>
      <c r="M12" s="28"/>
      <c r="N12" s="28"/>
      <c r="O12" s="28"/>
      <c r="P12" s="28"/>
      <c r="Q12" s="169"/>
      <c r="R12" s="112"/>
      <c r="S12" s="28">
        <f>S14+S15</f>
        <v>478.34370866307677</v>
      </c>
      <c r="T12" s="28">
        <f t="shared" ref="T12:W12" si="21">T14+T15</f>
        <v>697.55356754019249</v>
      </c>
      <c r="U12" s="28">
        <f t="shared" si="21"/>
        <v>1018.269255978288</v>
      </c>
      <c r="V12" s="28">
        <f t="shared" si="21"/>
        <v>1488.0983510201961</v>
      </c>
      <c r="W12" s="28">
        <f t="shared" si="21"/>
        <v>2450.4761904761908</v>
      </c>
      <c r="X12" s="28"/>
      <c r="Y12" s="28"/>
      <c r="Z12" s="28"/>
      <c r="AA12" s="28"/>
      <c r="AB12" s="28"/>
      <c r="AC12" s="28"/>
      <c r="AD12" s="112"/>
      <c r="AE12" s="137">
        <f>AE14+AE15</f>
        <v>475.02828039132402</v>
      </c>
      <c r="AF12" s="28">
        <f t="shared" ref="AF12:AI12" si="22">AF14+AF15</f>
        <v>668.51846428252543</v>
      </c>
      <c r="AG12" s="28">
        <f t="shared" si="22"/>
        <v>940.84987194386599</v>
      </c>
      <c r="AH12" s="28">
        <f t="shared" si="22"/>
        <v>1324.1598057354795</v>
      </c>
      <c r="AI12" s="28">
        <f t="shared" si="22"/>
        <v>1863.6904761904759</v>
      </c>
      <c r="AJ12" s="28"/>
      <c r="AK12" s="28"/>
      <c r="AL12" s="28"/>
      <c r="AM12" s="28"/>
      <c r="AN12" s="28"/>
      <c r="AO12" s="28"/>
    </row>
    <row r="13" spans="2:41" ht="15" thickTop="1">
      <c r="B13" s="150" t="s">
        <v>35</v>
      </c>
      <c r="C13" s="42"/>
      <c r="D13" s="30"/>
      <c r="E13" s="30"/>
      <c r="F13" s="84">
        <v>0.80416666666666647</v>
      </c>
      <c r="G13" s="30">
        <f>G12/F12-1</f>
        <v>0.36648046889153374</v>
      </c>
      <c r="H13" s="30">
        <f>H12/G12-1</f>
        <v>0.462441225844616</v>
      </c>
      <c r="I13" s="30">
        <f>I12/H12-1</f>
        <v>0.46428049321483322</v>
      </c>
      <c r="J13" s="30">
        <v>0.2</v>
      </c>
      <c r="K13" s="30">
        <v>0.2</v>
      </c>
      <c r="L13" s="30"/>
      <c r="M13" s="30"/>
      <c r="N13" s="30"/>
      <c r="O13" s="30"/>
      <c r="P13" s="30"/>
      <c r="Q13" s="170"/>
      <c r="R13" s="117"/>
      <c r="S13" s="30">
        <f>S12/K12-1</f>
        <v>-0.78958487888720963</v>
      </c>
      <c r="T13" s="30">
        <f>T12/S12-1</f>
        <v>0.45826851050217754</v>
      </c>
      <c r="U13" s="30">
        <f>U12/T12-1</f>
        <v>0.45977212842455439</v>
      </c>
      <c r="V13" s="30">
        <v>0.2</v>
      </c>
      <c r="W13" s="30">
        <v>0.2</v>
      </c>
      <c r="X13" s="30"/>
      <c r="Y13" s="30"/>
      <c r="Z13" s="30"/>
      <c r="AA13" s="30"/>
      <c r="AB13" s="30"/>
      <c r="AC13" s="30"/>
      <c r="AD13" s="117"/>
      <c r="AE13" s="135">
        <f>AE12/W12-1</f>
        <v>-0.80614858359467934</v>
      </c>
      <c r="AF13" s="30">
        <f>AF12/AE12-1</f>
        <v>0.40732350446968324</v>
      </c>
      <c r="AG13" s="30">
        <f>AG12/AF12-1</f>
        <v>0.40736557359506143</v>
      </c>
      <c r="AH13" s="30">
        <v>0.2</v>
      </c>
      <c r="AI13" s="30">
        <v>0.2</v>
      </c>
      <c r="AJ13" s="30"/>
      <c r="AK13" s="30"/>
      <c r="AL13" s="30"/>
      <c r="AM13" s="30"/>
      <c r="AN13" s="30"/>
      <c r="AO13" s="30"/>
    </row>
    <row r="14" spans="2:41">
      <c r="B14" s="150" t="s">
        <v>171</v>
      </c>
      <c r="C14" s="42"/>
      <c r="D14" s="30"/>
      <c r="E14" s="30"/>
      <c r="F14" s="84"/>
      <c r="G14" s="100">
        <f>(G18*1000)/G16</f>
        <v>429.58214273543268</v>
      </c>
      <c r="H14" s="100">
        <f t="shared" ref="H14:K14" si="23">(H18*1000)/H16</f>
        <v>619.67346691325292</v>
      </c>
      <c r="I14" s="100">
        <f t="shared" si="23"/>
        <v>893.88074455595313</v>
      </c>
      <c r="J14" s="100">
        <f t="shared" si="23"/>
        <v>1289.4255251367069</v>
      </c>
      <c r="K14" s="100">
        <f t="shared" si="23"/>
        <v>1860.0000000000002</v>
      </c>
      <c r="L14" s="100"/>
      <c r="M14" s="100"/>
      <c r="N14" s="100"/>
      <c r="O14" s="100"/>
      <c r="P14" s="100"/>
      <c r="Q14" s="171"/>
      <c r="R14" s="118"/>
      <c r="S14" s="100">
        <f>(S18*1000)/S16</f>
        <v>429.6408254550833</v>
      </c>
      <c r="T14" s="100">
        <f t="shared" ref="T14:W14" si="24">(T18*1000)/T16</f>
        <v>619.75811690382807</v>
      </c>
      <c r="U14" s="100">
        <f t="shared" si="24"/>
        <v>894.00285240894686</v>
      </c>
      <c r="V14" s="100">
        <f t="shared" si="24"/>
        <v>1289.6016660631435</v>
      </c>
      <c r="W14" s="100">
        <f t="shared" si="24"/>
        <v>1860.0000000000002</v>
      </c>
      <c r="X14" s="100"/>
      <c r="Y14" s="100"/>
      <c r="Z14" s="100"/>
      <c r="AA14" s="100"/>
      <c r="AB14" s="100"/>
      <c r="AC14" s="100"/>
      <c r="AD14" s="118"/>
      <c r="AE14" s="138">
        <f>(AE18*1000)/AE16</f>
        <v>418.2614421169767</v>
      </c>
      <c r="AF14" s="100">
        <f t="shared" ref="AF14:AI14" si="25">(AF18*1000)/AF16</f>
        <v>587.44352631869765</v>
      </c>
      <c r="AG14" s="100">
        <f t="shared" si="25"/>
        <v>825.0578749671929</v>
      </c>
      <c r="AH14" s="100">
        <f t="shared" si="25"/>
        <v>1158.7845751083792</v>
      </c>
      <c r="AI14" s="100">
        <f t="shared" si="25"/>
        <v>1627.4999999999998</v>
      </c>
      <c r="AJ14" s="100"/>
      <c r="AK14" s="100"/>
      <c r="AL14" s="100"/>
      <c r="AM14" s="100"/>
      <c r="AN14" s="100"/>
      <c r="AO14" s="100"/>
    </row>
    <row r="15" spans="2:41">
      <c r="B15" s="150" t="s">
        <v>172</v>
      </c>
      <c r="C15" s="42"/>
      <c r="D15" s="30"/>
      <c r="E15" s="30"/>
      <c r="F15" s="84"/>
      <c r="G15" s="100">
        <f>(G20*1000)/G17</f>
        <v>63.489559789595695</v>
      </c>
      <c r="H15" s="100">
        <f t="shared" ref="H15:K15" si="26">(H20*1000)/H17</f>
        <v>101.41491815674145</v>
      </c>
      <c r="I15" s="100">
        <f t="shared" si="26"/>
        <v>161.994911585826</v>
      </c>
      <c r="J15" s="100">
        <f t="shared" si="26"/>
        <v>258.76223988211291</v>
      </c>
      <c r="K15" s="100">
        <f t="shared" si="26"/>
        <v>413.33333333333343</v>
      </c>
      <c r="L15" s="100"/>
      <c r="M15" s="100"/>
      <c r="N15" s="100"/>
      <c r="O15" s="100"/>
      <c r="P15" s="100"/>
      <c r="Q15" s="171"/>
      <c r="R15" s="118"/>
      <c r="S15" s="100">
        <f>(S20*1000)/S17</f>
        <v>48.702883207993473</v>
      </c>
      <c r="T15" s="100">
        <f t="shared" ref="T15:W15" si="27">(T20*1000)/T17</f>
        <v>77.795450636364379</v>
      </c>
      <c r="U15" s="100">
        <f t="shared" si="27"/>
        <v>124.26640356934112</v>
      </c>
      <c r="V15" s="100">
        <f t="shared" si="27"/>
        <v>198.49668495705268</v>
      </c>
      <c r="W15" s="100">
        <f t="shared" si="27"/>
        <v>590.47619047619048</v>
      </c>
      <c r="X15" s="100"/>
      <c r="Y15" s="100"/>
      <c r="Z15" s="100"/>
      <c r="AA15" s="100"/>
      <c r="AB15" s="100"/>
      <c r="AC15" s="100"/>
      <c r="AD15" s="118"/>
      <c r="AE15" s="138">
        <f>(AE20*1000)/AE17</f>
        <v>56.766838274347336</v>
      </c>
      <c r="AF15" s="100">
        <f t="shared" ref="AF15:AI15" si="28">(AF20*1000)/AF17</f>
        <v>81.07493796382775</v>
      </c>
      <c r="AG15" s="100">
        <f t="shared" si="28"/>
        <v>115.79199697667306</v>
      </c>
      <c r="AH15" s="100">
        <f t="shared" si="28"/>
        <v>165.37523062710034</v>
      </c>
      <c r="AI15" s="100">
        <f t="shared" si="28"/>
        <v>236.1904761904762</v>
      </c>
      <c r="AJ15" s="100"/>
      <c r="AK15" s="100"/>
      <c r="AL15" s="100"/>
      <c r="AM15" s="100"/>
      <c r="AN15" s="100"/>
      <c r="AO15" s="100"/>
    </row>
    <row r="16" spans="2:41">
      <c r="B16" s="150" t="s">
        <v>174</v>
      </c>
      <c r="C16" s="42"/>
      <c r="D16" s="30"/>
      <c r="E16" s="30"/>
      <c r="F16" s="188">
        <v>960</v>
      </c>
      <c r="G16" s="189">
        <v>960</v>
      </c>
      <c r="H16" s="189">
        <v>960</v>
      </c>
      <c r="I16" s="189">
        <v>960</v>
      </c>
      <c r="J16" s="189">
        <v>960</v>
      </c>
      <c r="K16" s="189">
        <v>960</v>
      </c>
      <c r="L16" s="189"/>
      <c r="M16" s="189"/>
      <c r="N16" s="189"/>
      <c r="O16" s="189"/>
      <c r="P16" s="189"/>
      <c r="Q16" s="191"/>
      <c r="R16" s="192"/>
      <c r="S16" s="189">
        <v>960</v>
      </c>
      <c r="T16" s="189">
        <v>960</v>
      </c>
      <c r="U16" s="189">
        <v>960</v>
      </c>
      <c r="V16" s="189">
        <v>960</v>
      </c>
      <c r="W16" s="189">
        <v>960</v>
      </c>
      <c r="X16" s="189"/>
      <c r="Y16" s="189"/>
      <c r="Z16" s="189"/>
      <c r="AA16" s="189"/>
      <c r="AB16" s="189"/>
      <c r="AC16" s="189"/>
      <c r="AD16" s="192"/>
      <c r="AE16" s="190">
        <v>960</v>
      </c>
      <c r="AF16" s="189">
        <v>960</v>
      </c>
      <c r="AG16" s="189">
        <v>960</v>
      </c>
      <c r="AH16" s="189">
        <v>960</v>
      </c>
      <c r="AI16" s="189">
        <v>960</v>
      </c>
      <c r="AJ16" s="189"/>
      <c r="AK16" s="189"/>
      <c r="AL16" s="189"/>
      <c r="AM16" s="189"/>
      <c r="AN16" s="189"/>
      <c r="AO16" s="189"/>
    </row>
    <row r="17" spans="2:41">
      <c r="B17" s="150" t="s">
        <v>173</v>
      </c>
      <c r="C17" s="42"/>
      <c r="D17" s="30"/>
      <c r="E17" s="30"/>
      <c r="F17" s="86">
        <v>960</v>
      </c>
      <c r="G17" s="43">
        <f>F17*(1+(($K$17/$F$17)^0.2-1))</f>
        <v>1026.825960696066</v>
      </c>
      <c r="H17" s="43">
        <f>G17*(1+(($K$17/$F$17)^0.2-1))</f>
        <v>1098.3037016243738</v>
      </c>
      <c r="I17" s="43">
        <f>H17*(1+(($K$17/$F$17)^0.2-1))</f>
        <v>1174.7570349546804</v>
      </c>
      <c r="J17" s="43">
        <f>I17*(1+(($K$17/$F$17)^0.2-1))</f>
        <v>1256.5323135435435</v>
      </c>
      <c r="K17" s="107">
        <f>1.4*F17</f>
        <v>1344</v>
      </c>
      <c r="L17" s="107"/>
      <c r="M17" s="107"/>
      <c r="N17" s="107"/>
      <c r="O17" s="107"/>
      <c r="P17" s="107"/>
      <c r="Q17" s="172"/>
      <c r="R17" s="119"/>
      <c r="S17" s="43">
        <f>K17*(1+(($K$17/$F$17)^0.2-1))</f>
        <v>1437.5563449744925</v>
      </c>
      <c r="T17" s="43">
        <f>S17*(1+(($K$17/$F$17)^0.2-1))</f>
        <v>1537.6251822741235</v>
      </c>
      <c r="U17" s="43">
        <f>T17*(1+(($K$17/$F$17)^0.2-1))</f>
        <v>1644.6598489365526</v>
      </c>
      <c r="V17" s="43">
        <f>U17*(1+(($K$17/$F$17)^0.2-1))</f>
        <v>1759.145238960961</v>
      </c>
      <c r="W17" s="107">
        <f>K17</f>
        <v>1344</v>
      </c>
      <c r="X17" s="107"/>
      <c r="Y17" s="107"/>
      <c r="Z17" s="107"/>
      <c r="AA17" s="107"/>
      <c r="AB17" s="107"/>
      <c r="AC17" s="107"/>
      <c r="AD17" s="119"/>
      <c r="AE17" s="139">
        <f>F17*(1+(($AI$17/$F$17)^0.2-1))</f>
        <v>1026.825960696066</v>
      </c>
      <c r="AF17" s="43">
        <f>AE17*(1+(($AI$17/$F$17)^0.2-1))</f>
        <v>1098.3037016243738</v>
      </c>
      <c r="AG17" s="43">
        <f>AF17*(1+(($AI$17/$F$17)^0.2-1))</f>
        <v>1174.7570349546804</v>
      </c>
      <c r="AH17" s="43">
        <f>AG17*(1+(($AI$17/$F$17)^0.2-1))</f>
        <v>1256.5323135435435</v>
      </c>
      <c r="AI17" s="107">
        <f>W17</f>
        <v>1344</v>
      </c>
      <c r="AJ17" s="107"/>
      <c r="AK17" s="107"/>
      <c r="AL17" s="107"/>
      <c r="AM17" s="107"/>
      <c r="AN17" s="107"/>
      <c r="AO17" s="107"/>
    </row>
    <row r="18" spans="2:41">
      <c r="B18" s="156" t="s">
        <v>49</v>
      </c>
      <c r="C18" s="157"/>
      <c r="D18" s="157"/>
      <c r="E18" s="157">
        <v>161.333</v>
      </c>
      <c r="F18" s="158">
        <v>320.21862642270042</v>
      </c>
      <c r="G18" s="157">
        <f t="shared" ref="G18:J18" si="29">G10*G7</f>
        <v>412.39885702601538</v>
      </c>
      <c r="H18" s="157">
        <f t="shared" si="29"/>
        <v>594.88652823672282</v>
      </c>
      <c r="I18" s="157">
        <f t="shared" si="29"/>
        <v>858.12551477371505</v>
      </c>
      <c r="J18" s="157">
        <f t="shared" si="29"/>
        <v>1237.8485041312388</v>
      </c>
      <c r="K18" s="157">
        <f>K10*K7</f>
        <v>1785.6000000000001</v>
      </c>
      <c r="L18" s="157"/>
      <c r="M18" s="157"/>
      <c r="N18" s="157"/>
      <c r="O18" s="157"/>
      <c r="P18" s="157"/>
      <c r="Q18" s="173"/>
      <c r="R18" s="112"/>
      <c r="S18" s="157">
        <f t="shared" ref="S18:V18" si="30">S10*S7</f>
        <v>412.45519243687994</v>
      </c>
      <c r="T18" s="157">
        <f t="shared" si="30"/>
        <v>594.96779222767498</v>
      </c>
      <c r="U18" s="157">
        <f t="shared" si="30"/>
        <v>858.24273831258904</v>
      </c>
      <c r="V18" s="157">
        <f t="shared" si="30"/>
        <v>1238.0175994206179</v>
      </c>
      <c r="W18" s="157">
        <f>W10*W7</f>
        <v>1785.6000000000001</v>
      </c>
      <c r="X18" s="157"/>
      <c r="Y18" s="157"/>
      <c r="Z18" s="157"/>
      <c r="AA18" s="157"/>
      <c r="AB18" s="157"/>
      <c r="AC18" s="157"/>
      <c r="AD18" s="112"/>
      <c r="AE18" s="159">
        <f t="shared" ref="AE18:AH18" si="31">AE10*AE7</f>
        <v>401.53098443229766</v>
      </c>
      <c r="AF18" s="157">
        <f t="shared" si="31"/>
        <v>563.94578526594978</v>
      </c>
      <c r="AG18" s="157">
        <f t="shared" si="31"/>
        <v>792.05555996850512</v>
      </c>
      <c r="AH18" s="157">
        <f t="shared" si="31"/>
        <v>1112.4331921040439</v>
      </c>
      <c r="AI18" s="157">
        <f>AI10*AI7</f>
        <v>1562.3999999999999</v>
      </c>
      <c r="AJ18" s="157"/>
      <c r="AK18" s="157"/>
      <c r="AL18" s="157"/>
      <c r="AM18" s="157"/>
      <c r="AN18" s="157"/>
      <c r="AO18" s="157"/>
    </row>
    <row r="19" spans="2:41">
      <c r="B19" s="150" t="s">
        <v>41</v>
      </c>
      <c r="C19" s="30"/>
      <c r="D19" s="30"/>
      <c r="E19" s="30">
        <v>1</v>
      </c>
      <c r="F19" s="84">
        <v>0.9</v>
      </c>
      <c r="G19" s="30">
        <f>G18/G24</f>
        <v>0.85396097975688656</v>
      </c>
      <c r="H19" s="30">
        <f t="shared" ref="H19:K19" si="32">H18/H24</f>
        <v>0.83225384635298827</v>
      </c>
      <c r="I19" s="30">
        <f t="shared" si="32"/>
        <v>0.80799907092893131</v>
      </c>
      <c r="J19" s="30">
        <f t="shared" si="32"/>
        <v>0.78111119315870303</v>
      </c>
      <c r="K19" s="30">
        <f t="shared" si="32"/>
        <v>0.75156576200417535</v>
      </c>
      <c r="L19" s="30"/>
      <c r="M19" s="30"/>
      <c r="N19" s="30"/>
      <c r="O19" s="30"/>
      <c r="P19" s="30"/>
      <c r="Q19" s="170"/>
      <c r="R19" s="117"/>
      <c r="S19" s="30">
        <f>S18/S24</f>
        <v>0.84769755755446363</v>
      </c>
      <c r="T19" s="30">
        <f t="shared" ref="T19:W19" si="33">T18/T24</f>
        <v>0.82505746266328928</v>
      </c>
      <c r="U19" s="30">
        <f t="shared" si="33"/>
        <v>0.79981088958008095</v>
      </c>
      <c r="V19" s="30">
        <f t="shared" si="33"/>
        <v>0.77189118045342586</v>
      </c>
      <c r="W19" s="30">
        <f t="shared" si="33"/>
        <v>0.67924528301886788</v>
      </c>
      <c r="X19" s="30"/>
      <c r="Y19" s="30"/>
      <c r="Z19" s="30"/>
      <c r="AA19" s="30"/>
      <c r="AB19" s="30"/>
      <c r="AC19" s="30"/>
      <c r="AD19" s="117"/>
      <c r="AE19" s="135">
        <f>AE18/AE24</f>
        <v>0.86427128228642836</v>
      </c>
      <c r="AF19" s="30">
        <f t="shared" ref="AF19:AI19" si="34">AF18/AF24</f>
        <v>0.8547210423883399</v>
      </c>
      <c r="AG19" s="30">
        <f t="shared" si="34"/>
        <v>0.84458039410176766</v>
      </c>
      <c r="AH19" s="30">
        <f t="shared" si="34"/>
        <v>0.83383041224429377</v>
      </c>
      <c r="AI19" s="30">
        <f t="shared" si="34"/>
        <v>0.82245430809399478</v>
      </c>
      <c r="AJ19" s="30"/>
      <c r="AK19" s="30"/>
      <c r="AL19" s="30"/>
      <c r="AM19" s="30"/>
      <c r="AN19" s="30"/>
      <c r="AO19" s="30"/>
    </row>
    <row r="20" spans="2:41">
      <c r="B20" s="156" t="s">
        <v>52</v>
      </c>
      <c r="C20" s="157"/>
      <c r="D20" s="157"/>
      <c r="E20" s="157">
        <v>0</v>
      </c>
      <c r="F20" s="158">
        <v>35.579847380300052</v>
      </c>
      <c r="G20" s="157">
        <f t="shared" ref="G20:J20" si="35">G11*G6</f>
        <v>65.192728225121925</v>
      </c>
      <c r="H20" s="157">
        <f t="shared" si="35"/>
        <v>111.38438001148207</v>
      </c>
      <c r="I20" s="157">
        <f t="shared" si="35"/>
        <v>190.30466201231056</v>
      </c>
      <c r="J20" s="157">
        <f t="shared" si="35"/>
        <v>325.1431159367807</v>
      </c>
      <c r="K20" s="157">
        <f>K11*K6</f>
        <v>555.5200000000001</v>
      </c>
      <c r="L20" s="157"/>
      <c r="M20" s="157"/>
      <c r="N20" s="157"/>
      <c r="O20" s="157"/>
      <c r="P20" s="157"/>
      <c r="Q20" s="173"/>
      <c r="R20" s="112"/>
      <c r="S20" s="157">
        <f t="shared" ref="S20:V20" si="36">S11*S6</f>
        <v>70.013138774202687</v>
      </c>
      <c r="T20" s="157">
        <f t="shared" si="36"/>
        <v>119.62024396483736</v>
      </c>
      <c r="U20" s="157">
        <f t="shared" si="36"/>
        <v>204.37596452224128</v>
      </c>
      <c r="V20" s="157">
        <f t="shared" si="36"/>
        <v>349.18449829173301</v>
      </c>
      <c r="W20" s="157">
        <f>W11*W6</f>
        <v>793.6</v>
      </c>
      <c r="X20" s="157"/>
      <c r="Y20" s="157"/>
      <c r="Z20" s="157"/>
      <c r="AA20" s="157"/>
      <c r="AB20" s="157"/>
      <c r="AC20" s="157"/>
      <c r="AD20" s="112"/>
      <c r="AE20" s="159">
        <f t="shared" ref="AE20:AH20" si="37">AE11*AE6</f>
        <v>58.289663246734911</v>
      </c>
      <c r="AF20" s="157">
        <f t="shared" si="37"/>
        <v>89.044904474638486</v>
      </c>
      <c r="AG20" s="157">
        <f t="shared" si="37"/>
        <v>136.02746303979777</v>
      </c>
      <c r="AH20" s="157">
        <f t="shared" si="37"/>
        <v>207.79932114266748</v>
      </c>
      <c r="AI20" s="157">
        <f>AI11*AI6</f>
        <v>317.44</v>
      </c>
      <c r="AJ20" s="157"/>
      <c r="AK20" s="157"/>
      <c r="AL20" s="157"/>
      <c r="AM20" s="157"/>
      <c r="AN20" s="157"/>
      <c r="AO20" s="157"/>
    </row>
    <row r="21" spans="2:41">
      <c r="B21" s="150" t="s">
        <v>41</v>
      </c>
      <c r="C21" s="30"/>
      <c r="D21" s="30"/>
      <c r="E21" s="30">
        <v>0</v>
      </c>
      <c r="F21" s="84">
        <v>0.1</v>
      </c>
      <c r="G21" s="30">
        <f>G20/G24</f>
        <v>0.13499563618974236</v>
      </c>
      <c r="H21" s="30">
        <f t="shared" ref="H21:K21" si="38">H20/H24</f>
        <v>0.15582816938713859</v>
      </c>
      <c r="I21" s="30">
        <f t="shared" si="38"/>
        <v>0.17918822765681172</v>
      </c>
      <c r="J21" s="30">
        <f t="shared" si="38"/>
        <v>0.20517286759171191</v>
      </c>
      <c r="K21" s="30">
        <f t="shared" si="38"/>
        <v>0.23382045929018791</v>
      </c>
      <c r="L21" s="30"/>
      <c r="M21" s="30"/>
      <c r="N21" s="30"/>
      <c r="O21" s="30"/>
      <c r="P21" s="30"/>
      <c r="Q21" s="170"/>
      <c r="R21" s="117"/>
      <c r="S21" s="30">
        <f>S20/S24</f>
        <v>0.14389433767328785</v>
      </c>
      <c r="T21" s="30">
        <f t="shared" ref="T21:W21" si="39">T20/T24</f>
        <v>0.16588053380043385</v>
      </c>
      <c r="U21" s="30">
        <f t="shared" si="39"/>
        <v>0.19046140992081975</v>
      </c>
      <c r="V21" s="30">
        <f t="shared" si="39"/>
        <v>0.21771292646290491</v>
      </c>
      <c r="W21" s="30">
        <f t="shared" si="39"/>
        <v>0.30188679245283018</v>
      </c>
      <c r="X21" s="30"/>
      <c r="Y21" s="30"/>
      <c r="Z21" s="30"/>
      <c r="AA21" s="30"/>
      <c r="AB21" s="30"/>
      <c r="AC21" s="30"/>
      <c r="AD21" s="117"/>
      <c r="AE21" s="135">
        <f>AE20/AE24</f>
        <v>0.1254649926195022</v>
      </c>
      <c r="AF21" s="30">
        <f t="shared" ref="AF21:AI21" si="40">AF20/AF24</f>
        <v>0.13495721674033137</v>
      </c>
      <c r="AG21" s="30">
        <f t="shared" si="40"/>
        <v>0.14504806752115257</v>
      </c>
      <c r="AH21" s="30">
        <f t="shared" si="40"/>
        <v>0.15575712307249212</v>
      </c>
      <c r="AI21" s="30">
        <f t="shared" si="40"/>
        <v>0.16710182767624021</v>
      </c>
      <c r="AJ21" s="30"/>
      <c r="AK21" s="30"/>
      <c r="AL21" s="30"/>
      <c r="AM21" s="30"/>
      <c r="AN21" s="30"/>
      <c r="AO21" s="30"/>
    </row>
    <row r="22" spans="2:41">
      <c r="B22" s="156" t="s">
        <v>175</v>
      </c>
      <c r="C22" s="157"/>
      <c r="D22" s="157"/>
      <c r="E22" s="157">
        <v>0</v>
      </c>
      <c r="F22" s="158">
        <v>0</v>
      </c>
      <c r="G22" s="160">
        <f>(G15*84)/1000</f>
        <v>5.3331230223260384</v>
      </c>
      <c r="H22" s="160">
        <f t="shared" ref="H22:K22" si="41">(H15*84)/1000</f>
        <v>8.5188531251662827</v>
      </c>
      <c r="I22" s="160">
        <f t="shared" si="41"/>
        <v>13.607572573209385</v>
      </c>
      <c r="J22" s="160">
        <f t="shared" si="41"/>
        <v>21.736028150097486</v>
      </c>
      <c r="K22" s="160">
        <f t="shared" si="41"/>
        <v>34.720000000000006</v>
      </c>
      <c r="L22" s="160"/>
      <c r="M22" s="160"/>
      <c r="N22" s="160"/>
      <c r="O22" s="160"/>
      <c r="P22" s="160"/>
      <c r="Q22" s="174"/>
      <c r="R22" s="120"/>
      <c r="S22" s="160">
        <f>(S15*84)/1000</f>
        <v>4.0910421894714517</v>
      </c>
      <c r="T22" s="160">
        <f t="shared" ref="T22:W22" si="42">(T15*84)/1000</f>
        <v>6.5348178534546078</v>
      </c>
      <c r="U22" s="160">
        <f t="shared" si="42"/>
        <v>10.438377899824655</v>
      </c>
      <c r="V22" s="160">
        <f t="shared" si="42"/>
        <v>16.673721536392428</v>
      </c>
      <c r="W22" s="160">
        <f t="shared" si="42"/>
        <v>49.6</v>
      </c>
      <c r="X22" s="160"/>
      <c r="Y22" s="160"/>
      <c r="Z22" s="160"/>
      <c r="AA22" s="160"/>
      <c r="AB22" s="160"/>
      <c r="AC22" s="160"/>
      <c r="AD22" s="120"/>
      <c r="AE22" s="161">
        <f>(AE15*84)/1000</f>
        <v>4.7684144150451768</v>
      </c>
      <c r="AF22" s="160">
        <f t="shared" ref="AF22:AI22" si="43">(AF15*84)/1000</f>
        <v>6.8102947889615306</v>
      </c>
      <c r="AG22" s="160">
        <f t="shared" si="43"/>
        <v>9.7265277460405386</v>
      </c>
      <c r="AH22" s="160">
        <f t="shared" si="43"/>
        <v>13.891519372676429</v>
      </c>
      <c r="AI22" s="160">
        <f t="shared" si="43"/>
        <v>19.84</v>
      </c>
      <c r="AJ22" s="160"/>
      <c r="AK22" s="160"/>
      <c r="AL22" s="160"/>
      <c r="AM22" s="160"/>
      <c r="AN22" s="160"/>
      <c r="AO22" s="160"/>
    </row>
    <row r="23" spans="2:41">
      <c r="B23" s="150" t="s">
        <v>59</v>
      </c>
      <c r="C23" s="30"/>
      <c r="D23" s="30"/>
      <c r="E23" s="30">
        <v>0</v>
      </c>
      <c r="F23" s="84">
        <v>0</v>
      </c>
      <c r="G23" s="30">
        <f>G22/G12</f>
        <v>1.0816120647392714E-2</v>
      </c>
      <c r="H23" s="30">
        <f t="shared" ref="H23:K23" si="44">H22/H12</f>
        <v>1.1813882044902689E-2</v>
      </c>
      <c r="I23" s="30">
        <f t="shared" si="44"/>
        <v>1.2887476374758101E-2</v>
      </c>
      <c r="J23" s="30">
        <f t="shared" si="44"/>
        <v>1.4039658910386275E-2</v>
      </c>
      <c r="K23" s="30">
        <f t="shared" si="44"/>
        <v>1.5272727272727275E-2</v>
      </c>
      <c r="L23" s="30"/>
      <c r="M23" s="30"/>
      <c r="N23" s="30"/>
      <c r="O23" s="30"/>
      <c r="P23" s="30"/>
      <c r="Q23" s="170"/>
      <c r="R23" s="117"/>
      <c r="S23" s="30">
        <f>S22/S12</f>
        <v>8.5525159323313962E-3</v>
      </c>
      <c r="T23" s="30">
        <f t="shared" ref="T23:W23" si="45">T22/T12</f>
        <v>9.3681950140382247E-3</v>
      </c>
      <c r="U23" s="30">
        <f t="shared" si="45"/>
        <v>1.0251097967006897E-2</v>
      </c>
      <c r="V23" s="30">
        <f t="shared" si="45"/>
        <v>1.1204717433468977E-2</v>
      </c>
      <c r="W23" s="30">
        <f t="shared" si="45"/>
        <v>2.0240963855421686E-2</v>
      </c>
      <c r="X23" s="30"/>
      <c r="Y23" s="30"/>
      <c r="Z23" s="30"/>
      <c r="AA23" s="30"/>
      <c r="AB23" s="30"/>
      <c r="AC23" s="30"/>
      <c r="AD23" s="117"/>
      <c r="AE23" s="135">
        <f>AE22/AE12</f>
        <v>1.0038169540383996E-2</v>
      </c>
      <c r="AF23" s="30">
        <f t="shared" ref="AF23:AI23" si="46">AF22/AF12</f>
        <v>1.0187145386134621E-2</v>
      </c>
      <c r="AG23" s="30">
        <f t="shared" si="46"/>
        <v>1.0338023138531981E-2</v>
      </c>
      <c r="AH23" s="30">
        <f t="shared" si="46"/>
        <v>1.0490817885051757E-2</v>
      </c>
      <c r="AI23" s="30">
        <f t="shared" si="46"/>
        <v>1.0645544554455447E-2</v>
      </c>
      <c r="AJ23" s="30"/>
      <c r="AK23" s="30"/>
      <c r="AL23" s="30"/>
      <c r="AM23" s="30"/>
      <c r="AN23" s="30"/>
      <c r="AO23" s="30"/>
    </row>
    <row r="24" spans="2:41" ht="15" thickBot="1">
      <c r="B24" s="151" t="s">
        <v>46</v>
      </c>
      <c r="C24" s="85"/>
      <c r="D24" s="28"/>
      <c r="E24" s="28">
        <v>161.333</v>
      </c>
      <c r="F24" s="28">
        <v>355.79847380300049</v>
      </c>
      <c r="G24" s="28">
        <f>G22+G20+G18</f>
        <v>482.92470827346335</v>
      </c>
      <c r="H24" s="28">
        <f t="shared" ref="H24:K24" si="47">H22+H20+H18</f>
        <v>714.78976137337122</v>
      </c>
      <c r="I24" s="28">
        <f t="shared" si="47"/>
        <v>1062.037749359235</v>
      </c>
      <c r="J24" s="28">
        <f t="shared" si="47"/>
        <v>1584.7276482181169</v>
      </c>
      <c r="K24" s="28">
        <f t="shared" si="47"/>
        <v>2375.84</v>
      </c>
      <c r="L24" s="28">
        <f>K24*(1+L8)</f>
        <v>3222.9693315604754</v>
      </c>
      <c r="M24" s="28">
        <f t="shared" ref="M24:Q24" si="48">L24*(1+M8)</f>
        <v>4094.5245162461597</v>
      </c>
      <c r="N24" s="28">
        <f t="shared" si="48"/>
        <v>4849.0633399939134</v>
      </c>
      <c r="O24" s="28">
        <f t="shared" si="48"/>
        <v>5324.9503249285399</v>
      </c>
      <c r="P24" s="28">
        <f t="shared" si="48"/>
        <v>5388.8497288276822</v>
      </c>
      <c r="Q24" s="169">
        <f t="shared" si="48"/>
        <v>5453.5159255736144</v>
      </c>
      <c r="R24" s="112"/>
      <c r="S24" s="28">
        <f t="shared" ref="S24:W24" si="49">S22+S20+S18</f>
        <v>486.55937340055408</v>
      </c>
      <c r="T24" s="28">
        <f t="shared" si="49"/>
        <v>721.12285404596696</v>
      </c>
      <c r="U24" s="28">
        <f t="shared" si="49"/>
        <v>1073.0570807346548</v>
      </c>
      <c r="V24" s="28">
        <f t="shared" si="49"/>
        <v>1603.8758192487433</v>
      </c>
      <c r="W24" s="28">
        <f t="shared" si="49"/>
        <v>2628.8</v>
      </c>
      <c r="X24" s="28">
        <f>W24*(1+X8)</f>
        <v>3566.1247301191061</v>
      </c>
      <c r="Y24" s="28">
        <f t="shared" ref="Y24:AC24" si="50">X24*(1+Y8)</f>
        <v>4530.4759783099462</v>
      </c>
      <c r="Z24" s="28">
        <f t="shared" si="50"/>
        <v>5365.35192107886</v>
      </c>
      <c r="AA24" s="28">
        <f t="shared" si="50"/>
        <v>5891.9074576453568</v>
      </c>
      <c r="AB24" s="28">
        <f t="shared" si="50"/>
        <v>5962.6103471371007</v>
      </c>
      <c r="AC24" s="28">
        <f t="shared" si="50"/>
        <v>6034.1616713027461</v>
      </c>
      <c r="AD24" s="112"/>
      <c r="AE24" s="137">
        <f t="shared" ref="AE24:AI24" si="51">AE22+AE20+AE18</f>
        <v>464.58906209407775</v>
      </c>
      <c r="AF24" s="28">
        <f t="shared" si="51"/>
        <v>659.80098452954985</v>
      </c>
      <c r="AG24" s="28">
        <f t="shared" si="51"/>
        <v>937.80955075434349</v>
      </c>
      <c r="AH24" s="28">
        <f t="shared" si="51"/>
        <v>1334.1240326193879</v>
      </c>
      <c r="AI24" s="28">
        <f t="shared" si="51"/>
        <v>1899.6799999999998</v>
      </c>
      <c r="AJ24" s="28">
        <f>AI24*(1+AJ8)</f>
        <v>2577.0297578030518</v>
      </c>
      <c r="AK24" s="28">
        <f t="shared" ref="AK24:AO24" si="52">AJ24*(1+AK8)</f>
        <v>3273.9099994202061</v>
      </c>
      <c r="AL24" s="28">
        <f t="shared" si="52"/>
        <v>3877.2260108928358</v>
      </c>
      <c r="AM24" s="46">
        <f t="shared" si="52"/>
        <v>4257.7368986380588</v>
      </c>
      <c r="AN24" s="46">
        <f t="shared" si="52"/>
        <v>4308.8297414217159</v>
      </c>
      <c r="AO24" s="46">
        <f t="shared" si="52"/>
        <v>4360.5356983187767</v>
      </c>
    </row>
    <row r="25" spans="2:41" ht="15" thickTop="1">
      <c r="B25" s="150" t="s">
        <v>103</v>
      </c>
      <c r="C25" s="24"/>
      <c r="D25" s="24"/>
      <c r="E25" s="15">
        <v>1.7925888888888888</v>
      </c>
      <c r="F25" s="87">
        <v>3.9533163755888943</v>
      </c>
      <c r="G25" s="15">
        <f t="shared" ref="G25:J25" si="53">G24/90</f>
        <v>5.3658300919273705</v>
      </c>
      <c r="H25" s="15">
        <f t="shared" si="53"/>
        <v>7.9421084597041247</v>
      </c>
      <c r="I25" s="15">
        <f t="shared" si="53"/>
        <v>11.800419437324834</v>
      </c>
      <c r="J25" s="15">
        <f t="shared" si="53"/>
        <v>17.608084980201298</v>
      </c>
      <c r="K25" s="24">
        <f>K24/110</f>
        <v>21.598545454545455</v>
      </c>
      <c r="L25" s="24">
        <f t="shared" ref="L25:Q25" si="54">L24/110</f>
        <v>29.299721196004324</v>
      </c>
      <c r="M25" s="24">
        <f t="shared" si="54"/>
        <v>37.222950147692359</v>
      </c>
      <c r="N25" s="24">
        <f t="shared" si="54"/>
        <v>44.082393999944664</v>
      </c>
      <c r="O25" s="24">
        <f t="shared" si="54"/>
        <v>48.408639317532177</v>
      </c>
      <c r="P25" s="24">
        <f t="shared" si="54"/>
        <v>48.989542989342567</v>
      </c>
      <c r="Q25" s="24">
        <f t="shared" si="54"/>
        <v>49.577417505214676</v>
      </c>
      <c r="R25" s="120"/>
      <c r="S25" s="15">
        <f t="shared" ref="S25:V25" si="55">S24/90</f>
        <v>5.4062152600061566</v>
      </c>
      <c r="T25" s="15">
        <f t="shared" si="55"/>
        <v>8.0124761560662989</v>
      </c>
      <c r="U25" s="15">
        <f t="shared" si="55"/>
        <v>11.922856452607276</v>
      </c>
      <c r="V25" s="15">
        <f t="shared" si="55"/>
        <v>17.820842436097148</v>
      </c>
      <c r="W25" s="15">
        <f>W24/110</f>
        <v>23.898181818181818</v>
      </c>
      <c r="X25" s="15">
        <f t="shared" ref="X25:AC25" si="56">X24/110</f>
        <v>32.419315728355507</v>
      </c>
      <c r="Y25" s="15">
        <f t="shared" si="56"/>
        <v>41.186145257363144</v>
      </c>
      <c r="Z25" s="15">
        <f t="shared" si="56"/>
        <v>48.775926555262366</v>
      </c>
      <c r="AA25" s="15">
        <f t="shared" si="56"/>
        <v>53.562795069503245</v>
      </c>
      <c r="AB25" s="15">
        <f t="shared" si="56"/>
        <v>54.205548610337281</v>
      </c>
      <c r="AC25" s="15">
        <f t="shared" si="56"/>
        <v>54.856015193661328</v>
      </c>
      <c r="AD25" s="120"/>
      <c r="AE25" s="140">
        <f t="shared" ref="AE25:AH25" si="57">AE24/90</f>
        <v>5.1621006899341975</v>
      </c>
      <c r="AF25" s="15">
        <f t="shared" si="57"/>
        <v>7.3311220503283314</v>
      </c>
      <c r="AG25" s="15">
        <f t="shared" si="57"/>
        <v>10.420106119492706</v>
      </c>
      <c r="AH25" s="15">
        <f t="shared" si="57"/>
        <v>14.823600362437643</v>
      </c>
      <c r="AI25" s="15">
        <f>AI24/110</f>
        <v>17.269818181818181</v>
      </c>
      <c r="AJ25" s="15">
        <f t="shared" ref="AJ25:AO25" si="58">AJ24/110</f>
        <v>23.427543252755015</v>
      </c>
      <c r="AK25" s="15">
        <f t="shared" si="58"/>
        <v>29.762818176547327</v>
      </c>
      <c r="AL25" s="15">
        <f t="shared" si="58"/>
        <v>35.247509189934874</v>
      </c>
      <c r="AM25" s="15">
        <f t="shared" si="58"/>
        <v>38.706699078527805</v>
      </c>
      <c r="AN25" s="15">
        <f t="shared" si="58"/>
        <v>39.171179467470147</v>
      </c>
      <c r="AO25" s="15">
        <f t="shared" si="58"/>
        <v>39.641233621079785</v>
      </c>
    </row>
    <row r="26" spans="2:41">
      <c r="B26" s="147" t="s">
        <v>47</v>
      </c>
      <c r="C26" s="24"/>
      <c r="D26" s="24"/>
      <c r="E26" s="24"/>
      <c r="F26" s="83">
        <v>0.15</v>
      </c>
      <c r="G26" s="30">
        <f>F26*(1+(($K$26/$F$26)^0.2-1))</f>
        <v>0.14345287496850553</v>
      </c>
      <c r="H26" s="30">
        <f>G26*(1+(($K$26/$F$26)^0.2-1))</f>
        <v>0.13719151557819789</v>
      </c>
      <c r="I26" s="30">
        <f>H26*(1+(($K$26/$F$26)^0.2-1))</f>
        <v>0.13120344887319335</v>
      </c>
      <c r="J26" s="30">
        <f>I26*(1+(($K$26/$F$26)^0.2-1))</f>
        <v>0.12547674631095276</v>
      </c>
      <c r="K26" s="106">
        <v>0.12</v>
      </c>
      <c r="L26" s="106"/>
      <c r="M26" s="106"/>
      <c r="N26" s="106"/>
      <c r="O26" s="106"/>
      <c r="P26" s="106"/>
      <c r="Q26" s="168"/>
      <c r="R26" s="116"/>
      <c r="S26" s="30">
        <f>F26*(1+(($W$26/$F$26)^0.2-1))</f>
        <v>0.14345287496850553</v>
      </c>
      <c r="T26" s="30">
        <f>G26*(1+(($W$26/$F$26)^0.2-1))</f>
        <v>0.13719151557819789</v>
      </c>
      <c r="U26" s="30">
        <f>H26*(1+(($W$26/$F$26)^0.2-1))</f>
        <v>0.13120344887319335</v>
      </c>
      <c r="V26" s="30">
        <f>I26*(1+(($W$26/$F$26)^0.2-1))</f>
        <v>0.12547674631095276</v>
      </c>
      <c r="W26" s="106">
        <v>0.12</v>
      </c>
      <c r="X26" s="106"/>
      <c r="Y26" s="106"/>
      <c r="Z26" s="106"/>
      <c r="AA26" s="106"/>
      <c r="AB26" s="106"/>
      <c r="AC26" s="106"/>
      <c r="AD26" s="116"/>
      <c r="AE26" s="135">
        <f>K26*(1+(($AI$26/$F$26)^0.2-1))</f>
        <v>0.11476229997480443</v>
      </c>
      <c r="AF26" s="135">
        <f>AE26</f>
        <v>0.11476229997480443</v>
      </c>
      <c r="AG26" s="30">
        <f>AF26</f>
        <v>0.11476229997480443</v>
      </c>
      <c r="AH26" s="30">
        <f>AG26</f>
        <v>0.11476229997480443</v>
      </c>
      <c r="AI26" s="106">
        <v>0.12</v>
      </c>
      <c r="AJ26" s="106"/>
      <c r="AK26" s="106"/>
      <c r="AL26" s="106"/>
      <c r="AM26" s="106"/>
      <c r="AN26" s="106"/>
      <c r="AO26" s="106"/>
    </row>
    <row r="27" spans="2:41" ht="15" thickBot="1">
      <c r="B27" s="151" t="s">
        <v>34</v>
      </c>
      <c r="C27" s="85">
        <v>19.795999999999999</v>
      </c>
      <c r="D27" s="28">
        <v>70.5</v>
      </c>
      <c r="E27" s="28">
        <v>161.333</v>
      </c>
      <c r="F27" s="28">
        <v>288.28099999999995</v>
      </c>
      <c r="G27" s="28">
        <f t="shared" ref="G27:AI27" si="59">(1-G26)*G24</f>
        <v>413.64777047830819</v>
      </c>
      <c r="H27" s="28">
        <f t="shared" si="59"/>
        <v>616.72667069078</v>
      </c>
      <c r="I27" s="28">
        <f t="shared" si="59"/>
        <v>922.69473380977934</v>
      </c>
      <c r="J27" s="28">
        <f t="shared" si="59"/>
        <v>1385.8811791306996</v>
      </c>
      <c r="K27" s="28">
        <f t="shared" si="59"/>
        <v>2090.7392</v>
      </c>
      <c r="L27" s="28">
        <f>K27*(1+L8)</f>
        <v>2836.2130117732181</v>
      </c>
      <c r="M27" s="28">
        <f t="shared" ref="M27:Q27" si="60">L27*(1+M8)</f>
        <v>3603.1815742966201</v>
      </c>
      <c r="N27" s="28">
        <f t="shared" si="60"/>
        <v>4267.1757391946439</v>
      </c>
      <c r="O27" s="28">
        <f t="shared" si="60"/>
        <v>4685.9562859371154</v>
      </c>
      <c r="P27" s="28">
        <f t="shared" si="60"/>
        <v>4742.187761368361</v>
      </c>
      <c r="Q27" s="169">
        <f t="shared" si="60"/>
        <v>4799.0940145047816</v>
      </c>
      <c r="R27" s="112"/>
      <c r="S27" s="28">
        <f t="shared" si="59"/>
        <v>416.76103244336997</v>
      </c>
      <c r="T27" s="28">
        <f t="shared" si="59"/>
        <v>622.1909167813252</v>
      </c>
      <c r="U27" s="28">
        <f t="shared" si="59"/>
        <v>932.26829090446745</v>
      </c>
      <c r="V27" s="28">
        <f t="shared" si="59"/>
        <v>1402.6266999625973</v>
      </c>
      <c r="W27" s="28">
        <f t="shared" si="59"/>
        <v>2313.3440000000001</v>
      </c>
      <c r="X27" s="28">
        <f>W27*(1+X8)</f>
        <v>3138.1897625048132</v>
      </c>
      <c r="Y27" s="28">
        <f t="shared" ref="Y27:AC27" si="61">X27*(1+Y8)</f>
        <v>3986.8188609127528</v>
      </c>
      <c r="Z27" s="28">
        <f t="shared" si="61"/>
        <v>4721.5096905493965</v>
      </c>
      <c r="AA27" s="28">
        <f t="shared" si="61"/>
        <v>5184.878562727914</v>
      </c>
      <c r="AB27" s="28">
        <f t="shared" si="61"/>
        <v>5247.0971054806487</v>
      </c>
      <c r="AC27" s="28">
        <f t="shared" si="61"/>
        <v>5310.0622707464163</v>
      </c>
      <c r="AD27" s="112"/>
      <c r="AE27" s="137">
        <f t="shared" si="59"/>
        <v>411.27175278502415</v>
      </c>
      <c r="AF27" s="28">
        <f t="shared" si="59"/>
        <v>584.0807060192983</v>
      </c>
      <c r="AG27" s="28">
        <f t="shared" si="59"/>
        <v>830.18436977143688</v>
      </c>
      <c r="AH27" s="28">
        <f t="shared" si="59"/>
        <v>1181.0168901843258</v>
      </c>
      <c r="AI27" s="28">
        <f t="shared" si="59"/>
        <v>1671.7184</v>
      </c>
      <c r="AJ27" s="28">
        <f>AI27*(1+AJ8)</f>
        <v>2267.786186866686</v>
      </c>
      <c r="AK27" s="28">
        <f t="shared" ref="AK27:AO27" si="62">AJ27*(1+AK8)</f>
        <v>2881.0407994897819</v>
      </c>
      <c r="AL27" s="28">
        <f t="shared" si="62"/>
        <v>3411.9588895856964</v>
      </c>
      <c r="AM27" s="46">
        <f t="shared" si="62"/>
        <v>3746.8084708014931</v>
      </c>
      <c r="AN27" s="46">
        <f t="shared" si="62"/>
        <v>3791.7701724511112</v>
      </c>
      <c r="AO27" s="46">
        <f t="shared" si="62"/>
        <v>3837.2714145205246</v>
      </c>
    </row>
    <row r="28" spans="2:41" ht="15" thickTop="1">
      <c r="B28" s="150" t="s">
        <v>35</v>
      </c>
      <c r="C28" s="42"/>
      <c r="D28" s="30">
        <v>2.561325520307133</v>
      </c>
      <c r="E28" s="30">
        <v>1.2884113475177306</v>
      </c>
      <c r="F28" s="84">
        <v>0.78686939435825254</v>
      </c>
      <c r="G28" s="30">
        <f t="shared" ref="G28:K28" si="63">G27/F27-1</f>
        <v>0.43487697933026537</v>
      </c>
      <c r="H28" s="30">
        <f t="shared" si="63"/>
        <v>0.49094643971523921</v>
      </c>
      <c r="I28" s="30">
        <f t="shared" si="63"/>
        <v>0.49611615268120679</v>
      </c>
      <c r="J28" s="30">
        <f t="shared" si="63"/>
        <v>0.50199316019550366</v>
      </c>
      <c r="K28" s="30">
        <f t="shared" si="63"/>
        <v>0.50859917248564246</v>
      </c>
      <c r="L28" s="30"/>
      <c r="M28" s="30"/>
      <c r="N28" s="30"/>
      <c r="O28" s="30"/>
      <c r="P28" s="30"/>
      <c r="Q28" s="170"/>
      <c r="R28" s="117"/>
      <c r="S28" s="30">
        <f>S27/K27-1</f>
        <v>-0.80066330968330723</v>
      </c>
      <c r="T28" s="30">
        <f t="shared" ref="T28:W28" si="64">T27/S27-1</f>
        <v>0.49292008692264022</v>
      </c>
      <c r="U28" s="30">
        <f t="shared" si="64"/>
        <v>0.49836371081598707</v>
      </c>
      <c r="V28" s="30">
        <f t="shared" si="64"/>
        <v>0.50453116731214553</v>
      </c>
      <c r="W28" s="30">
        <f t="shared" si="64"/>
        <v>0.64929414224161586</v>
      </c>
      <c r="X28" s="30"/>
      <c r="Y28" s="30"/>
      <c r="Z28" s="30"/>
      <c r="AA28" s="30"/>
      <c r="AB28" s="30"/>
      <c r="AC28" s="30"/>
      <c r="AD28" s="117"/>
      <c r="AE28" s="135">
        <f>AE27/F27-1</f>
        <v>0.42663495958812492</v>
      </c>
      <c r="AF28" s="30">
        <f t="shared" ref="AF28:AI28" si="65">AF27/AE27-1</f>
        <v>0.42018191637051983</v>
      </c>
      <c r="AG28" s="30">
        <f t="shared" si="65"/>
        <v>0.42135215427576056</v>
      </c>
      <c r="AH28" s="30">
        <f t="shared" si="65"/>
        <v>0.42259591144733166</v>
      </c>
      <c r="AI28" s="30">
        <f t="shared" si="65"/>
        <v>0.41549067917147942</v>
      </c>
      <c r="AJ28" s="30"/>
      <c r="AK28" s="30"/>
      <c r="AL28" s="30"/>
      <c r="AM28" s="30"/>
      <c r="AN28" s="30"/>
      <c r="AO28" s="30"/>
    </row>
    <row r="29" spans="2:41">
      <c r="B29" s="147" t="s">
        <v>36</v>
      </c>
      <c r="C29" s="24">
        <v>3.59</v>
      </c>
      <c r="D29" s="24">
        <v>14.658999999999992</v>
      </c>
      <c r="E29" s="24">
        <v>40.31</v>
      </c>
      <c r="F29" s="82">
        <v>83.854999999999961</v>
      </c>
      <c r="G29" s="24">
        <f>G27*G30</f>
        <v>122.63968835407778</v>
      </c>
      <c r="H29" s="24">
        <f t="shared" ref="H29:Q29" si="66">H27*H30</f>
        <v>186.37192350780302</v>
      </c>
      <c r="I29" s="24">
        <f t="shared" si="66"/>
        <v>284.20597644090486</v>
      </c>
      <c r="J29" s="24">
        <f t="shared" si="66"/>
        <v>435.09948398534658</v>
      </c>
      <c r="K29" s="24">
        <f t="shared" si="66"/>
        <v>669.03654400000005</v>
      </c>
      <c r="L29" s="24">
        <f t="shared" si="66"/>
        <v>907.58816376742982</v>
      </c>
      <c r="M29" s="24">
        <f t="shared" si="66"/>
        <v>1153.0181037749185</v>
      </c>
      <c r="N29" s="24">
        <f t="shared" si="66"/>
        <v>1365.4962365422862</v>
      </c>
      <c r="O29" s="24">
        <f t="shared" si="66"/>
        <v>1499.5060114998769</v>
      </c>
      <c r="P29" s="24">
        <f t="shared" si="66"/>
        <v>1517.5000836378756</v>
      </c>
      <c r="Q29" s="164">
        <f t="shared" si="66"/>
        <v>1535.7100846415301</v>
      </c>
      <c r="R29" s="112"/>
      <c r="S29" s="24">
        <f>S27*S30</f>
        <v>125.79722727161464</v>
      </c>
      <c r="T29" s="24">
        <f t="shared" ref="T29:AC29" si="67">T27*T30</f>
        <v>194.8851063545122</v>
      </c>
      <c r="U29" s="24">
        <f t="shared" si="67"/>
        <v>303.01694604652272</v>
      </c>
      <c r="V29" s="24">
        <f t="shared" si="67"/>
        <v>473.0849430332795</v>
      </c>
      <c r="W29" s="24">
        <f t="shared" si="67"/>
        <v>809.67039999999997</v>
      </c>
      <c r="X29" s="24">
        <f t="shared" si="67"/>
        <v>1098.3664168766845</v>
      </c>
      <c r="Y29" s="24">
        <f t="shared" si="67"/>
        <v>1395.3866013194634</v>
      </c>
      <c r="Z29" s="24">
        <f t="shared" si="67"/>
        <v>1652.5283916922888</v>
      </c>
      <c r="AA29" s="24">
        <f t="shared" si="67"/>
        <v>1814.7074969547698</v>
      </c>
      <c r="AB29" s="24">
        <f t="shared" si="67"/>
        <v>1836.4839869182269</v>
      </c>
      <c r="AC29" s="24">
        <f t="shared" si="67"/>
        <v>1858.5217947612455</v>
      </c>
      <c r="AD29" s="112"/>
      <c r="AE29" s="133">
        <f>AE27*AE30</f>
        <v>119.55805366054251</v>
      </c>
      <c r="AF29" s="24">
        <f t="shared" ref="AF29:AO29" si="68">AF27*AF30</f>
        <v>169.69139721004444</v>
      </c>
      <c r="AG29" s="24">
        <f t="shared" si="68"/>
        <v>241.0452226963188</v>
      </c>
      <c r="AH29" s="24">
        <f t="shared" si="68"/>
        <v>342.70236038367949</v>
      </c>
      <c r="AI29" s="24">
        <f t="shared" si="68"/>
        <v>484.79833599999995</v>
      </c>
      <c r="AJ29" s="24">
        <f t="shared" si="68"/>
        <v>657.65799419133884</v>
      </c>
      <c r="AK29" s="24">
        <f t="shared" si="68"/>
        <v>835.50183185203673</v>
      </c>
      <c r="AL29" s="24">
        <f t="shared" si="68"/>
        <v>989.46807797985184</v>
      </c>
      <c r="AM29" s="24">
        <f t="shared" si="68"/>
        <v>1086.5744565324328</v>
      </c>
      <c r="AN29" s="24">
        <f t="shared" si="68"/>
        <v>1099.6133500108222</v>
      </c>
      <c r="AO29" s="24">
        <f t="shared" si="68"/>
        <v>1112.8087102109521</v>
      </c>
    </row>
    <row r="30" spans="2:41">
      <c r="B30" s="150" t="s">
        <v>37</v>
      </c>
      <c r="C30" s="30">
        <v>0.18134976762982422</v>
      </c>
      <c r="D30" s="30">
        <v>0.20792907801418428</v>
      </c>
      <c r="E30" s="30">
        <v>0.2498558881320003</v>
      </c>
      <c r="F30" s="84">
        <v>0.2908793850444531</v>
      </c>
      <c r="G30" s="31">
        <f>F30*(1+(($K$30/$F$30)^0.2-1))</f>
        <v>0.29648337814626041</v>
      </c>
      <c r="H30" s="31">
        <f t="shared" ref="H30:J30" si="69">G30*(1+(($K$30/$F$30)^0.2-1))</f>
        <v>0.30219533606200705</v>
      </c>
      <c r="I30" s="31">
        <f t="shared" si="69"/>
        <v>0.30801733880871607</v>
      </c>
      <c r="J30" s="31">
        <f t="shared" si="69"/>
        <v>0.31395150647638115</v>
      </c>
      <c r="K30" s="106">
        <f>'Bull-Bear'!J9</f>
        <v>0.32</v>
      </c>
      <c r="L30" s="106">
        <f>K30</f>
        <v>0.32</v>
      </c>
      <c r="M30" s="106">
        <f t="shared" ref="M30:Q30" si="70">L30</f>
        <v>0.32</v>
      </c>
      <c r="N30" s="106">
        <f t="shared" si="70"/>
        <v>0.32</v>
      </c>
      <c r="O30" s="106">
        <f t="shared" si="70"/>
        <v>0.32</v>
      </c>
      <c r="P30" s="106">
        <f t="shared" si="70"/>
        <v>0.32</v>
      </c>
      <c r="Q30" s="168">
        <f t="shared" si="70"/>
        <v>0.32</v>
      </c>
      <c r="R30" s="116"/>
      <c r="S30" s="30">
        <f>F30*(1+(($W$30/$F$30)^0.2-1))</f>
        <v>0.3018449842445578</v>
      </c>
      <c r="T30" s="30">
        <f>S30*(1+(($W$30/$F$30)^0.2-1))</f>
        <v>0.31322396566423422</v>
      </c>
      <c r="U30" s="30">
        <f>T30*(1+(($W$30/$F$30)^0.2-1))</f>
        <v>0.32503191302639067</v>
      </c>
      <c r="V30" s="30">
        <f>U30*(1+(($W$30/$F$30)^0.2-1))</f>
        <v>0.3372849975306294</v>
      </c>
      <c r="W30" s="106">
        <f>'Bull-Bear'!I9</f>
        <v>0.35</v>
      </c>
      <c r="X30" s="106">
        <f>W30</f>
        <v>0.35</v>
      </c>
      <c r="Y30" s="106">
        <f t="shared" ref="Y30:AC30" si="71">X30</f>
        <v>0.35</v>
      </c>
      <c r="Z30" s="106">
        <f t="shared" si="71"/>
        <v>0.35</v>
      </c>
      <c r="AA30" s="106">
        <f t="shared" si="71"/>
        <v>0.35</v>
      </c>
      <c r="AB30" s="106">
        <f t="shared" si="71"/>
        <v>0.35</v>
      </c>
      <c r="AC30" s="106">
        <f t="shared" si="71"/>
        <v>0.35</v>
      </c>
      <c r="AD30" s="116"/>
      <c r="AE30" s="135">
        <f>F30*(1+(($AI$30/$F$30)^0.2-1))</f>
        <v>0.29070329496476921</v>
      </c>
      <c r="AF30" s="30">
        <f>AE30*(1+(($AI$30/$F$30)^0.2-1))</f>
        <v>0.29052731148499494</v>
      </c>
      <c r="AG30" s="30">
        <f>AF30*(1+(($AI$30/$F$30)^0.2-1))</f>
        <v>0.29035143454059781</v>
      </c>
      <c r="AH30" s="30">
        <f>AG30*(1+(($AI$30/$F$30)^0.2-1))</f>
        <v>0.29017566406708428</v>
      </c>
      <c r="AI30" s="106">
        <f>'Bull-Bear'!K9</f>
        <v>0.28999999999999998</v>
      </c>
      <c r="AJ30" s="106">
        <f>AI30</f>
        <v>0.28999999999999998</v>
      </c>
      <c r="AK30" s="106">
        <f t="shared" ref="AK30:AO30" si="72">AJ30</f>
        <v>0.28999999999999998</v>
      </c>
      <c r="AL30" s="106">
        <f t="shared" si="72"/>
        <v>0.28999999999999998</v>
      </c>
      <c r="AM30" s="106">
        <f t="shared" si="72"/>
        <v>0.28999999999999998</v>
      </c>
      <c r="AN30" s="106">
        <f t="shared" si="72"/>
        <v>0.28999999999999998</v>
      </c>
      <c r="AO30" s="106">
        <f t="shared" si="72"/>
        <v>0.28999999999999998</v>
      </c>
    </row>
    <row r="31" spans="2:41">
      <c r="B31" s="147" t="s">
        <v>90</v>
      </c>
      <c r="C31" s="124">
        <v>12</v>
      </c>
      <c r="D31" s="32">
        <v>25</v>
      </c>
      <c r="E31" s="32">
        <v>61</v>
      </c>
      <c r="F31" s="88">
        <v>87</v>
      </c>
      <c r="G31" s="24">
        <f>G33*G27</f>
        <v>122.08604555344975</v>
      </c>
      <c r="H31" s="24">
        <f t="shared" ref="H31:K31" si="73">H33*H27</f>
        <v>178.01646612835503</v>
      </c>
      <c r="I31" s="24">
        <f t="shared" si="73"/>
        <v>260.46993011488172</v>
      </c>
      <c r="J31" s="24">
        <f t="shared" si="73"/>
        <v>382.61117885139339</v>
      </c>
      <c r="K31" s="24">
        <f t="shared" si="73"/>
        <v>564.49958400000003</v>
      </c>
      <c r="L31" s="24">
        <f>L33*L27</f>
        <v>765.77751317876891</v>
      </c>
      <c r="M31" s="24">
        <f t="shared" ref="M31:Q31" si="74">M33*M27</f>
        <v>972.85902506008745</v>
      </c>
      <c r="N31" s="24">
        <f t="shared" si="74"/>
        <v>1152.1374495825539</v>
      </c>
      <c r="O31" s="24">
        <f t="shared" si="74"/>
        <v>1265.2081972030212</v>
      </c>
      <c r="P31" s="24">
        <f t="shared" si="74"/>
        <v>1280.3906955694576</v>
      </c>
      <c r="Q31" s="164">
        <f t="shared" si="74"/>
        <v>1295.7553839162911</v>
      </c>
      <c r="R31" s="112"/>
      <c r="S31" s="24">
        <f>S33*S27</f>
        <v>120.14119288844608</v>
      </c>
      <c r="T31" s="24">
        <f t="shared" ref="T31:W31" si="75">T33*T27</f>
        <v>171.32869345224057</v>
      </c>
      <c r="U31" s="24">
        <f t="shared" si="75"/>
        <v>245.21608307117253</v>
      </c>
      <c r="V31" s="24">
        <f t="shared" si="75"/>
        <v>352.41285485174973</v>
      </c>
      <c r="W31" s="24">
        <f t="shared" si="75"/>
        <v>555.20255999999995</v>
      </c>
      <c r="X31" s="24">
        <f>X33*X27</f>
        <v>753.16554300115513</v>
      </c>
      <c r="Y31" s="24">
        <f t="shared" ref="Y31:AC31" si="76">Y33*Y27</f>
        <v>956.83652661906069</v>
      </c>
      <c r="Z31" s="24">
        <f t="shared" si="76"/>
        <v>1133.1623257318552</v>
      </c>
      <c r="AA31" s="24">
        <f t="shared" si="76"/>
        <v>1244.3708550546994</v>
      </c>
      <c r="AB31" s="24">
        <f t="shared" si="76"/>
        <v>1259.3033053153556</v>
      </c>
      <c r="AC31" s="24">
        <f t="shared" si="76"/>
        <v>1274.4149449791398</v>
      </c>
      <c r="AD31" s="112"/>
      <c r="AE31" s="133">
        <f>AE33*AE27</f>
        <v>123.96974822701374</v>
      </c>
      <c r="AF31" s="24">
        <f t="shared" ref="AF31:AI31" si="77">AF33*AF27</f>
        <v>175.85037627035476</v>
      </c>
      <c r="AG31" s="24">
        <f t="shared" si="77"/>
        <v>249.64829158532314</v>
      </c>
      <c r="AH31" s="24">
        <f t="shared" si="77"/>
        <v>354.7266022210394</v>
      </c>
      <c r="AI31" s="24">
        <f t="shared" si="77"/>
        <v>501.51551999999998</v>
      </c>
      <c r="AJ31" s="24">
        <f>AJ33*AJ27</f>
        <v>680.33585606000577</v>
      </c>
      <c r="AK31" s="24">
        <f t="shared" ref="AK31:AO31" si="78">AK33*AK27</f>
        <v>864.31223984693452</v>
      </c>
      <c r="AL31" s="24">
        <f t="shared" si="78"/>
        <v>1023.5876668757089</v>
      </c>
      <c r="AM31" s="24">
        <f t="shared" si="78"/>
        <v>1124.0425412404479</v>
      </c>
      <c r="AN31" s="24">
        <f t="shared" si="78"/>
        <v>1137.5310517353332</v>
      </c>
      <c r="AO31" s="24">
        <f t="shared" si="78"/>
        <v>1151.1814243561573</v>
      </c>
    </row>
    <row r="32" spans="2:41">
      <c r="B32" s="150" t="s">
        <v>35</v>
      </c>
      <c r="C32" s="29"/>
      <c r="D32" s="29">
        <v>1.0833333333333335</v>
      </c>
      <c r="E32" s="30">
        <v>1.44</v>
      </c>
      <c r="F32" s="84">
        <v>0.42622950819672134</v>
      </c>
      <c r="G32" s="31">
        <f>F32*(1+(($K$32/$F$32)^0.2-1))</f>
        <v>0.44156021914748406</v>
      </c>
      <c r="H32" s="31">
        <f t="shared" ref="H32:K32" si="79">H28</f>
        <v>0.49094643971523921</v>
      </c>
      <c r="I32" s="31">
        <f t="shared" si="79"/>
        <v>0.49611615268120679</v>
      </c>
      <c r="J32" s="31">
        <f t="shared" si="79"/>
        <v>0.50199316019550366</v>
      </c>
      <c r="K32" s="31">
        <f t="shared" si="79"/>
        <v>0.50859917248564246</v>
      </c>
      <c r="L32" s="31"/>
      <c r="M32" s="31"/>
      <c r="N32" s="31"/>
      <c r="O32" s="31"/>
      <c r="P32" s="31"/>
      <c r="Q32" s="167"/>
      <c r="R32" s="115"/>
      <c r="S32" s="31">
        <f>K32*(1+(($K$32/$F$32)^0.2-1))</f>
        <v>0.52689257252770572</v>
      </c>
      <c r="T32" s="31">
        <f t="shared" ref="T32:W32" si="80">T28</f>
        <v>0.49292008692264022</v>
      </c>
      <c r="U32" s="31">
        <f t="shared" si="80"/>
        <v>0.49836371081598707</v>
      </c>
      <c r="V32" s="31">
        <f t="shared" si="80"/>
        <v>0.50453116731214553</v>
      </c>
      <c r="W32" s="31">
        <f t="shared" si="80"/>
        <v>0.64929414224161586</v>
      </c>
      <c r="X32" s="31"/>
      <c r="Y32" s="31"/>
      <c r="Z32" s="31"/>
      <c r="AA32" s="31"/>
      <c r="AB32" s="31"/>
      <c r="AC32" s="31"/>
      <c r="AD32" s="115"/>
      <c r="AE32" s="136">
        <f>W32*(1+(($K$32/$F$32)^0.2-1))</f>
        <v>0.67264808800394305</v>
      </c>
      <c r="AF32" s="31">
        <f t="shared" ref="AF32:AI32" si="81">AF28</f>
        <v>0.42018191637051983</v>
      </c>
      <c r="AG32" s="31">
        <f t="shared" si="81"/>
        <v>0.42135215427576056</v>
      </c>
      <c r="AH32" s="31">
        <f t="shared" si="81"/>
        <v>0.42259591144733166</v>
      </c>
      <c r="AI32" s="31">
        <f t="shared" si="81"/>
        <v>0.41549067917147942</v>
      </c>
      <c r="AJ32" s="31"/>
      <c r="AK32" s="31"/>
      <c r="AL32" s="31"/>
      <c r="AM32" s="31"/>
      <c r="AN32" s="31"/>
      <c r="AO32" s="31"/>
    </row>
    <row r="33" spans="2:41">
      <c r="B33" s="150" t="s">
        <v>39</v>
      </c>
      <c r="C33" s="42"/>
      <c r="D33" s="30">
        <v>0.3546099290780142</v>
      </c>
      <c r="E33" s="30">
        <v>0.37809995475197261</v>
      </c>
      <c r="F33" s="84">
        <v>0.30178887960011247</v>
      </c>
      <c r="G33" s="30">
        <f>F33*(1+(($K$33/$F$33)^0.2-1))</f>
        <v>0.29514493795598007</v>
      </c>
      <c r="H33" s="30">
        <f t="shared" ref="H33:J33" si="82">G33*(1+(($K$33/$F$33)^0.2-1))</f>
        <v>0.28864726399616103</v>
      </c>
      <c r="I33" s="30">
        <f t="shared" si="82"/>
        <v>0.28229263760876694</v>
      </c>
      <c r="J33" s="30">
        <f t="shared" si="82"/>
        <v>0.27607790957330702</v>
      </c>
      <c r="K33" s="106">
        <f>'Bull-Bear'!J10</f>
        <v>0.27</v>
      </c>
      <c r="L33" s="106">
        <f>K33</f>
        <v>0.27</v>
      </c>
      <c r="M33" s="106">
        <f t="shared" ref="M33:Q33" si="83">L33</f>
        <v>0.27</v>
      </c>
      <c r="N33" s="106">
        <f t="shared" si="83"/>
        <v>0.27</v>
      </c>
      <c r="O33" s="106">
        <f t="shared" si="83"/>
        <v>0.27</v>
      </c>
      <c r="P33" s="106">
        <f t="shared" si="83"/>
        <v>0.27</v>
      </c>
      <c r="Q33" s="168">
        <f t="shared" si="83"/>
        <v>0.27</v>
      </c>
      <c r="R33" s="116"/>
      <c r="S33" s="30">
        <f>F33*(1+(($W$33/$F$33)^0.2-1))</f>
        <v>0.28827357534865267</v>
      </c>
      <c r="T33" s="30">
        <f>S33*(1+(($W$33/$F$33)^0.2-1))</f>
        <v>0.2753635400827551</v>
      </c>
      <c r="U33" s="30">
        <f>T33*(1+(($W$33/$F$33)^0.2-1))</f>
        <v>0.26303166745408552</v>
      </c>
      <c r="V33" s="30">
        <f>U33*(1+(($W$33/$F$33)^0.2-1))</f>
        <v>0.25125206504421116</v>
      </c>
      <c r="W33" s="106">
        <f>'Bull-Bear'!I10</f>
        <v>0.24</v>
      </c>
      <c r="X33" s="106">
        <f>W33</f>
        <v>0.24</v>
      </c>
      <c r="Y33" s="106">
        <f t="shared" ref="Y33:AC33" si="84">X33</f>
        <v>0.24</v>
      </c>
      <c r="Z33" s="106">
        <f t="shared" si="84"/>
        <v>0.24</v>
      </c>
      <c r="AA33" s="106">
        <f t="shared" si="84"/>
        <v>0.24</v>
      </c>
      <c r="AB33" s="106">
        <f t="shared" si="84"/>
        <v>0.24</v>
      </c>
      <c r="AC33" s="106">
        <f t="shared" si="84"/>
        <v>0.24</v>
      </c>
      <c r="AD33" s="116"/>
      <c r="AE33" s="135">
        <f>F33*(1+(($AI$33/$F$33)^0.2-1))</f>
        <v>0.30143025235145182</v>
      </c>
      <c r="AF33" s="30">
        <f>AE33*(1+(($AI$33/$F$33)^0.2-1))</f>
        <v>0.30107205127324405</v>
      </c>
      <c r="AG33" s="30">
        <f>AF33*(1+(($AI$33/$F$33)^0.2-1))</f>
        <v>0.30071427585905447</v>
      </c>
      <c r="AH33" s="30">
        <f>AG33*(1+(($AI$33/$F$33)^0.2-1))</f>
        <v>0.30035692560305033</v>
      </c>
      <c r="AI33" s="106">
        <f>'Bull-Bear'!K10</f>
        <v>0.3</v>
      </c>
      <c r="AJ33" s="106">
        <f>AI33</f>
        <v>0.3</v>
      </c>
      <c r="AK33" s="106">
        <f t="shared" ref="AK33:AO33" si="85">AJ33</f>
        <v>0.3</v>
      </c>
      <c r="AL33" s="106">
        <f t="shared" si="85"/>
        <v>0.3</v>
      </c>
      <c r="AM33" s="106">
        <f t="shared" si="85"/>
        <v>0.3</v>
      </c>
      <c r="AN33" s="106">
        <f t="shared" si="85"/>
        <v>0.3</v>
      </c>
      <c r="AO33" s="106">
        <f t="shared" si="85"/>
        <v>0.3</v>
      </c>
    </row>
    <row r="34" spans="2:41" ht="15" thickBot="1">
      <c r="B34" s="151" t="s">
        <v>3</v>
      </c>
      <c r="C34" s="85"/>
      <c r="D34" s="28">
        <v>-1</v>
      </c>
      <c r="E34" s="28">
        <v>-18</v>
      </c>
      <c r="F34" s="28">
        <v>-3.1450000000000387</v>
      </c>
      <c r="G34" s="28">
        <f t="shared" ref="G34:K34" si="86">G29-G31</f>
        <v>0.55364280062802607</v>
      </c>
      <c r="H34" s="28">
        <f t="shared" si="86"/>
        <v>8.3554573794479836</v>
      </c>
      <c r="I34" s="28">
        <f t="shared" si="86"/>
        <v>23.736046326023143</v>
      </c>
      <c r="J34" s="28">
        <f t="shared" si="86"/>
        <v>52.48830513395319</v>
      </c>
      <c r="K34" s="28">
        <f t="shared" si="86"/>
        <v>104.53696000000002</v>
      </c>
      <c r="L34" s="28">
        <f>L29-L31</f>
        <v>141.81065058866091</v>
      </c>
      <c r="M34" s="28">
        <f t="shared" ref="M34:Q34" si="87">M29-M31</f>
        <v>180.15907871483103</v>
      </c>
      <c r="N34" s="28">
        <f t="shared" si="87"/>
        <v>213.35878695973224</v>
      </c>
      <c r="O34" s="28">
        <f t="shared" si="87"/>
        <v>234.29781429685568</v>
      </c>
      <c r="P34" s="28">
        <f t="shared" si="87"/>
        <v>237.10938806841796</v>
      </c>
      <c r="Q34" s="169">
        <f t="shared" si="87"/>
        <v>239.95470072523904</v>
      </c>
      <c r="R34" s="112"/>
      <c r="S34" s="28">
        <f t="shared" ref="S34:W34" si="88">S29-S31</f>
        <v>5.65603438316856</v>
      </c>
      <c r="T34" s="28">
        <f t="shared" si="88"/>
        <v>23.556412902271632</v>
      </c>
      <c r="U34" s="28">
        <f t="shared" si="88"/>
        <v>57.800862975350185</v>
      </c>
      <c r="V34" s="28">
        <f t="shared" si="88"/>
        <v>120.67208818152977</v>
      </c>
      <c r="W34" s="28">
        <f t="shared" si="88"/>
        <v>254.46784000000002</v>
      </c>
      <c r="X34" s="28">
        <f>X29-X31</f>
        <v>345.2008738755294</v>
      </c>
      <c r="Y34" s="28">
        <f t="shared" ref="Y34:AC34" si="89">Y29-Y31</f>
        <v>438.55007470040266</v>
      </c>
      <c r="Z34" s="28">
        <f t="shared" si="89"/>
        <v>519.36606596043362</v>
      </c>
      <c r="AA34" s="28">
        <f t="shared" si="89"/>
        <v>570.33664190007039</v>
      </c>
      <c r="AB34" s="28">
        <f t="shared" si="89"/>
        <v>577.18068160287135</v>
      </c>
      <c r="AC34" s="28">
        <f t="shared" si="89"/>
        <v>584.10684978210566</v>
      </c>
      <c r="AD34" s="112"/>
      <c r="AE34" s="137">
        <f t="shared" ref="AE34:AI34" si="90">AE29-AE31</f>
        <v>-4.4116945664712262</v>
      </c>
      <c r="AF34" s="28">
        <f t="shared" si="90"/>
        <v>-6.1589790603103154</v>
      </c>
      <c r="AG34" s="28">
        <f t="shared" si="90"/>
        <v>-8.6030688890043336</v>
      </c>
      <c r="AH34" s="28">
        <f t="shared" si="90"/>
        <v>-12.024241837359909</v>
      </c>
      <c r="AI34" s="28">
        <f t="shared" si="90"/>
        <v>-16.717184000000032</v>
      </c>
      <c r="AJ34" s="28">
        <f>AJ29-AJ31</f>
        <v>-22.677861868666923</v>
      </c>
      <c r="AK34" s="28">
        <f t="shared" ref="AK34:AO34" si="91">AK29-AK31</f>
        <v>-28.810407994897787</v>
      </c>
      <c r="AL34" s="28">
        <f t="shared" si="91"/>
        <v>-34.119588895857078</v>
      </c>
      <c r="AM34" s="46">
        <f t="shared" si="91"/>
        <v>-37.468084708015112</v>
      </c>
      <c r="AN34" s="46">
        <f t="shared" si="91"/>
        <v>-37.917701724511062</v>
      </c>
      <c r="AO34" s="46">
        <f t="shared" si="91"/>
        <v>-38.372714145205236</v>
      </c>
    </row>
    <row r="35" spans="2:41" ht="15" thickTop="1">
      <c r="B35" s="150" t="s">
        <v>37</v>
      </c>
      <c r="C35" s="42"/>
      <c r="D35" s="30">
        <v>-1.4184397163120567E-2</v>
      </c>
      <c r="E35" s="30">
        <v>-0.11157047845140176</v>
      </c>
      <c r="F35" s="84">
        <v>-1.0909494555659371E-2</v>
      </c>
      <c r="G35" s="30">
        <f t="shared" ref="G35:K35" si="92">G34/G27</f>
        <v>1.338440190280342E-3</v>
      </c>
      <c r="H35" s="30">
        <f t="shared" si="92"/>
        <v>1.3548072065846037E-2</v>
      </c>
      <c r="I35" s="30">
        <f t="shared" si="92"/>
        <v>2.5724701199949098E-2</v>
      </c>
      <c r="J35" s="30">
        <f t="shared" si="92"/>
        <v>3.7873596903074132E-2</v>
      </c>
      <c r="K35" s="30">
        <f t="shared" si="92"/>
        <v>5.000000000000001E-2</v>
      </c>
      <c r="L35" s="30"/>
      <c r="M35" s="30"/>
      <c r="N35" s="30"/>
      <c r="O35" s="30"/>
      <c r="P35" s="30"/>
      <c r="Q35" s="170"/>
      <c r="R35" s="117"/>
      <c r="S35" s="30">
        <f t="shared" ref="S35:W35" si="93">S34/S27</f>
        <v>1.3571408895905135E-2</v>
      </c>
      <c r="T35" s="30">
        <f t="shared" si="93"/>
        <v>3.7860425581479118E-2</v>
      </c>
      <c r="U35" s="30">
        <f t="shared" si="93"/>
        <v>6.2000245572305136E-2</v>
      </c>
      <c r="V35" s="30">
        <f t="shared" si="93"/>
        <v>8.6032932486418259E-2</v>
      </c>
      <c r="W35" s="30">
        <f t="shared" si="93"/>
        <v>0.11000000000000001</v>
      </c>
      <c r="X35" s="30"/>
      <c r="Y35" s="30"/>
      <c r="Z35" s="30"/>
      <c r="AA35" s="30"/>
      <c r="AB35" s="30"/>
      <c r="AC35" s="30"/>
      <c r="AD35" s="117"/>
      <c r="AE35" s="135">
        <f t="shared" ref="AE35:AI35" si="94">AE34/AE27</f>
        <v>-1.0726957386682627E-2</v>
      </c>
      <c r="AF35" s="30">
        <f t="shared" si="94"/>
        <v>-1.0544739788249092E-2</v>
      </c>
      <c r="AG35" s="30">
        <f t="shared" si="94"/>
        <v>-1.0362841318456642E-2</v>
      </c>
      <c r="AH35" s="30">
        <f t="shared" si="94"/>
        <v>-1.0181261535966045E-2</v>
      </c>
      <c r="AI35" s="30">
        <f t="shared" si="94"/>
        <v>-1.0000000000000019E-2</v>
      </c>
      <c r="AJ35" s="30"/>
      <c r="AK35" s="30"/>
      <c r="AL35" s="30"/>
      <c r="AM35" s="30"/>
      <c r="AN35" s="30"/>
      <c r="AO35" s="30"/>
    </row>
    <row r="36" spans="2:41">
      <c r="B36" s="147" t="s">
        <v>86</v>
      </c>
      <c r="C36" s="24">
        <v>0</v>
      </c>
      <c r="D36" s="24">
        <v>0</v>
      </c>
      <c r="E36" s="24">
        <v>24.7</v>
      </c>
      <c r="F36" s="82">
        <v>39.979999999999997</v>
      </c>
      <c r="G36" s="24">
        <f>BS!$S$5*'Model 10%'!G25*(1-BS!$S$9)</f>
        <v>54.319548968907888</v>
      </c>
      <c r="H36" s="24">
        <f>BS!$S$5*'Model 10%'!H25*(1-BS!$S$9)</f>
        <v>80.39981549962117</v>
      </c>
      <c r="I36" s="24">
        <f>BS!$S$5*'Model 10%'!I25*(1-BS!$S$9)</f>
        <v>119.4583970229997</v>
      </c>
      <c r="J36" s="24">
        <f>BS!$S$5*'Model 10%'!J25*(1-BS!$S$9)</f>
        <v>178.25074926798152</v>
      </c>
      <c r="K36" s="24">
        <f>BS!$S$5*'Model 10%'!K25*(1-BS!$S$9)</f>
        <v>218.64711095500806</v>
      </c>
      <c r="L36" s="24">
        <f>BS!$S$5*'Model 10%'!L25*(1-BS!$S$9)</f>
        <v>296.607908378633</v>
      </c>
      <c r="M36" s="24">
        <f>BS!$S$5*'Model 10%'!M25*(1-BS!$S$9)</f>
        <v>376.81660221718408</v>
      </c>
      <c r="N36" s="24">
        <f>BS!$S$5*'Model 10%'!N25*(1-BS!$S$9)</f>
        <v>446.25635149147712</v>
      </c>
      <c r="O36" s="24">
        <f>BS!$S$5*'Model 10%'!O25*(1-BS!$S$9)</f>
        <v>490.05194142894999</v>
      </c>
      <c r="P36" s="24">
        <f>BS!$S$5*'Model 10%'!P25*(1-BS!$S$9)</f>
        <v>495.93256472609744</v>
      </c>
      <c r="Q36" s="164">
        <f>BS!$S$5*'Model 10%'!Q25*(1-BS!$S$9)</f>
        <v>501.88375550281057</v>
      </c>
      <c r="R36" s="112"/>
      <c r="S36" s="24">
        <f>G36</f>
        <v>54.319548968907888</v>
      </c>
      <c r="T36" s="24">
        <f>H36</f>
        <v>80.39981549962117</v>
      </c>
      <c r="U36" s="24">
        <f>I36</f>
        <v>119.4583970229997</v>
      </c>
      <c r="V36" s="24">
        <f>J36</f>
        <v>178.25074926798152</v>
      </c>
      <c r="W36" s="24">
        <f>K36</f>
        <v>218.64711095500806</v>
      </c>
      <c r="X36" s="24">
        <f>BS!$S$5*'Model 10%'!X25*(1-BS!$S$9)</f>
        <v>328.18829110788198</v>
      </c>
      <c r="Y36" s="24">
        <f>BS!$S$5*'Model 10%'!Y25*(1-BS!$S$9)</f>
        <v>416.93695026118485</v>
      </c>
      <c r="Z36" s="24">
        <f>BS!$S$5*'Model 10%'!Z25*(1-BS!$S$9)</f>
        <v>493.77007576301236</v>
      </c>
      <c r="AA36" s="24">
        <f>BS!$S$5*'Model 10%'!AA25*(1-BS!$S$9)</f>
        <v>542.22866170635382</v>
      </c>
      <c r="AB36" s="24">
        <f>BS!$S$5*'Model 10%'!AB25*(1-BS!$S$9)</f>
        <v>548.73540564683015</v>
      </c>
      <c r="AC36" s="24">
        <f>BS!$S$5*'Model 10%'!AC25*(1-BS!$S$9)</f>
        <v>555.32023051459203</v>
      </c>
      <c r="AD36" s="112"/>
      <c r="AE36" s="133">
        <f>BS!$S$5*'Model 10%'!AE25*(1-BS!$S$9)</f>
        <v>52.25714873662632</v>
      </c>
      <c r="AF36" s="24">
        <f>BS!$S$5*'Model 10%'!AF25*(1-BS!$S$9)</f>
        <v>74.214657636841252</v>
      </c>
      <c r="AG36" s="24">
        <f>BS!$S$5*'Model 10%'!AG25*(1-BS!$S$9)</f>
        <v>105.48516351096237</v>
      </c>
      <c r="AH36" s="24">
        <f>BS!$S$5*'Model 10%'!AH25*(1-BS!$S$9)</f>
        <v>150.0627623290483</v>
      </c>
      <c r="AI36" s="24">
        <f>BS!$S$5*'Model 10%'!AI25*(1-BS!$S$9)</f>
        <v>174.82639560703146</v>
      </c>
      <c r="AJ36" s="24">
        <f>BS!$S$5*'Model 10%'!AJ25*(1-BS!$S$9)</f>
        <v>237.1624820647524</v>
      </c>
      <c r="AK36" s="24">
        <f>BS!$S$5*'Model 10%'!AK25*(1-BS!$S$9)</f>
        <v>301.29594707553542</v>
      </c>
      <c r="AL36" s="24">
        <f>BS!$S$5*'Model 10%'!AL25*(1-BS!$S$9)</f>
        <v>356.81875286270508</v>
      </c>
      <c r="AM36" s="24">
        <f>BS!$S$5*'Model 10%'!AM25*(1-BS!$S$9)</f>
        <v>391.83693855383677</v>
      </c>
      <c r="AN36" s="24">
        <f>BS!$S$5*'Model 10%'!AN25*(1-BS!$S$9)</f>
        <v>396.53898181648282</v>
      </c>
      <c r="AO36" s="24">
        <f>BS!$S$5*'Model 10%'!AO25*(1-BS!$S$9)</f>
        <v>401.29744959828059</v>
      </c>
    </row>
    <row r="37" spans="2:41">
      <c r="B37" s="147" t="s">
        <v>87</v>
      </c>
      <c r="C37" s="24"/>
      <c r="D37" s="24"/>
      <c r="E37" s="24">
        <v>2.6</v>
      </c>
      <c r="F37" s="82">
        <v>8.1</v>
      </c>
      <c r="G37" s="24">
        <f t="shared" ref="G37:Q37" si="95">G42+F37</f>
        <v>14.682622574467757</v>
      </c>
      <c r="H37" s="24">
        <f t="shared" si="95"/>
        <v>24.425738092488409</v>
      </c>
      <c r="I37" s="24">
        <f t="shared" si="95"/>
        <v>38.902101683125565</v>
      </c>
      <c r="J37" s="24">
        <f t="shared" si="95"/>
        <v>60.503116940428768</v>
      </c>
      <c r="K37" s="24">
        <f t="shared" si="95"/>
        <v>86.999496894511623</v>
      </c>
      <c r="L37" s="24">
        <f t="shared" si="95"/>
        <v>122.94342409052769</v>
      </c>
      <c r="M37" s="24">
        <f t="shared" si="95"/>
        <v>168.60730604965184</v>
      </c>
      <c r="N37" s="24">
        <f t="shared" si="95"/>
        <v>222.68612645754664</v>
      </c>
      <c r="O37" s="24">
        <f t="shared" si="95"/>
        <v>282.07224128258684</v>
      </c>
      <c r="P37" s="24">
        <f t="shared" si="95"/>
        <v>342.17098948552757</v>
      </c>
      <c r="Q37" s="164">
        <f t="shared" si="95"/>
        <v>402.99092266690354</v>
      </c>
      <c r="R37" s="112"/>
      <c r="S37" s="24">
        <f>G37</f>
        <v>14.682622574467757</v>
      </c>
      <c r="T37" s="24">
        <f>T42+S37</f>
        <v>24.425738092488409</v>
      </c>
      <c r="U37" s="24">
        <f>U42+T37</f>
        <v>38.902101683125565</v>
      </c>
      <c r="V37" s="24">
        <f>V42+U37</f>
        <v>60.503116940428768</v>
      </c>
      <c r="W37" s="24">
        <f>W42+V37</f>
        <v>86.999496894511623</v>
      </c>
      <c r="X37" s="24">
        <f t="shared" ref="X37:AC37" si="96">X42+W37</f>
        <v>126.77043930346467</v>
      </c>
      <c r="Y37" s="24">
        <f t="shared" si="96"/>
        <v>177.2962377133515</v>
      </c>
      <c r="Z37" s="24">
        <f t="shared" si="96"/>
        <v>237.13292835256703</v>
      </c>
      <c r="AA37" s="24">
        <f t="shared" si="96"/>
        <v>302.84199068507496</v>
      </c>
      <c r="AB37" s="24">
        <f t="shared" si="96"/>
        <v>369.33956176557302</v>
      </c>
      <c r="AC37" s="24">
        <f t="shared" si="96"/>
        <v>436.63510369903702</v>
      </c>
      <c r="AD37" s="112"/>
      <c r="AE37" s="133">
        <f>AE42+F37</f>
        <v>14.682622574467757</v>
      </c>
      <c r="AF37" s="24">
        <f>AF42+AE37</f>
        <v>24.425738092488409</v>
      </c>
      <c r="AG37" s="24">
        <f t="shared" ref="AG37:AO37" si="97">AG42+AF37</f>
        <v>38.902101683125565</v>
      </c>
      <c r="AH37" s="24">
        <f t="shared" si="97"/>
        <v>60.503116940428768</v>
      </c>
      <c r="AI37" s="24">
        <f t="shared" si="97"/>
        <v>86.999496894511623</v>
      </c>
      <c r="AJ37" s="24">
        <f t="shared" si="97"/>
        <v>115.73963074852863</v>
      </c>
      <c r="AK37" s="24">
        <f t="shared" si="97"/>
        <v>152.25166997680535</v>
      </c>
      <c r="AL37" s="24">
        <f t="shared" si="97"/>
        <v>195.49214641986109</v>
      </c>
      <c r="AM37" s="24">
        <f t="shared" si="97"/>
        <v>242.97624240731494</v>
      </c>
      <c r="AN37" s="24">
        <f t="shared" si="97"/>
        <v>291.03014754661825</v>
      </c>
      <c r="AO37" s="24">
        <f t="shared" si="97"/>
        <v>339.6606995475932</v>
      </c>
    </row>
    <row r="38" spans="2:41" ht="15" thickBot="1">
      <c r="B38" s="151" t="s">
        <v>44</v>
      </c>
      <c r="C38" s="27"/>
      <c r="D38" s="27">
        <v>-1</v>
      </c>
      <c r="E38" s="28">
        <v>-20.6</v>
      </c>
      <c r="F38" s="89">
        <v>-8.6450000000000387</v>
      </c>
      <c r="G38" s="28">
        <f t="shared" ref="G38:AO38" si="98">G34-G42</f>
        <v>-6.0289797738397324</v>
      </c>
      <c r="H38" s="28">
        <f t="shared" si="98"/>
        <v>-1.3876581385726698</v>
      </c>
      <c r="I38" s="28">
        <f t="shared" si="98"/>
        <v>9.2596827353859901</v>
      </c>
      <c r="J38" s="28">
        <f t="shared" si="98"/>
        <v>30.887289876649991</v>
      </c>
      <c r="K38" s="28">
        <f t="shared" si="98"/>
        <v>78.040580045917167</v>
      </c>
      <c r="L38" s="28">
        <f t="shared" si="98"/>
        <v>105.86672339264484</v>
      </c>
      <c r="M38" s="28">
        <f t="shared" si="98"/>
        <v>134.49519675570687</v>
      </c>
      <c r="N38" s="28">
        <f t="shared" si="98"/>
        <v>159.27996655183745</v>
      </c>
      <c r="O38" s="28">
        <f t="shared" si="98"/>
        <v>174.91169947181547</v>
      </c>
      <c r="P38" s="28">
        <f t="shared" si="98"/>
        <v>177.01063986547726</v>
      </c>
      <c r="Q38" s="169">
        <f t="shared" si="98"/>
        <v>179.13476754386306</v>
      </c>
      <c r="R38" s="112"/>
      <c r="S38" s="28">
        <f t="shared" si="98"/>
        <v>-0.92658819129919845</v>
      </c>
      <c r="T38" s="28">
        <f t="shared" si="98"/>
        <v>13.813297384250978</v>
      </c>
      <c r="U38" s="28">
        <f t="shared" si="98"/>
        <v>43.324499384713036</v>
      </c>
      <c r="V38" s="28">
        <f t="shared" si="98"/>
        <v>99.07107292422657</v>
      </c>
      <c r="W38" s="28">
        <f t="shared" si="98"/>
        <v>227.97146004591718</v>
      </c>
      <c r="X38" s="28">
        <f t="shared" si="98"/>
        <v>305.42993146657636</v>
      </c>
      <c r="Y38" s="28">
        <f t="shared" si="98"/>
        <v>388.02427629051584</v>
      </c>
      <c r="Z38" s="28">
        <f t="shared" si="98"/>
        <v>459.52937532121808</v>
      </c>
      <c r="AA38" s="28">
        <f t="shared" si="98"/>
        <v>504.62757956756241</v>
      </c>
      <c r="AB38" s="28">
        <f t="shared" si="98"/>
        <v>510.68311052237328</v>
      </c>
      <c r="AC38" s="28">
        <f t="shared" si="98"/>
        <v>516.8113078486416</v>
      </c>
      <c r="AD38" s="112"/>
      <c r="AE38" s="137">
        <f t="shared" si="98"/>
        <v>-10.994317140938985</v>
      </c>
      <c r="AF38" s="28">
        <f t="shared" si="98"/>
        <v>-15.902094578330969</v>
      </c>
      <c r="AG38" s="28">
        <f t="shared" si="98"/>
        <v>-23.079432479641486</v>
      </c>
      <c r="AH38" s="28">
        <f t="shared" si="98"/>
        <v>-33.625257094663112</v>
      </c>
      <c r="AI38" s="28">
        <f t="shared" si="98"/>
        <v>-43.213563954082886</v>
      </c>
      <c r="AJ38" s="28">
        <f t="shared" si="98"/>
        <v>-51.417995722683926</v>
      </c>
      <c r="AK38" s="28">
        <f t="shared" si="98"/>
        <v>-65.322447223174493</v>
      </c>
      <c r="AL38" s="28">
        <f t="shared" si="98"/>
        <v>-77.360065338912818</v>
      </c>
      <c r="AM38" s="28">
        <f t="shared" si="98"/>
        <v>-84.952180695468968</v>
      </c>
      <c r="AN38" s="28">
        <f t="shared" si="98"/>
        <v>-85.971606863814372</v>
      </c>
      <c r="AO38" s="28">
        <f t="shared" si="98"/>
        <v>-87.003266146180181</v>
      </c>
    </row>
    <row r="39" spans="2:41" ht="15" thickTop="1">
      <c r="B39" s="150" t="s">
        <v>37</v>
      </c>
      <c r="C39" s="42"/>
      <c r="D39" s="30">
        <v>-1.4184397163120567E-2</v>
      </c>
      <c r="E39" s="30">
        <v>-0.12768621422771537</v>
      </c>
      <c r="F39" s="84">
        <v>-2.9988101886700962E-2</v>
      </c>
      <c r="G39" s="30">
        <f t="shared" ref="G39:AI39" si="99">G38/G27</f>
        <v>-1.4575153558469122E-2</v>
      </c>
      <c r="H39" s="30">
        <f t="shared" si="99"/>
        <v>-2.2500375036779078E-3</v>
      </c>
      <c r="I39" s="30">
        <f t="shared" si="99"/>
        <v>1.0035478036330644E-2</v>
      </c>
      <c r="J39" s="30">
        <f t="shared" si="99"/>
        <v>2.22871125907231E-2</v>
      </c>
      <c r="K39" s="30">
        <f t="shared" si="99"/>
        <v>3.7326788556849733E-2</v>
      </c>
      <c r="L39" s="30"/>
      <c r="M39" s="30"/>
      <c r="N39" s="30"/>
      <c r="O39" s="30"/>
      <c r="P39" s="30"/>
      <c r="Q39" s="170"/>
      <c r="R39" s="117"/>
      <c r="S39" s="30">
        <f t="shared" si="99"/>
        <v>-2.2233081290418018E-3</v>
      </c>
      <c r="T39" s="30">
        <f t="shared" si="99"/>
        <v>2.2201059211389595E-2</v>
      </c>
      <c r="U39" s="30">
        <f t="shared" si="99"/>
        <v>4.6472136623546961E-2</v>
      </c>
      <c r="V39" s="30">
        <f t="shared" si="99"/>
        <v>7.0632530328182411E-2</v>
      </c>
      <c r="W39" s="30">
        <f t="shared" si="99"/>
        <v>9.8546286261756655E-2</v>
      </c>
      <c r="X39" s="30"/>
      <c r="Y39" s="30"/>
      <c r="Z39" s="30"/>
      <c r="AA39" s="30"/>
      <c r="AB39" s="30"/>
      <c r="AC39" s="30"/>
      <c r="AD39" s="117"/>
      <c r="AE39" s="135">
        <f t="shared" si="99"/>
        <v>-2.6732487865962981E-2</v>
      </c>
      <c r="AF39" s="30">
        <f t="shared" si="99"/>
        <v>-2.7225851520946417E-2</v>
      </c>
      <c r="AG39" s="30">
        <f t="shared" si="99"/>
        <v>-2.7800369797368777E-2</v>
      </c>
      <c r="AH39" s="30">
        <f t="shared" si="99"/>
        <v>-2.8471444713559592E-2</v>
      </c>
      <c r="AI39" s="30">
        <f t="shared" si="99"/>
        <v>-2.5849786635167075E-2</v>
      </c>
      <c r="AJ39" s="30"/>
      <c r="AK39" s="30"/>
      <c r="AL39" s="30"/>
      <c r="AM39" s="30"/>
      <c r="AN39" s="30"/>
      <c r="AO39" s="30"/>
    </row>
    <row r="40" spans="2:41">
      <c r="B40" s="150" t="s">
        <v>125</v>
      </c>
      <c r="C40" s="42"/>
      <c r="D40" s="30">
        <v>0</v>
      </c>
      <c r="E40" s="30">
        <v>0</v>
      </c>
      <c r="F40" s="84">
        <v>0</v>
      </c>
      <c r="G40" s="71">
        <f>BS!S26</f>
        <v>0.26600000000000001</v>
      </c>
      <c r="H40" s="71">
        <f>G40</f>
        <v>0.26600000000000001</v>
      </c>
      <c r="I40" s="71">
        <f t="shared" ref="I40:Q40" si="100">H40</f>
        <v>0.26600000000000001</v>
      </c>
      <c r="J40" s="71">
        <f t="shared" si="100"/>
        <v>0.26600000000000001</v>
      </c>
      <c r="K40" s="71">
        <f t="shared" si="100"/>
        <v>0.26600000000000001</v>
      </c>
      <c r="L40" s="71">
        <f t="shared" si="100"/>
        <v>0.26600000000000001</v>
      </c>
      <c r="M40" s="71">
        <f t="shared" si="100"/>
        <v>0.26600000000000001</v>
      </c>
      <c r="N40" s="71">
        <f t="shared" si="100"/>
        <v>0.26600000000000001</v>
      </c>
      <c r="O40" s="71">
        <f t="shared" si="100"/>
        <v>0.26600000000000001</v>
      </c>
      <c r="P40" s="71">
        <f t="shared" si="100"/>
        <v>0.26600000000000001</v>
      </c>
      <c r="Q40" s="175">
        <f t="shared" si="100"/>
        <v>0.26600000000000001</v>
      </c>
      <c r="R40" s="122"/>
      <c r="S40" s="71">
        <v>0.26600000000000001</v>
      </c>
      <c r="T40" s="71">
        <v>0.26600000000000001</v>
      </c>
      <c r="U40" s="71">
        <v>0.26600000000000001</v>
      </c>
      <c r="V40" s="71">
        <v>0.26600000000000001</v>
      </c>
      <c r="W40" s="71">
        <v>0.26600000000000001</v>
      </c>
      <c r="X40" s="71">
        <f t="shared" ref="X40:AC40" si="101">W40</f>
        <v>0.26600000000000001</v>
      </c>
      <c r="Y40" s="71">
        <f t="shared" si="101"/>
        <v>0.26600000000000001</v>
      </c>
      <c r="Z40" s="71">
        <f t="shared" si="101"/>
        <v>0.26600000000000001</v>
      </c>
      <c r="AA40" s="71">
        <f t="shared" si="101"/>
        <v>0.26600000000000001</v>
      </c>
      <c r="AB40" s="71">
        <f t="shared" si="101"/>
        <v>0.26600000000000001</v>
      </c>
      <c r="AC40" s="71">
        <f t="shared" si="101"/>
        <v>0.26600000000000001</v>
      </c>
      <c r="AD40" s="122"/>
      <c r="AE40" s="141">
        <v>0.26600000000000001</v>
      </c>
      <c r="AF40" s="71">
        <v>0.26600000000000001</v>
      </c>
      <c r="AG40" s="71">
        <v>0.26600000000000001</v>
      </c>
      <c r="AH40" s="71">
        <v>0.26600000000000001</v>
      </c>
      <c r="AI40" s="71">
        <v>0.26600000000000001</v>
      </c>
      <c r="AJ40" s="71">
        <f t="shared" ref="AJ40:AO40" si="102">AI40</f>
        <v>0.26600000000000001</v>
      </c>
      <c r="AK40" s="71">
        <f t="shared" si="102"/>
        <v>0.26600000000000001</v>
      </c>
      <c r="AL40" s="71">
        <f t="shared" si="102"/>
        <v>0.26600000000000001</v>
      </c>
      <c r="AM40" s="71">
        <f t="shared" si="102"/>
        <v>0.26600000000000001</v>
      </c>
      <c r="AN40" s="71">
        <f t="shared" si="102"/>
        <v>0.26600000000000001</v>
      </c>
      <c r="AO40" s="71">
        <f t="shared" si="102"/>
        <v>0.26600000000000001</v>
      </c>
    </row>
    <row r="41" spans="2:41" ht="15" thickBot="1">
      <c r="B41" s="151" t="s">
        <v>38</v>
      </c>
      <c r="C41" s="27"/>
      <c r="D41" s="27">
        <v>-1</v>
      </c>
      <c r="E41" s="28">
        <v>-20.6</v>
      </c>
      <c r="F41" s="89">
        <v>-8.6450000000000387</v>
      </c>
      <c r="G41" s="28">
        <f t="shared" ref="G41:Q41" si="103">G38*(1-G40)</f>
        <v>-4.4252711539983638</v>
      </c>
      <c r="H41" s="28">
        <f t="shared" si="103"/>
        <v>-1.0185410737123397</v>
      </c>
      <c r="I41" s="28">
        <f t="shared" si="103"/>
        <v>6.7966071277733162</v>
      </c>
      <c r="J41" s="28">
        <f t="shared" si="103"/>
        <v>22.671270769461092</v>
      </c>
      <c r="K41" s="28">
        <f t="shared" si="103"/>
        <v>57.281785753703197</v>
      </c>
      <c r="L41" s="28">
        <f t="shared" si="103"/>
        <v>77.706174970201317</v>
      </c>
      <c r="M41" s="28">
        <f t="shared" si="103"/>
        <v>98.719474418688847</v>
      </c>
      <c r="N41" s="28">
        <f t="shared" si="103"/>
        <v>116.91149544904869</v>
      </c>
      <c r="O41" s="28">
        <f t="shared" si="103"/>
        <v>128.38518741231255</v>
      </c>
      <c r="P41" s="28">
        <f t="shared" si="103"/>
        <v>129.9258096612603</v>
      </c>
      <c r="Q41" s="169">
        <f t="shared" si="103"/>
        <v>131.4849193771955</v>
      </c>
      <c r="R41" s="112"/>
      <c r="S41" s="28">
        <f t="shared" ref="S41:AC41" si="104">S38*(1-S40)</f>
        <v>-0.68011573241361167</v>
      </c>
      <c r="T41" s="28">
        <f t="shared" si="104"/>
        <v>10.138960280040218</v>
      </c>
      <c r="U41" s="28">
        <f t="shared" si="104"/>
        <v>31.800182548379368</v>
      </c>
      <c r="V41" s="28">
        <f t="shared" si="104"/>
        <v>72.718167526382302</v>
      </c>
      <c r="W41" s="28">
        <f t="shared" si="104"/>
        <v>167.3310516737032</v>
      </c>
      <c r="X41" s="28">
        <f t="shared" si="104"/>
        <v>224.18556969646704</v>
      </c>
      <c r="Y41" s="28">
        <f t="shared" si="104"/>
        <v>284.80981879723862</v>
      </c>
      <c r="Z41" s="28">
        <f t="shared" si="104"/>
        <v>337.29456148577407</v>
      </c>
      <c r="AA41" s="28">
        <f t="shared" si="104"/>
        <v>370.39664340259083</v>
      </c>
      <c r="AB41" s="28">
        <f t="shared" si="104"/>
        <v>374.84140312342197</v>
      </c>
      <c r="AC41" s="28">
        <f t="shared" si="104"/>
        <v>379.33949996090291</v>
      </c>
      <c r="AD41" s="112"/>
      <c r="AE41" s="137">
        <f t="shared" ref="AE41:AO41" si="105">AE38*(1-AE40)</f>
        <v>-8.0698287814492158</v>
      </c>
      <c r="AF41" s="28">
        <f t="shared" si="105"/>
        <v>-11.672137420494931</v>
      </c>
      <c r="AG41" s="28">
        <f t="shared" si="105"/>
        <v>-16.940303440056852</v>
      </c>
      <c r="AH41" s="28">
        <f t="shared" si="105"/>
        <v>-24.680938707482724</v>
      </c>
      <c r="AI41" s="28">
        <f t="shared" si="105"/>
        <v>-31.718755942296838</v>
      </c>
      <c r="AJ41" s="28">
        <f t="shared" si="105"/>
        <v>-37.740808860450002</v>
      </c>
      <c r="AK41" s="28">
        <f t="shared" si="105"/>
        <v>-47.946676261810076</v>
      </c>
      <c r="AL41" s="28">
        <f t="shared" si="105"/>
        <v>-56.782287958762005</v>
      </c>
      <c r="AM41" s="28">
        <f t="shared" si="105"/>
        <v>-62.354900630474219</v>
      </c>
      <c r="AN41" s="28">
        <f t="shared" si="105"/>
        <v>-63.103159438039746</v>
      </c>
      <c r="AO41" s="28">
        <f t="shared" si="105"/>
        <v>-63.86039735129625</v>
      </c>
    </row>
    <row r="42" spans="2:41" ht="15" thickTop="1">
      <c r="B42" s="147" t="s">
        <v>169</v>
      </c>
      <c r="C42" s="32"/>
      <c r="D42" s="24">
        <v>0</v>
      </c>
      <c r="E42" s="24">
        <v>2.6</v>
      </c>
      <c r="F42" s="82">
        <v>5.5</v>
      </c>
      <c r="G42" s="24">
        <f>(G36/(1-BS!$S$9))*BS!$S$9</f>
        <v>6.5826225744677584</v>
      </c>
      <c r="H42" s="24">
        <f>(H36/(1-BS!$S$9))*BS!$S$9</f>
        <v>9.7431155180206535</v>
      </c>
      <c r="I42" s="24">
        <f>(I36/(1-BS!$S$9))*BS!$S$9</f>
        <v>14.476363590637153</v>
      </c>
      <c r="J42" s="24">
        <f>(J36/(1-BS!$S$9))*BS!$S$9</f>
        <v>21.601015257303199</v>
      </c>
      <c r="K42" s="24">
        <f>(K36/(1-BS!$S$9))*BS!$S$9</f>
        <v>26.496379954082855</v>
      </c>
      <c r="L42" s="24">
        <f>(L36/(1-BS!$S$9))*BS!$S$9</f>
        <v>35.943927196016055</v>
      </c>
      <c r="M42" s="24">
        <f>(M36/(1-BS!$S$9))*BS!$S$9</f>
        <v>45.663881959124147</v>
      </c>
      <c r="N42" s="24">
        <f>(N36/(1-BS!$S$9))*BS!$S$9</f>
        <v>54.078820407894789</v>
      </c>
      <c r="O42" s="24">
        <f>(O36/(1-BS!$S$9))*BS!$S$9</f>
        <v>59.38611482504021</v>
      </c>
      <c r="P42" s="24">
        <f>(P36/(1-BS!$S$9))*BS!$S$9</f>
        <v>60.098748202940698</v>
      </c>
      <c r="Q42" s="164">
        <f>(Q36/(1-BS!$S$9))*BS!$S$9</f>
        <v>60.81993318137598</v>
      </c>
      <c r="R42" s="112"/>
      <c r="S42" s="24">
        <f t="shared" ref="S42:W47" si="106">G42</f>
        <v>6.5826225744677584</v>
      </c>
      <c r="T42" s="24">
        <f t="shared" si="106"/>
        <v>9.7431155180206535</v>
      </c>
      <c r="U42" s="24">
        <f t="shared" si="106"/>
        <v>14.476363590637153</v>
      </c>
      <c r="V42" s="24">
        <f t="shared" si="106"/>
        <v>21.601015257303199</v>
      </c>
      <c r="W42" s="24">
        <f t="shared" si="106"/>
        <v>26.496379954082855</v>
      </c>
      <c r="X42" s="24">
        <f>(X36/(1-BS!$S$9))*BS!$S$9</f>
        <v>39.770942408953047</v>
      </c>
      <c r="Y42" s="24">
        <f>(Y36/(1-BS!$S$9))*BS!$S$9</f>
        <v>50.525798409886839</v>
      </c>
      <c r="Z42" s="24">
        <f>(Z36/(1-BS!$S$9))*BS!$S$9</f>
        <v>59.83669063921554</v>
      </c>
      <c r="AA42" s="24">
        <f>(AA36/(1-BS!$S$9))*BS!$S$9</f>
        <v>65.709062332507955</v>
      </c>
      <c r="AB42" s="24">
        <f>(AB36/(1-BS!$S$9))*BS!$S$9</f>
        <v>66.497571080498048</v>
      </c>
      <c r="AC42" s="24">
        <f>(AC36/(1-BS!$S$9))*BS!$S$9</f>
        <v>67.295541933464023</v>
      </c>
      <c r="AD42" s="112"/>
      <c r="AE42" s="133">
        <f>S42</f>
        <v>6.5826225744677584</v>
      </c>
      <c r="AF42" s="24">
        <f t="shared" ref="AF42:AI47" si="107">T42</f>
        <v>9.7431155180206535</v>
      </c>
      <c r="AG42" s="24">
        <f t="shared" si="107"/>
        <v>14.476363590637153</v>
      </c>
      <c r="AH42" s="24">
        <f t="shared" si="107"/>
        <v>21.601015257303199</v>
      </c>
      <c r="AI42" s="24">
        <f t="shared" si="107"/>
        <v>26.496379954082855</v>
      </c>
      <c r="AJ42" s="24">
        <f>(AJ36/(1-BS!$S$9))*BS!$S$9</f>
        <v>28.740133854017007</v>
      </c>
      <c r="AK42" s="24">
        <f>(AK36/(1-BS!$S$9))*BS!$S$9</f>
        <v>36.512039228276713</v>
      </c>
      <c r="AL42" s="24">
        <f>(AL36/(1-BS!$S$9))*BS!$S$9</f>
        <v>43.240476443055748</v>
      </c>
      <c r="AM42" s="24">
        <f>(AM36/(1-BS!$S$9))*BS!$S$9</f>
        <v>47.484095987453848</v>
      </c>
      <c r="AN42" s="24">
        <f>(AN36/(1-BS!$S$9))*BS!$S$9</f>
        <v>48.053905139303303</v>
      </c>
      <c r="AO42" s="24">
        <f>(AO36/(1-BS!$S$9))*BS!$S$9</f>
        <v>48.630552000974937</v>
      </c>
    </row>
    <row r="43" spans="2:41">
      <c r="B43" s="150" t="s">
        <v>39</v>
      </c>
      <c r="C43" s="42"/>
      <c r="D43" s="42"/>
      <c r="E43" s="30">
        <v>1.6115735776313589E-2</v>
      </c>
      <c r="F43" s="84">
        <v>1.9078607331041591E-2</v>
      </c>
      <c r="G43" s="30">
        <f t="shared" ref="G43:K43" si="108">G42/G27</f>
        <v>1.5913593748749465E-2</v>
      </c>
      <c r="H43" s="30">
        <f t="shared" si="108"/>
        <v>1.5798109569523943E-2</v>
      </c>
      <c r="I43" s="30">
        <f t="shared" si="108"/>
        <v>1.5689223163618454E-2</v>
      </c>
      <c r="J43" s="30">
        <f t="shared" si="108"/>
        <v>1.5586484312351032E-2</v>
      </c>
      <c r="K43" s="30">
        <f t="shared" si="108"/>
        <v>1.2673211443150277E-2</v>
      </c>
      <c r="L43" s="30"/>
      <c r="M43" s="30"/>
      <c r="N43" s="30"/>
      <c r="O43" s="30"/>
      <c r="P43" s="30"/>
      <c r="Q43" s="170"/>
      <c r="R43" s="117"/>
      <c r="S43" s="30">
        <f t="shared" si="106"/>
        <v>1.5913593748749465E-2</v>
      </c>
      <c r="T43" s="30">
        <f t="shared" si="106"/>
        <v>1.5798109569523943E-2</v>
      </c>
      <c r="U43" s="30">
        <f t="shared" si="106"/>
        <v>1.5689223163618454E-2</v>
      </c>
      <c r="V43" s="30">
        <f t="shared" si="106"/>
        <v>1.5586484312351032E-2</v>
      </c>
      <c r="W43" s="30">
        <f t="shared" si="106"/>
        <v>1.2673211443150277E-2</v>
      </c>
      <c r="X43" s="30"/>
      <c r="Y43" s="30"/>
      <c r="Z43" s="30"/>
      <c r="AA43" s="30"/>
      <c r="AB43" s="30"/>
      <c r="AC43" s="30"/>
      <c r="AD43" s="117"/>
      <c r="AE43" s="135">
        <f t="shared" ref="AE43:AE47" si="109">S43</f>
        <v>1.5913593748749465E-2</v>
      </c>
      <c r="AF43" s="30">
        <f t="shared" si="107"/>
        <v>1.5798109569523943E-2</v>
      </c>
      <c r="AG43" s="30">
        <f t="shared" si="107"/>
        <v>1.5689223163618454E-2</v>
      </c>
      <c r="AH43" s="30">
        <f t="shared" si="107"/>
        <v>1.5586484312351032E-2</v>
      </c>
      <c r="AI43" s="30">
        <f t="shared" si="107"/>
        <v>1.2673211443150277E-2</v>
      </c>
      <c r="AJ43" s="30"/>
      <c r="AK43" s="30"/>
      <c r="AL43" s="30"/>
      <c r="AM43" s="30"/>
      <c r="AN43" s="30"/>
      <c r="AO43" s="30"/>
    </row>
    <row r="44" spans="2:41">
      <c r="B44" s="147" t="s">
        <v>40</v>
      </c>
      <c r="C44" s="32"/>
      <c r="D44" s="32"/>
      <c r="E44" s="24">
        <v>27.3</v>
      </c>
      <c r="F44" s="82">
        <v>20.779999999999998</v>
      </c>
      <c r="G44" s="24">
        <f t="shared" ref="G44:P44" si="110">G36-F36+G42</f>
        <v>20.922171543375651</v>
      </c>
      <c r="H44" s="24">
        <f t="shared" si="110"/>
        <v>35.823382048733933</v>
      </c>
      <c r="I44" s="24">
        <f t="shared" si="110"/>
        <v>53.534945114015684</v>
      </c>
      <c r="J44" s="24">
        <f t="shared" si="110"/>
        <v>80.393367502285017</v>
      </c>
      <c r="K44" s="37">
        <f t="shared" si="110"/>
        <v>66.892741641109396</v>
      </c>
      <c r="L44" s="37">
        <f t="shared" si="110"/>
        <v>113.904724619641</v>
      </c>
      <c r="M44" s="37">
        <f t="shared" si="110"/>
        <v>125.87257579767524</v>
      </c>
      <c r="N44" s="37">
        <f t="shared" si="110"/>
        <v>123.51856968218783</v>
      </c>
      <c r="O44" s="37">
        <f t="shared" si="110"/>
        <v>103.18170476251308</v>
      </c>
      <c r="P44" s="37">
        <f t="shared" si="110"/>
        <v>65.979371500088149</v>
      </c>
      <c r="Q44" s="176">
        <f>AVERAGE(L44:P44)</f>
        <v>106.49138927242106</v>
      </c>
      <c r="R44" s="121"/>
      <c r="S44" s="24">
        <f t="shared" si="106"/>
        <v>20.922171543375651</v>
      </c>
      <c r="T44" s="24">
        <f t="shared" si="106"/>
        <v>35.823382048733933</v>
      </c>
      <c r="U44" s="24">
        <f t="shared" si="106"/>
        <v>53.534945114015684</v>
      </c>
      <c r="V44" s="24">
        <f t="shared" si="106"/>
        <v>80.393367502285017</v>
      </c>
      <c r="W44" s="24">
        <f t="shared" si="106"/>
        <v>66.892741641109396</v>
      </c>
      <c r="X44" s="37">
        <f t="shared" ref="X44:AB44" si="111">X36-W36+X42</f>
        <v>149.31212256182698</v>
      </c>
      <c r="Y44" s="37">
        <f t="shared" si="111"/>
        <v>139.27445756318971</v>
      </c>
      <c r="Z44" s="37">
        <f t="shared" si="111"/>
        <v>136.66981614104304</v>
      </c>
      <c r="AA44" s="37">
        <f t="shared" si="111"/>
        <v>114.16764827584942</v>
      </c>
      <c r="AB44" s="37">
        <f t="shared" si="111"/>
        <v>73.004315020974374</v>
      </c>
      <c r="AC44" s="176">
        <f>AVERAGE(X44:AB44)</f>
        <v>122.48567191257669</v>
      </c>
      <c r="AD44" s="121"/>
      <c r="AE44" s="142">
        <f>AE36-F36+AE42</f>
        <v>18.859771311094082</v>
      </c>
      <c r="AF44" s="37">
        <f t="shared" ref="AF44:AN44" si="112">AF36-AE36+AF42</f>
        <v>31.700624418235584</v>
      </c>
      <c r="AG44" s="37">
        <f t="shared" si="112"/>
        <v>45.746869464758262</v>
      </c>
      <c r="AH44" s="37">
        <f t="shared" si="112"/>
        <v>66.178614075389135</v>
      </c>
      <c r="AI44" s="37">
        <f t="shared" si="112"/>
        <v>51.260013232066015</v>
      </c>
      <c r="AJ44" s="37">
        <f t="shared" si="112"/>
        <v>91.076220311737941</v>
      </c>
      <c r="AK44" s="37">
        <f t="shared" si="112"/>
        <v>100.64550423905973</v>
      </c>
      <c r="AL44" s="37">
        <f t="shared" si="112"/>
        <v>98.7632822302254</v>
      </c>
      <c r="AM44" s="37">
        <f t="shared" si="112"/>
        <v>82.502281678585547</v>
      </c>
      <c r="AN44" s="37">
        <f t="shared" si="112"/>
        <v>52.755948401949347</v>
      </c>
      <c r="AO44" s="176">
        <f>AVERAGE(AJ44:AN44)</f>
        <v>85.148647372311601</v>
      </c>
    </row>
    <row r="45" spans="2:41">
      <c r="B45" s="150" t="s">
        <v>41</v>
      </c>
      <c r="C45" s="42"/>
      <c r="D45" s="42"/>
      <c r="E45" s="30">
        <v>0.16921522565129268</v>
      </c>
      <c r="F45" s="84">
        <v>7.2082447334371677E-2</v>
      </c>
      <c r="G45" s="30">
        <f t="shared" ref="G45:K45" si="113">G44/G27</f>
        <v>5.0579679226079172E-2</v>
      </c>
      <c r="H45" s="30">
        <f t="shared" si="113"/>
        <v>5.8086318868955461E-2</v>
      </c>
      <c r="I45" s="30">
        <f t="shared" si="113"/>
        <v>5.8020213134815972E-2</v>
      </c>
      <c r="J45" s="30">
        <f t="shared" si="113"/>
        <v>5.8008845716998721E-2</v>
      </c>
      <c r="K45" s="30">
        <f t="shared" si="113"/>
        <v>3.1994780430342241E-2</v>
      </c>
      <c r="L45" s="30"/>
      <c r="M45" s="30"/>
      <c r="N45" s="30"/>
      <c r="O45" s="30"/>
      <c r="P45" s="30"/>
      <c r="Q45" s="170"/>
      <c r="R45" s="117"/>
      <c r="S45" s="30">
        <f t="shared" si="106"/>
        <v>5.0579679226079172E-2</v>
      </c>
      <c r="T45" s="30">
        <f t="shared" si="106"/>
        <v>5.8086318868955461E-2</v>
      </c>
      <c r="U45" s="30">
        <f t="shared" si="106"/>
        <v>5.8020213134815972E-2</v>
      </c>
      <c r="V45" s="30">
        <f t="shared" si="106"/>
        <v>5.8008845716998721E-2</v>
      </c>
      <c r="W45" s="30">
        <f t="shared" si="106"/>
        <v>3.1994780430342241E-2</v>
      </c>
      <c r="X45" s="30"/>
      <c r="Y45" s="30"/>
      <c r="Z45" s="30"/>
      <c r="AA45" s="30"/>
      <c r="AB45" s="30"/>
      <c r="AC45" s="30"/>
      <c r="AD45" s="117"/>
      <c r="AE45" s="135">
        <f t="shared" si="109"/>
        <v>5.0579679226079172E-2</v>
      </c>
      <c r="AF45" s="30">
        <f t="shared" si="107"/>
        <v>5.8086318868955461E-2</v>
      </c>
      <c r="AG45" s="30">
        <f t="shared" si="107"/>
        <v>5.8020213134815972E-2</v>
      </c>
      <c r="AH45" s="30">
        <f t="shared" si="107"/>
        <v>5.8008845716998721E-2</v>
      </c>
      <c r="AI45" s="30">
        <f t="shared" si="107"/>
        <v>3.1994780430342241E-2</v>
      </c>
      <c r="AJ45" s="30"/>
      <c r="AK45" s="30"/>
      <c r="AL45" s="30"/>
      <c r="AM45" s="30"/>
      <c r="AN45" s="30"/>
      <c r="AO45" s="30"/>
    </row>
    <row r="46" spans="2:41">
      <c r="B46" s="147" t="s">
        <v>1</v>
      </c>
      <c r="C46" s="42"/>
      <c r="D46" s="43">
        <v>-6.3159639866977111</v>
      </c>
      <c r="E46" s="43">
        <v>-13.688453100089843</v>
      </c>
      <c r="F46" s="86">
        <v>-23.121850503118964</v>
      </c>
      <c r="G46" s="43">
        <f>(G27-G29)*BS!$T$18</f>
        <v>-32.914821842993661</v>
      </c>
      <c r="H46" s="43">
        <f>(H27-H29)*BS!$T$18</f>
        <v>-48.675795288624499</v>
      </c>
      <c r="I46" s="43">
        <f>(I27-I29)*BS!$T$18</f>
        <v>-72.217044778087484</v>
      </c>
      <c r="J46" s="43">
        <f>(J27-J29)*BS!$T$18</f>
        <v>-107.53931601779071</v>
      </c>
      <c r="K46" s="43">
        <f>(K27-K29)*BS!$T$18</f>
        <v>-160.80340207174805</v>
      </c>
      <c r="L46" s="43">
        <f>(L27-L29)*BS!$T$18</f>
        <v>-218.13945101009838</v>
      </c>
      <c r="M46" s="43">
        <f>(M27-M29)*BS!$T$18</f>
        <v>-277.12870903703987</v>
      </c>
      <c r="N46" s="43">
        <f>(N27-N29)*BS!$T$18</f>
        <v>-328.19797710806063</v>
      </c>
      <c r="O46" s="43">
        <f>(O27-O29)*BS!$T$18</f>
        <v>-360.40732040523329</v>
      </c>
      <c r="P46" s="43">
        <f>(P27-P29)*BS!$T$18</f>
        <v>-364.73220825009605</v>
      </c>
      <c r="Q46" s="177">
        <f>(Q27-Q29)*BS!$T$18</f>
        <v>-369.10899474909729</v>
      </c>
      <c r="R46" s="123"/>
      <c r="S46" s="43">
        <f t="shared" si="106"/>
        <v>-32.914821842993661</v>
      </c>
      <c r="T46" s="43">
        <f t="shared" si="106"/>
        <v>-48.675795288624499</v>
      </c>
      <c r="U46" s="43">
        <f t="shared" si="106"/>
        <v>-72.217044778087484</v>
      </c>
      <c r="V46" s="43">
        <f t="shared" si="106"/>
        <v>-107.53931601779071</v>
      </c>
      <c r="W46" s="43">
        <f t="shared" si="106"/>
        <v>-160.80340207174805</v>
      </c>
      <c r="X46" s="43">
        <f>(X27-X29)*BS!$T$18</f>
        <v>-230.7166918610429</v>
      </c>
      <c r="Y46" s="43">
        <f>(Y27-Y29)*BS!$T$18</f>
        <v>-293.10708664884021</v>
      </c>
      <c r="Z46" s="43">
        <f>(Z27-Z29)*BS!$T$18</f>
        <v>-347.12084954478343</v>
      </c>
      <c r="AA46" s="43">
        <f>(AA27-AA29)*BS!$T$18</f>
        <v>-381.18728318679496</v>
      </c>
      <c r="AB46" s="43">
        <f>(AB27-AB29)*BS!$T$18</f>
        <v>-385.7615305850365</v>
      </c>
      <c r="AC46" s="43">
        <f>(AC27-AC29)*BS!$T$18</f>
        <v>-390.3906689520569</v>
      </c>
      <c r="AD46" s="123"/>
      <c r="AE46" s="139">
        <f>(AE27-AE29)*BS!$T$18</f>
        <v>-32.994631509045277</v>
      </c>
      <c r="AF46" s="43">
        <f>(AF27-AF29)*BS!$T$18</f>
        <v>-46.870005030565416</v>
      </c>
      <c r="AG46" s="43">
        <f>(AG27-AG29)*BS!$T$18</f>
        <v>-66.635297291958437</v>
      </c>
      <c r="AH46" s="43">
        <f>(AH27-AH29)*BS!$T$18</f>
        <v>-94.818580966428016</v>
      </c>
      <c r="AI46" s="43">
        <f>(AI27-AI29)*BS!$T$18</f>
        <v>-134.24803243697176</v>
      </c>
      <c r="AJ46" s="43">
        <f>(AJ27-AJ29)*BS!$T$18</f>
        <v>-182.11550077728128</v>
      </c>
      <c r="AK46" s="43">
        <f>(AK27-AK29)*BS!$T$18</f>
        <v>-231.36316421602066</v>
      </c>
      <c r="AL46" s="43">
        <f>(AL27-AL29)*BS!$T$18</f>
        <v>-273.99875940990705</v>
      </c>
      <c r="AM46" s="43">
        <f>(AM27-AM29)*BS!$T$18</f>
        <v>-300.88899250213399</v>
      </c>
      <c r="AN46" s="43">
        <f>(AN27-AN29)*BS!$T$18</f>
        <v>-304.49966041215964</v>
      </c>
      <c r="AO46" s="43">
        <f>(AO27-AO29)*BS!$T$18</f>
        <v>-308.15365633710553</v>
      </c>
    </row>
    <row r="47" spans="2:41">
      <c r="B47" s="147" t="s">
        <v>42</v>
      </c>
      <c r="C47" s="32"/>
      <c r="D47" s="32"/>
      <c r="E47" s="24">
        <v>-7.372489113392132</v>
      </c>
      <c r="F47" s="82">
        <v>-9.4333974030291206</v>
      </c>
      <c r="G47" s="24">
        <f t="shared" ref="G47:Q47" si="114">G46-F46</f>
        <v>-9.7929713398746969</v>
      </c>
      <c r="H47" s="24">
        <f t="shared" si="114"/>
        <v>-15.760973445630839</v>
      </c>
      <c r="I47" s="24">
        <f t="shared" si="114"/>
        <v>-23.541249489462984</v>
      </c>
      <c r="J47" s="24">
        <f t="shared" si="114"/>
        <v>-35.322271239703227</v>
      </c>
      <c r="K47" s="24">
        <f t="shared" si="114"/>
        <v>-53.264086053957342</v>
      </c>
      <c r="L47" s="24">
        <f t="shared" si="114"/>
        <v>-57.336048938350331</v>
      </c>
      <c r="M47" s="24">
        <f t="shared" si="114"/>
        <v>-58.989258026941485</v>
      </c>
      <c r="N47" s="24">
        <f t="shared" si="114"/>
        <v>-51.069268071020758</v>
      </c>
      <c r="O47" s="24">
        <f t="shared" si="114"/>
        <v>-32.209343297172666</v>
      </c>
      <c r="P47" s="24">
        <f t="shared" si="114"/>
        <v>-4.3248878448627579</v>
      </c>
      <c r="Q47" s="164">
        <f t="shared" si="114"/>
        <v>-4.3767864990012413</v>
      </c>
      <c r="R47" s="112"/>
      <c r="S47" s="24">
        <f t="shared" si="106"/>
        <v>-9.7929713398746969</v>
      </c>
      <c r="T47" s="24">
        <f t="shared" si="106"/>
        <v>-15.760973445630839</v>
      </c>
      <c r="U47" s="24">
        <f t="shared" si="106"/>
        <v>-23.541249489462984</v>
      </c>
      <c r="V47" s="24">
        <f t="shared" si="106"/>
        <v>-35.322271239703227</v>
      </c>
      <c r="W47" s="24">
        <f t="shared" si="106"/>
        <v>-53.264086053957342</v>
      </c>
      <c r="X47" s="24">
        <f t="shared" ref="X47:AC47" si="115">X46-W46</f>
        <v>-69.913289789294851</v>
      </c>
      <c r="Y47" s="24">
        <f t="shared" si="115"/>
        <v>-62.390394787797305</v>
      </c>
      <c r="Z47" s="24">
        <f t="shared" si="115"/>
        <v>-54.013762895943216</v>
      </c>
      <c r="AA47" s="24">
        <f t="shared" si="115"/>
        <v>-34.066433642011532</v>
      </c>
      <c r="AB47" s="24">
        <f t="shared" si="115"/>
        <v>-4.574247398241539</v>
      </c>
      <c r="AC47" s="24">
        <f t="shared" si="115"/>
        <v>-4.6291383670204027</v>
      </c>
      <c r="AD47" s="112"/>
      <c r="AE47" s="133">
        <f t="shared" si="109"/>
        <v>-9.7929713398746969</v>
      </c>
      <c r="AF47" s="24">
        <f t="shared" si="107"/>
        <v>-15.760973445630839</v>
      </c>
      <c r="AG47" s="24">
        <f t="shared" si="107"/>
        <v>-23.541249489462984</v>
      </c>
      <c r="AH47" s="24">
        <f t="shared" si="107"/>
        <v>-35.322271239703227</v>
      </c>
      <c r="AI47" s="24">
        <f t="shared" si="107"/>
        <v>-53.264086053957342</v>
      </c>
      <c r="AJ47" s="24">
        <f t="shared" ref="AJ47:AO47" si="116">AJ46-AI46</f>
        <v>-47.867468340309529</v>
      </c>
      <c r="AK47" s="24">
        <f t="shared" si="116"/>
        <v>-49.24766343873938</v>
      </c>
      <c r="AL47" s="24">
        <f t="shared" si="116"/>
        <v>-42.635595193886388</v>
      </c>
      <c r="AM47" s="24">
        <f t="shared" si="116"/>
        <v>-26.890233092226936</v>
      </c>
      <c r="AN47" s="24">
        <f t="shared" si="116"/>
        <v>-3.6106679100256542</v>
      </c>
      <c r="AO47" s="24">
        <f t="shared" si="116"/>
        <v>-3.6539959249458889</v>
      </c>
    </row>
    <row r="48" spans="2:41" ht="15" thickBot="1">
      <c r="B48" s="151" t="s">
        <v>43</v>
      </c>
      <c r="C48" s="27"/>
      <c r="D48" s="27">
        <v>-1</v>
      </c>
      <c r="E48" s="28">
        <v>-40.527510886607871</v>
      </c>
      <c r="F48" s="89">
        <v>-19.991602596970914</v>
      </c>
      <c r="G48" s="28">
        <f t="shared" ref="G48:Q48" si="117">G41+(G42*G40)-G44-G47</f>
        <v>-13.803493752690894</v>
      </c>
      <c r="H48" s="28">
        <f t="shared" si="117"/>
        <v>-18.489280949021939</v>
      </c>
      <c r="I48" s="28">
        <f t="shared" si="117"/>
        <v>-19.346375781669899</v>
      </c>
      <c r="J48" s="28">
        <f t="shared" si="117"/>
        <v>-16.653955434678046</v>
      </c>
      <c r="K48" s="28">
        <f t="shared" si="117"/>
        <v>50.701167234337177</v>
      </c>
      <c r="L48" s="28">
        <f t="shared" si="117"/>
        <v>30.698583923050919</v>
      </c>
      <c r="M48" s="28">
        <f t="shared" si="117"/>
        <v>43.982749249082119</v>
      </c>
      <c r="N48" s="28">
        <f t="shared" si="117"/>
        <v>58.847160066381633</v>
      </c>
      <c r="O48" s="28">
        <f t="shared" si="117"/>
        <v>73.209532490432821</v>
      </c>
      <c r="P48" s="28">
        <f t="shared" si="117"/>
        <v>84.257593028017141</v>
      </c>
      <c r="Q48" s="169">
        <f t="shared" si="117"/>
        <v>45.548418830021689</v>
      </c>
      <c r="R48" s="112"/>
      <c r="S48" s="28">
        <f t="shared" ref="S48:AC48" si="118">S41+(S42*S40)-S44-S47</f>
        <v>-10.058338331106143</v>
      </c>
      <c r="T48" s="28">
        <f t="shared" si="118"/>
        <v>-7.3317795952693814</v>
      </c>
      <c r="U48" s="28">
        <f t="shared" si="118"/>
        <v>5.6571996389361487</v>
      </c>
      <c r="V48" s="28">
        <f t="shared" si="118"/>
        <v>33.392941322243161</v>
      </c>
      <c r="W48" s="28">
        <f t="shared" si="118"/>
        <v>160.75043315433717</v>
      </c>
      <c r="X48" s="28">
        <f t="shared" si="118"/>
        <v>155.36580760471642</v>
      </c>
      <c r="Y48" s="28">
        <f t="shared" si="118"/>
        <v>221.36561839887611</v>
      </c>
      <c r="Z48" s="28">
        <f t="shared" si="118"/>
        <v>270.55506795070556</v>
      </c>
      <c r="AA48" s="28">
        <f t="shared" si="118"/>
        <v>307.77403934920011</v>
      </c>
      <c r="AB48" s="28">
        <f t="shared" si="118"/>
        <v>324.0996894081016</v>
      </c>
      <c r="AC48" s="28">
        <f t="shared" si="118"/>
        <v>279.38358056964802</v>
      </c>
      <c r="AD48" s="112"/>
      <c r="AE48" s="137">
        <f t="shared" ref="AE48:AO48" si="119">AE41+(AE42*AE40)-AE44-AE47</f>
        <v>-15.385651147860177</v>
      </c>
      <c r="AF48" s="28">
        <f t="shared" si="119"/>
        <v>-25.020119665306183</v>
      </c>
      <c r="AG48" s="28">
        <f t="shared" si="119"/>
        <v>-35.295210700242649</v>
      </c>
      <c r="AH48" s="28">
        <f t="shared" si="119"/>
        <v>-49.791411484725984</v>
      </c>
      <c r="AI48" s="28">
        <f t="shared" si="119"/>
        <v>-22.66664605261947</v>
      </c>
      <c r="AJ48" s="28">
        <f t="shared" si="119"/>
        <v>-73.304685226709893</v>
      </c>
      <c r="AK48" s="28">
        <f t="shared" si="119"/>
        <v>-89.632314627408817</v>
      </c>
      <c r="AL48" s="28">
        <f t="shared" si="119"/>
        <v>-101.4080082612482</v>
      </c>
      <c r="AM48" s="28">
        <f t="shared" si="119"/>
        <v>-105.33617968417011</v>
      </c>
      <c r="AN48" s="28">
        <f t="shared" si="119"/>
        <v>-99.466101162908757</v>
      </c>
      <c r="AO48" s="28">
        <f t="shared" si="119"/>
        <v>-132.41932196640263</v>
      </c>
    </row>
    <row r="49" spans="2:41" ht="15.5" thickTop="1" thickBot="1">
      <c r="B49" s="178" t="s">
        <v>137</v>
      </c>
      <c r="C49" s="179"/>
      <c r="D49" s="180"/>
      <c r="E49" s="181"/>
      <c r="F49" s="182"/>
      <c r="G49" s="181">
        <f>G48/(1+$E$54)^1</f>
        <v>-13.082028488128918</v>
      </c>
      <c r="H49" s="181">
        <f>H48/(1+$E$54)^2</f>
        <v>-16.60703713255851</v>
      </c>
      <c r="I49" s="181">
        <f>I48/(1+$E$54)^3</f>
        <v>-16.468643247520593</v>
      </c>
      <c r="J49" s="181">
        <f>J48/(1+$E$54)^4</f>
        <v>-13.435742386848302</v>
      </c>
      <c r="K49" s="181">
        <f>K48/(1+$E$54)^5</f>
        <v>38.76575933555111</v>
      </c>
      <c r="L49" s="181">
        <f>(L48+J54)/(1+$E$54)^6</f>
        <v>22.245119734541909</v>
      </c>
      <c r="M49" s="181">
        <f>(M48+K54)/(1+$E$54)^7</f>
        <v>30.205417649113752</v>
      </c>
      <c r="N49" s="181">
        <f>(N48+L54)/(1+$E$54)^8</f>
        <v>38.30134710802681</v>
      </c>
      <c r="O49" s="181">
        <f>(O48+M54)/(1+$E$54)^9</f>
        <v>45.158784209412012</v>
      </c>
      <c r="P49" s="181">
        <f>(P48+N54)/(1+$E$54)^10</f>
        <v>49.257200305437877</v>
      </c>
      <c r="Q49" s="183">
        <f>Q48/(E54-E8)</f>
        <v>825.91046581478713</v>
      </c>
      <c r="R49" s="112"/>
      <c r="S49" s="144">
        <f>S48/(1+$E$54)^1</f>
        <v>-9.5326205776793547</v>
      </c>
      <c r="T49" s="144">
        <f>T48/(1+$E$54)^2</f>
        <v>-6.5853905472086165</v>
      </c>
      <c r="U49" s="144">
        <f>U48/(1+$E$54)^3</f>
        <v>4.8157031417695331</v>
      </c>
      <c r="V49" s="144">
        <f>V48/(1+$E$54)^4</f>
        <v>26.940083928084206</v>
      </c>
      <c r="W49" s="144">
        <f>W48/(1+$E$54)^5</f>
        <v>122.90866156876747</v>
      </c>
      <c r="X49" s="144">
        <f>(X48+V54)/(1+$E$54)^6</f>
        <v>112.58274979340604</v>
      </c>
      <c r="Y49" s="144">
        <f>(Y48+W54)/(1+$E$54)^7</f>
        <v>152.02417018149296</v>
      </c>
      <c r="Z49" s="144">
        <f>(Z48+X54)/(1+$E$54)^8</f>
        <v>176.09386005588641</v>
      </c>
      <c r="AA49" s="144">
        <f>(AA48+Y54)/(1+$E$54)^9</f>
        <v>189.8482472900086</v>
      </c>
      <c r="AB49" s="144">
        <f>(AB48+Z54)/(1+$E$54)^10</f>
        <v>189.46949166702007</v>
      </c>
      <c r="AC49" s="144">
        <f>Q48/(E54-Q8)</f>
        <v>1055.5993812311251</v>
      </c>
      <c r="AD49" s="112"/>
      <c r="AE49" s="145">
        <f>AE48/(1+$E$54)^1</f>
        <v>-14.581491485478665</v>
      </c>
      <c r="AF49" s="144">
        <f>AF48/(1+$E$54)^2</f>
        <v>-22.473024099121453</v>
      </c>
      <c r="AG49" s="144">
        <f>AG48/(1+$E$54)^3</f>
        <v>-30.045122659051099</v>
      </c>
      <c r="AH49" s="144">
        <f>AH48/(1+$E$54)^4</f>
        <v>-40.16971105815086</v>
      </c>
      <c r="AI49" s="144">
        <f>(AI48+AG54)/(1+$E$54)^5</f>
        <v>-17.330759699450795</v>
      </c>
      <c r="AJ49" s="144">
        <f>(AJ48+AH54)/(1+$E$54)^6</f>
        <v>-53.118785676189773</v>
      </c>
      <c r="AK49" s="144">
        <f>(AK48+AI54)/(1+$E$54)^7</f>
        <v>-61.555531302631145</v>
      </c>
      <c r="AL49" s="144">
        <f>(AL48+AJ54)/(1+$E$54)^8</f>
        <v>-66.002561883468289</v>
      </c>
      <c r="AM49" s="144">
        <f>(AM48+AK54)/(1+$E$54)^9</f>
        <v>-64.975880134501921</v>
      </c>
      <c r="AN49" s="144">
        <f>(AN48+AL54)/(1+$E$54)^10</f>
        <v>-58.148132322664374</v>
      </c>
      <c r="AO49" s="144">
        <f>AO48/(E54-AC8)</f>
        <v>-3068.8607403128422</v>
      </c>
    </row>
    <row r="50" spans="2:41" ht="15" thickBot="1">
      <c r="B50" s="153" t="s">
        <v>138</v>
      </c>
      <c r="E50" s="89">
        <f>SUM(G49:P49)+Q49/(1+$E$54)^10</f>
        <v>647.16950779754211</v>
      </c>
      <c r="H50" s="32"/>
      <c r="I50" s="32"/>
      <c r="J50" s="32"/>
      <c r="K50" s="32"/>
      <c r="L50" s="32"/>
      <c r="M50" s="32"/>
      <c r="N50" s="32"/>
      <c r="O50" s="32"/>
      <c r="P50" s="32"/>
      <c r="Q50" s="32"/>
      <c r="S50" s="89">
        <f>SUM(S49:AB49)+AC49/(1+$E$54)^10</f>
        <v>1575.6710035056228</v>
      </c>
      <c r="T50" s="32"/>
      <c r="U50" s="32"/>
      <c r="V50" s="32"/>
      <c r="W50" s="32"/>
      <c r="X50" s="32"/>
      <c r="Y50" s="32"/>
      <c r="Z50" s="32"/>
      <c r="AA50" s="32"/>
      <c r="AB50" s="32"/>
      <c r="AC50" s="32"/>
      <c r="AE50" s="143">
        <f>SUM(AE49:AN49)+AO49/(1+$E$54)^10</f>
        <v>-2222.4646895696937</v>
      </c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2:41" ht="15" thickTop="1">
      <c r="B51" s="147" t="s">
        <v>139</v>
      </c>
      <c r="E51" s="82">
        <f>E50-E56</f>
        <v>578.26950779754213</v>
      </c>
      <c r="H51" s="32"/>
      <c r="I51" s="32"/>
      <c r="J51" s="32"/>
      <c r="K51" s="32"/>
      <c r="L51" s="32"/>
      <c r="M51" s="32"/>
      <c r="N51" s="32"/>
      <c r="O51" s="32"/>
      <c r="P51" s="32"/>
      <c r="Q51" s="32"/>
      <c r="S51" s="82">
        <f>S50-O56</f>
        <v>1575.6710035056228</v>
      </c>
      <c r="T51" s="32"/>
      <c r="U51" s="32"/>
      <c r="V51" s="32"/>
      <c r="W51" s="32"/>
      <c r="X51" s="32"/>
      <c r="Y51" s="32"/>
      <c r="Z51" s="32"/>
      <c r="AA51" s="32"/>
      <c r="AB51" s="32"/>
      <c r="AC51" s="32"/>
      <c r="AE51" s="131">
        <f>AE50-AA56</f>
        <v>-2222.4646895696937</v>
      </c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2:41" ht="15" thickBot="1">
      <c r="B52" s="154" t="s">
        <v>140</v>
      </c>
      <c r="E52" s="89">
        <f>E51/59.1</f>
        <v>9.7845940405675478</v>
      </c>
      <c r="H52" s="32"/>
      <c r="I52" s="32"/>
      <c r="J52" s="32"/>
      <c r="K52" s="32"/>
      <c r="L52" s="32"/>
      <c r="M52" s="32"/>
      <c r="N52" s="32"/>
      <c r="O52" s="32"/>
      <c r="P52" s="32"/>
      <c r="Q52" s="32"/>
      <c r="S52" s="89">
        <f>S51/59.1</f>
        <v>26.661099890112062</v>
      </c>
      <c r="T52" s="32"/>
      <c r="U52" s="32"/>
      <c r="V52" s="32"/>
      <c r="W52" s="32"/>
      <c r="X52" s="32"/>
      <c r="Y52" s="32"/>
      <c r="Z52" s="32"/>
      <c r="AA52" s="32"/>
      <c r="AB52" s="32"/>
      <c r="AC52" s="32"/>
      <c r="AE52" s="130">
        <f>AE51/59.1</f>
        <v>-37.605155491872992</v>
      </c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2:41" ht="15" thickBot="1">
      <c r="F53" s="4"/>
      <c r="G53" s="4"/>
      <c r="H53" s="4"/>
      <c r="I53" s="4"/>
      <c r="S53" s="32"/>
      <c r="T53" s="37"/>
      <c r="U53" s="128"/>
      <c r="V53" s="32"/>
      <c r="W53" s="32"/>
      <c r="X53" s="32"/>
      <c r="Y53" s="32"/>
      <c r="Z53" s="32"/>
      <c r="AA53" s="32"/>
      <c r="AB53" s="32"/>
      <c r="AC53" s="32"/>
      <c r="AE53" s="32"/>
      <c r="AF53" s="129"/>
      <c r="AG53" s="129"/>
      <c r="AH53" s="129"/>
      <c r="AI53" s="32"/>
      <c r="AJ53" s="129"/>
      <c r="AK53" s="129"/>
      <c r="AL53" s="129"/>
      <c r="AM53" s="129"/>
      <c r="AN53" s="129"/>
      <c r="AO53" s="129"/>
    </row>
    <row r="54" spans="2:41" ht="15" thickBot="1">
      <c r="B54" s="72" t="s">
        <v>134</v>
      </c>
      <c r="E54" s="76">
        <f>(E57*E59)+(E58*(1-E61)*E60)</f>
        <v>5.5149342108271646E-2</v>
      </c>
      <c r="S54" s="32"/>
      <c r="T54" s="37"/>
      <c r="U54" s="128"/>
      <c r="V54" s="129"/>
      <c r="W54" s="32"/>
      <c r="X54" s="32"/>
      <c r="Y54" s="32"/>
      <c r="Z54" s="32"/>
      <c r="AA54" s="32"/>
      <c r="AB54" s="32"/>
      <c r="AC54" s="32"/>
      <c r="AE54" s="32"/>
      <c r="AF54" s="129"/>
      <c r="AG54" s="129"/>
      <c r="AH54" s="129"/>
      <c r="AI54" s="32"/>
      <c r="AJ54" s="129"/>
      <c r="AK54" s="129"/>
      <c r="AL54" s="129"/>
      <c r="AM54" s="129"/>
      <c r="AN54" s="129"/>
      <c r="AO54" s="129"/>
    </row>
    <row r="55" spans="2:41">
      <c r="B55" s="35" t="s">
        <v>127</v>
      </c>
      <c r="E55" s="66">
        <v>466.42699199999998</v>
      </c>
      <c r="J55" s="37"/>
      <c r="S55"/>
      <c r="T55"/>
      <c r="U55"/>
      <c r="V55"/>
      <c r="AE55" s="32"/>
      <c r="AF55"/>
      <c r="AG55"/>
      <c r="AH55"/>
      <c r="AI55" s="32"/>
    </row>
    <row r="56" spans="2:41">
      <c r="B56" s="35" t="s">
        <v>128</v>
      </c>
      <c r="E56" s="36">
        <f>BS!F32+BS!F33+BS!F34+BS!F27+BS!F28+BS!F25</f>
        <v>68.899999999999991</v>
      </c>
      <c r="J56" s="32"/>
      <c r="S56"/>
      <c r="T56"/>
      <c r="U56"/>
      <c r="V56"/>
      <c r="AE56" s="32"/>
      <c r="AF56"/>
      <c r="AG56"/>
      <c r="AH56"/>
      <c r="AI56" s="32"/>
    </row>
    <row r="57" spans="2:41">
      <c r="B57" s="35" t="s">
        <v>129</v>
      </c>
      <c r="E57" s="38">
        <f>E55/(E55+E56)</f>
        <v>0.8712936186113327</v>
      </c>
      <c r="J57" s="25"/>
      <c r="S57"/>
      <c r="T57"/>
      <c r="U57"/>
      <c r="V57"/>
      <c r="AE57"/>
      <c r="AF57"/>
      <c r="AG57"/>
      <c r="AH57"/>
    </row>
    <row r="58" spans="2:41">
      <c r="B58" s="35" t="s">
        <v>130</v>
      </c>
      <c r="E58" s="77">
        <f>1-E57</f>
        <v>0.1287063813886673</v>
      </c>
      <c r="J58" s="73"/>
      <c r="S58"/>
      <c r="T58"/>
      <c r="U58"/>
      <c r="V58"/>
      <c r="AE58"/>
      <c r="AF58"/>
      <c r="AG58"/>
      <c r="AH58"/>
    </row>
    <row r="59" spans="2:41">
      <c r="B59" s="35" t="s">
        <v>131</v>
      </c>
      <c r="E59" s="78">
        <f>BS!S33*BS!S35+BS!S34</f>
        <v>5.7299999999999997E-2</v>
      </c>
      <c r="J59" s="75"/>
      <c r="S59"/>
      <c r="T59"/>
      <c r="U59"/>
      <c r="V59"/>
      <c r="AE59"/>
      <c r="AF59"/>
      <c r="AG59"/>
      <c r="AH59"/>
    </row>
    <row r="60" spans="2:41">
      <c r="B60" s="35" t="s">
        <v>132</v>
      </c>
      <c r="E60" s="79">
        <v>5.5300000000000002E-2</v>
      </c>
      <c r="J60" s="74"/>
      <c r="S60"/>
      <c r="T60"/>
      <c r="U60"/>
      <c r="V60"/>
      <c r="AE60"/>
      <c r="AF60"/>
      <c r="AG60"/>
      <c r="AH60"/>
    </row>
    <row r="61" spans="2:41" ht="15" thickBot="1">
      <c r="B61" s="44" t="s">
        <v>133</v>
      </c>
      <c r="E61" s="80">
        <f>BS!S26</f>
        <v>0.26600000000000001</v>
      </c>
      <c r="J61" s="74"/>
      <c r="S61"/>
      <c r="T61"/>
      <c r="U61"/>
      <c r="V61"/>
      <c r="AE61"/>
      <c r="AF61"/>
      <c r="AG61"/>
      <c r="AH61"/>
    </row>
    <row r="62" spans="2:41">
      <c r="S62"/>
      <c r="T62"/>
      <c r="U62"/>
      <c r="V62"/>
      <c r="AE62"/>
      <c r="AF62"/>
      <c r="AG62"/>
      <c r="AH62"/>
    </row>
    <row r="63" spans="2:41">
      <c r="S63"/>
      <c r="T63"/>
      <c r="U63"/>
      <c r="V63"/>
      <c r="AE63"/>
      <c r="AF63"/>
      <c r="AG63"/>
      <c r="AH63"/>
    </row>
  </sheetData>
  <mergeCells count="3">
    <mergeCell ref="G1:Q1"/>
    <mergeCell ref="S1:AC1"/>
    <mergeCell ref="AE1:AO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AE75E-DA74-4D01-A131-3DB04EF74790}">
  <dimension ref="A1:AO62"/>
  <sheetViews>
    <sheetView showGridLines="0" topLeftCell="A13" zoomScale="60" zoomScaleNormal="60" workbookViewId="0">
      <selection activeCell="A63" sqref="A63:XFD75"/>
    </sheetView>
  </sheetViews>
  <sheetFormatPr defaultRowHeight="14.5"/>
  <cols>
    <col min="1" max="1" width="3.81640625" style="2" customWidth="1"/>
    <col min="2" max="2" width="24.90625" style="2" customWidth="1"/>
    <col min="3" max="3" width="8" style="2" hidden="1" customWidth="1"/>
    <col min="4" max="4" width="8.7265625" style="2" hidden="1" customWidth="1"/>
    <col min="5" max="5" width="7.81640625" style="2" bestFit="1" customWidth="1"/>
    <col min="6" max="6" width="7.81640625" style="2" customWidth="1"/>
    <col min="7" max="7" width="7.90625" style="2" customWidth="1"/>
    <col min="8" max="8" width="7.7265625" style="2" customWidth="1"/>
    <col min="9" max="9" width="10.08984375" style="2" customWidth="1"/>
    <col min="10" max="10" width="7.90625" style="2" customWidth="1"/>
    <col min="11" max="17" width="9.36328125" style="2" customWidth="1"/>
    <col min="18" max="18" width="2" style="124" customWidth="1"/>
    <col min="19" max="19" width="7.90625" style="2" customWidth="1"/>
    <col min="20" max="20" width="7.7265625" style="2" customWidth="1"/>
    <col min="21" max="21" width="10.08984375" style="2" customWidth="1"/>
    <col min="22" max="22" width="7.90625" style="2" customWidth="1"/>
    <col min="23" max="29" width="9.36328125" style="2" customWidth="1"/>
    <col min="30" max="30" width="2" style="124" customWidth="1"/>
    <col min="31" max="31" width="7.90625" style="2" customWidth="1"/>
    <col min="32" max="32" width="7.7265625" style="2" customWidth="1"/>
    <col min="33" max="33" width="10.08984375" style="2" customWidth="1"/>
    <col min="34" max="34" width="7.90625" style="2" customWidth="1"/>
    <col min="35" max="35" width="9.36328125" style="2" customWidth="1"/>
  </cols>
  <sheetData>
    <row r="1" spans="2:41" ht="15" thickBot="1">
      <c r="B1" s="163"/>
      <c r="C1" s="45"/>
      <c r="D1" s="45"/>
      <c r="E1" s="45"/>
      <c r="F1" s="45"/>
      <c r="G1" s="196" t="s">
        <v>167</v>
      </c>
      <c r="H1" s="196"/>
      <c r="I1" s="196"/>
      <c r="J1" s="196"/>
      <c r="K1" s="196"/>
      <c r="L1" s="196"/>
      <c r="M1" s="196"/>
      <c r="N1" s="196"/>
      <c r="O1" s="196"/>
      <c r="P1" s="196"/>
      <c r="Q1" s="197"/>
      <c r="R1" s="125"/>
      <c r="S1" s="195" t="s">
        <v>181</v>
      </c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25"/>
      <c r="AE1" s="194" t="s">
        <v>182</v>
      </c>
      <c r="AF1" s="194"/>
      <c r="AG1" s="194"/>
      <c r="AH1" s="194"/>
      <c r="AI1" s="194"/>
      <c r="AJ1" s="194"/>
      <c r="AK1" s="194"/>
      <c r="AL1" s="194"/>
      <c r="AM1" s="194"/>
      <c r="AN1" s="194"/>
      <c r="AO1" s="194"/>
    </row>
    <row r="2" spans="2:41">
      <c r="B2" s="146" t="s">
        <v>170</v>
      </c>
      <c r="C2" s="34">
        <v>2017</v>
      </c>
      <c r="D2" s="34">
        <v>2018</v>
      </c>
      <c r="E2" s="34">
        <v>2019</v>
      </c>
      <c r="F2" s="81">
        <v>2020</v>
      </c>
      <c r="G2" s="34">
        <v>2021</v>
      </c>
      <c r="H2" s="34">
        <v>2022</v>
      </c>
      <c r="I2" s="34">
        <v>2023</v>
      </c>
      <c r="J2" s="34">
        <v>2024</v>
      </c>
      <c r="K2" s="81">
        <v>2025</v>
      </c>
      <c r="L2" s="34">
        <f>K2+1</f>
        <v>2026</v>
      </c>
      <c r="M2" s="34">
        <f t="shared" ref="M2:O2" si="0">L2+1</f>
        <v>2027</v>
      </c>
      <c r="N2" s="34">
        <f t="shared" si="0"/>
        <v>2028</v>
      </c>
      <c r="O2" s="34">
        <f t="shared" si="0"/>
        <v>2029</v>
      </c>
      <c r="P2" s="34">
        <f>O2+1</f>
        <v>2030</v>
      </c>
      <c r="Q2" s="96" t="s">
        <v>183</v>
      </c>
      <c r="R2" s="126"/>
      <c r="S2" s="127">
        <v>2021</v>
      </c>
      <c r="T2" s="127">
        <v>2022</v>
      </c>
      <c r="U2" s="127">
        <v>2023</v>
      </c>
      <c r="V2" s="127">
        <v>2024</v>
      </c>
      <c r="W2" s="127">
        <v>2025</v>
      </c>
      <c r="X2" s="127">
        <f>W2+1</f>
        <v>2026</v>
      </c>
      <c r="Y2" s="127">
        <f t="shared" ref="Y2:AA2" si="1">X2+1</f>
        <v>2027</v>
      </c>
      <c r="Z2" s="127">
        <f t="shared" si="1"/>
        <v>2028</v>
      </c>
      <c r="AA2" s="127">
        <f t="shared" si="1"/>
        <v>2029</v>
      </c>
      <c r="AB2" s="127">
        <f>AA2+1</f>
        <v>2030</v>
      </c>
      <c r="AC2" s="104" t="s">
        <v>183</v>
      </c>
      <c r="AD2" s="126"/>
      <c r="AE2" s="132">
        <v>2021</v>
      </c>
      <c r="AF2" s="127">
        <v>2022</v>
      </c>
      <c r="AG2" s="127">
        <v>2023</v>
      </c>
      <c r="AH2" s="127">
        <v>2024</v>
      </c>
      <c r="AI2" s="127">
        <v>2025</v>
      </c>
      <c r="AJ2" s="127">
        <f>AI2+1</f>
        <v>2026</v>
      </c>
      <c r="AK2" s="127">
        <f t="shared" ref="AK2:AM2" si="2">AJ2+1</f>
        <v>2027</v>
      </c>
      <c r="AL2" s="127">
        <f t="shared" si="2"/>
        <v>2028</v>
      </c>
      <c r="AM2" s="127">
        <f t="shared" si="2"/>
        <v>2029</v>
      </c>
      <c r="AN2" s="127">
        <f>AM2+1</f>
        <v>2030</v>
      </c>
      <c r="AO2" s="104" t="s">
        <v>183</v>
      </c>
    </row>
    <row r="3" spans="2:41">
      <c r="B3" s="147" t="s">
        <v>51</v>
      </c>
      <c r="C3" s="32"/>
      <c r="D3" s="32"/>
      <c r="E3" s="37">
        <v>124000</v>
      </c>
      <c r="F3" s="82">
        <v>124000</v>
      </c>
      <c r="G3" s="24">
        <f t="shared" ref="G3:K3" si="3">F3</f>
        <v>124000</v>
      </c>
      <c r="H3" s="24">
        <f t="shared" si="3"/>
        <v>124000</v>
      </c>
      <c r="I3" s="24">
        <f t="shared" si="3"/>
        <v>124000</v>
      </c>
      <c r="J3" s="24">
        <f t="shared" si="3"/>
        <v>124000</v>
      </c>
      <c r="K3" s="24">
        <f t="shared" si="3"/>
        <v>124000</v>
      </c>
      <c r="L3" s="24"/>
      <c r="M3" s="24"/>
      <c r="N3" s="24"/>
      <c r="O3" s="24"/>
      <c r="P3" s="24"/>
      <c r="Q3" s="164"/>
      <c r="R3" s="112"/>
      <c r="S3" s="24">
        <f>K3</f>
        <v>124000</v>
      </c>
      <c r="T3" s="24">
        <f t="shared" ref="T3:W3" si="4">S3</f>
        <v>124000</v>
      </c>
      <c r="U3" s="24">
        <f t="shared" si="4"/>
        <v>124000</v>
      </c>
      <c r="V3" s="24">
        <f t="shared" si="4"/>
        <v>124000</v>
      </c>
      <c r="W3" s="24">
        <f t="shared" si="4"/>
        <v>124000</v>
      </c>
      <c r="X3" s="24"/>
      <c r="Y3" s="24"/>
      <c r="Z3" s="24"/>
      <c r="AA3" s="24"/>
      <c r="AB3" s="24"/>
      <c r="AC3" s="24"/>
      <c r="AD3" s="112"/>
      <c r="AE3" s="133">
        <f t="shared" ref="AE3" si="5">W3</f>
        <v>124000</v>
      </c>
      <c r="AF3" s="24">
        <f t="shared" ref="AF3:AI3" si="6">AE3</f>
        <v>124000</v>
      </c>
      <c r="AG3" s="24">
        <f t="shared" si="6"/>
        <v>124000</v>
      </c>
      <c r="AH3" s="24">
        <f t="shared" si="6"/>
        <v>124000</v>
      </c>
      <c r="AI3" s="24">
        <f t="shared" si="6"/>
        <v>124000</v>
      </c>
      <c r="AJ3" s="24"/>
      <c r="AK3" s="24"/>
      <c r="AL3" s="24"/>
      <c r="AM3" s="24"/>
      <c r="AN3" s="24"/>
      <c r="AO3" s="24"/>
    </row>
    <row r="4" spans="2:41">
      <c r="B4" s="147" t="s">
        <v>65</v>
      </c>
      <c r="C4" s="32"/>
      <c r="D4" s="32"/>
      <c r="E4" s="155">
        <v>8.0000000000000002E-3</v>
      </c>
      <c r="F4" s="83">
        <v>1.6E-2</v>
      </c>
      <c r="G4" s="25">
        <f>F4*(1+(($K$4/$F$4)^0.2-1))</f>
        <v>2.4326781623641575E-2</v>
      </c>
      <c r="H4" s="25">
        <f t="shared" ref="H4:J4" si="7">G4*(1+(($K$4/$F$4)^0.2-1))</f>
        <v>3.6987019010271585E-2</v>
      </c>
      <c r="I4" s="25">
        <f t="shared" si="7"/>
        <v>5.6235945898272272E-2</v>
      </c>
      <c r="J4" s="25">
        <f t="shared" si="7"/>
        <v>8.5502473454136974E-2</v>
      </c>
      <c r="K4" s="105">
        <f>'Bull-Bear'!N3</f>
        <v>0.13</v>
      </c>
      <c r="L4" s="105"/>
      <c r="M4" s="105"/>
      <c r="N4" s="105"/>
      <c r="O4" s="105"/>
      <c r="P4" s="105"/>
      <c r="Q4" s="165"/>
      <c r="R4" s="113"/>
      <c r="S4" s="25">
        <f>F4*(1+(($W$4/$F$4)^0.2-1))</f>
        <v>2.4326781623641575E-2</v>
      </c>
      <c r="T4" s="25">
        <f>S4*(1+(($W$4/$F$4)^0.2-1))</f>
        <v>3.6987019010271585E-2</v>
      </c>
      <c r="U4" s="25">
        <f>T4*(1+(($W$4/$F$4)^0.2-1))</f>
        <v>5.6235945898272272E-2</v>
      </c>
      <c r="V4" s="25">
        <f>U4*(1+(($W$4/$F$4)^0.2-1))</f>
        <v>8.5502473454136974E-2</v>
      </c>
      <c r="W4" s="105">
        <f>K4</f>
        <v>0.13</v>
      </c>
      <c r="X4" s="105"/>
      <c r="Y4" s="105"/>
      <c r="Z4" s="105"/>
      <c r="AA4" s="105"/>
      <c r="AB4" s="105"/>
      <c r="AC4" s="105"/>
      <c r="AD4" s="113"/>
      <c r="AE4" s="134">
        <f>F4*(1+(($AI$4/$F$4)^0.2-1))</f>
        <v>2.4326781623641575E-2</v>
      </c>
      <c r="AF4" s="25">
        <f>AE4*(1+(($AI$4/$F$4)^0.2-1))</f>
        <v>3.6987019010271585E-2</v>
      </c>
      <c r="AG4" s="25">
        <f>AF4*(1+(($AI$4/$F$4)^0.2-1))</f>
        <v>5.6235945898272272E-2</v>
      </c>
      <c r="AH4" s="25">
        <f>AG4*(1+(($AI$4/$F$4)^0.2-1))</f>
        <v>8.5502473454136974E-2</v>
      </c>
      <c r="AI4" s="105">
        <f>'Bull-Bear'!N3</f>
        <v>0.13</v>
      </c>
      <c r="AJ4" s="105"/>
      <c r="AK4" s="105"/>
      <c r="AL4" s="105"/>
      <c r="AM4" s="105"/>
      <c r="AN4" s="105"/>
      <c r="AO4" s="105"/>
    </row>
    <row r="5" spans="2:41">
      <c r="B5" s="147" t="s">
        <v>53</v>
      </c>
      <c r="C5" s="32"/>
      <c r="D5" s="32"/>
      <c r="E5" s="24">
        <v>992</v>
      </c>
      <c r="F5" s="82">
        <v>1984</v>
      </c>
      <c r="G5" s="24">
        <f>SUM(G6:G7)</f>
        <v>3016.5209213315552</v>
      </c>
      <c r="H5" s="24">
        <f t="shared" ref="H5:K5" si="8">SUM(H6:H7)</f>
        <v>4586.3903572736763</v>
      </c>
      <c r="I5" s="24">
        <f t="shared" si="8"/>
        <v>6973.2572913857621</v>
      </c>
      <c r="J5" s="24">
        <f t="shared" si="8"/>
        <v>10602.306708312986</v>
      </c>
      <c r="K5" s="24">
        <f t="shared" si="8"/>
        <v>16120</v>
      </c>
      <c r="L5" s="24"/>
      <c r="M5" s="24"/>
      <c r="N5" s="24"/>
      <c r="O5" s="24"/>
      <c r="P5" s="24"/>
      <c r="Q5" s="164"/>
      <c r="R5" s="112"/>
      <c r="S5" s="24">
        <f>SUM(S6:S7)</f>
        <v>3016.5209213315552</v>
      </c>
      <c r="T5" s="24">
        <f t="shared" ref="T5:W5" si="9">SUM(T6:T7)</f>
        <v>4586.3903572736763</v>
      </c>
      <c r="U5" s="24">
        <f t="shared" si="9"/>
        <v>6973.2572913857621</v>
      </c>
      <c r="V5" s="24">
        <f t="shared" si="9"/>
        <v>10602.306708312986</v>
      </c>
      <c r="W5" s="24">
        <f t="shared" si="9"/>
        <v>16120</v>
      </c>
      <c r="X5" s="24"/>
      <c r="Y5" s="24"/>
      <c r="Z5" s="24"/>
      <c r="AA5" s="24"/>
      <c r="AB5" s="24"/>
      <c r="AC5" s="24"/>
      <c r="AD5" s="112"/>
      <c r="AE5" s="133">
        <f>SUM(AE6:AE7)</f>
        <v>3016.5209213315552</v>
      </c>
      <c r="AF5" s="24">
        <f t="shared" ref="AF5:AI5" si="10">SUM(AF6:AF7)</f>
        <v>4586.3903572736763</v>
      </c>
      <c r="AG5" s="24">
        <f t="shared" si="10"/>
        <v>6973.2572913857621</v>
      </c>
      <c r="AH5" s="24">
        <f t="shared" si="10"/>
        <v>10602.306708312986</v>
      </c>
      <c r="AI5" s="24">
        <f t="shared" si="10"/>
        <v>16120</v>
      </c>
      <c r="AJ5" s="24"/>
      <c r="AK5" s="24"/>
      <c r="AL5" s="24"/>
      <c r="AM5" s="24"/>
      <c r="AN5" s="24"/>
      <c r="AO5" s="24"/>
    </row>
    <row r="6" spans="2:41">
      <c r="B6" s="148" t="s">
        <v>180</v>
      </c>
      <c r="C6" s="32"/>
      <c r="D6" s="32"/>
      <c r="E6" s="24">
        <v>592</v>
      </c>
      <c r="F6" s="82">
        <v>1184</v>
      </c>
      <c r="G6" s="24">
        <f t="shared" ref="G6:J6" si="11">0.64*G4*G3</f>
        <v>1930.5733896521954</v>
      </c>
      <c r="H6" s="24">
        <f t="shared" si="11"/>
        <v>2935.2898286551531</v>
      </c>
      <c r="I6" s="24">
        <f t="shared" si="11"/>
        <v>4462.8846664868879</v>
      </c>
      <c r="J6" s="24">
        <f t="shared" si="11"/>
        <v>6785.476293320311</v>
      </c>
      <c r="K6" s="24">
        <f>0.64*K4*K3</f>
        <v>10316.800000000001</v>
      </c>
      <c r="L6" s="24"/>
      <c r="M6" s="24"/>
      <c r="N6" s="24"/>
      <c r="O6" s="24"/>
      <c r="P6" s="24"/>
      <c r="Q6" s="164"/>
      <c r="R6" s="112"/>
      <c r="S6" s="24">
        <f t="shared" ref="S6:V6" si="12">0.64*S4*S3</f>
        <v>1930.5733896521954</v>
      </c>
      <c r="T6" s="24">
        <f t="shared" si="12"/>
        <v>2935.2898286551531</v>
      </c>
      <c r="U6" s="24">
        <f t="shared" si="12"/>
        <v>4462.8846664868879</v>
      </c>
      <c r="V6" s="24">
        <f t="shared" si="12"/>
        <v>6785.476293320311</v>
      </c>
      <c r="W6" s="24">
        <f>0.64*W4*W3</f>
        <v>10316.800000000001</v>
      </c>
      <c r="X6" s="24"/>
      <c r="Y6" s="24"/>
      <c r="Z6" s="24"/>
      <c r="AA6" s="24"/>
      <c r="AB6" s="24"/>
      <c r="AC6" s="24"/>
      <c r="AD6" s="112"/>
      <c r="AE6" s="133">
        <f t="shared" ref="AE6:AH6" si="13">0.64*AE4*AE3</f>
        <v>1930.5733896521954</v>
      </c>
      <c r="AF6" s="24">
        <f t="shared" si="13"/>
        <v>2935.2898286551531</v>
      </c>
      <c r="AG6" s="24">
        <f t="shared" si="13"/>
        <v>4462.8846664868879</v>
      </c>
      <c r="AH6" s="24">
        <f t="shared" si="13"/>
        <v>6785.476293320311</v>
      </c>
      <c r="AI6" s="24">
        <f>0.64*AI4*AI3</f>
        <v>10316.800000000001</v>
      </c>
      <c r="AJ6" s="24"/>
      <c r="AK6" s="24"/>
      <c r="AL6" s="24"/>
      <c r="AM6" s="24"/>
      <c r="AN6" s="24"/>
      <c r="AO6" s="24"/>
    </row>
    <row r="7" spans="2:41">
      <c r="B7" s="148" t="s">
        <v>179</v>
      </c>
      <c r="C7" s="39"/>
      <c r="D7" s="39"/>
      <c r="E7" s="40">
        <v>400</v>
      </c>
      <c r="F7" s="82">
        <v>800</v>
      </c>
      <c r="G7" s="24">
        <f t="shared" ref="G7:J7" si="14">0.36*G4*G3</f>
        <v>1085.9475316793598</v>
      </c>
      <c r="H7" s="24">
        <f t="shared" si="14"/>
        <v>1651.1005286185234</v>
      </c>
      <c r="I7" s="24">
        <f t="shared" si="14"/>
        <v>2510.3726248988742</v>
      </c>
      <c r="J7" s="24">
        <f t="shared" si="14"/>
        <v>3816.8304149926744</v>
      </c>
      <c r="K7" s="24">
        <f>0.36*K4*K3</f>
        <v>5803.2</v>
      </c>
      <c r="L7" s="24"/>
      <c r="M7" s="24"/>
      <c r="N7" s="24"/>
      <c r="O7" s="24"/>
      <c r="P7" s="24"/>
      <c r="Q7" s="164"/>
      <c r="R7" s="112"/>
      <c r="S7" s="24">
        <f t="shared" ref="S7:V7" si="15">0.36*S4*S3</f>
        <v>1085.9475316793598</v>
      </c>
      <c r="T7" s="24">
        <f t="shared" si="15"/>
        <v>1651.1005286185234</v>
      </c>
      <c r="U7" s="24">
        <f t="shared" si="15"/>
        <v>2510.3726248988742</v>
      </c>
      <c r="V7" s="24">
        <f t="shared" si="15"/>
        <v>3816.8304149926744</v>
      </c>
      <c r="W7" s="24">
        <f>0.36*W4*W3</f>
        <v>5803.2</v>
      </c>
      <c r="X7" s="24"/>
      <c r="Y7" s="24"/>
      <c r="Z7" s="24"/>
      <c r="AA7" s="24"/>
      <c r="AB7" s="24"/>
      <c r="AC7" s="24"/>
      <c r="AD7" s="112"/>
      <c r="AE7" s="133">
        <f t="shared" ref="AE7:AH7" si="16">0.36*AE4*AE3</f>
        <v>1085.9475316793598</v>
      </c>
      <c r="AF7" s="24">
        <f t="shared" si="16"/>
        <v>1651.1005286185234</v>
      </c>
      <c r="AG7" s="24">
        <f t="shared" si="16"/>
        <v>2510.3726248988742</v>
      </c>
      <c r="AH7" s="24">
        <f t="shared" si="16"/>
        <v>3816.8304149926744</v>
      </c>
      <c r="AI7" s="24">
        <f>0.36*AI4*AI3</f>
        <v>5803.2</v>
      </c>
      <c r="AJ7" s="24"/>
      <c r="AK7" s="24"/>
      <c r="AL7" s="24"/>
      <c r="AM7" s="24"/>
      <c r="AN7" s="24"/>
      <c r="AO7" s="24"/>
    </row>
    <row r="8" spans="2:41">
      <c r="B8" s="149" t="s">
        <v>79</v>
      </c>
      <c r="C8" s="41"/>
      <c r="D8" s="41"/>
      <c r="E8" s="29"/>
      <c r="F8" s="84">
        <v>1</v>
      </c>
      <c r="G8" s="30">
        <f t="shared" ref="G8:K8" si="17">G7/F7-1</f>
        <v>0.35743441459919989</v>
      </c>
      <c r="H8" s="30">
        <f t="shared" si="17"/>
        <v>0.52042385147759829</v>
      </c>
      <c r="I8" s="30">
        <f t="shared" si="17"/>
        <v>0.52042385147759851</v>
      </c>
      <c r="J8" s="30">
        <f t="shared" si="17"/>
        <v>0.52042385147759829</v>
      </c>
      <c r="K8" s="30">
        <f t="shared" si="17"/>
        <v>0.52042385147759784</v>
      </c>
      <c r="L8" s="30">
        <f>K8-(($K$8-$P$8)/5)</f>
        <v>0.41873908118207825</v>
      </c>
      <c r="M8" s="30">
        <f>L8-(($K$8-$Q$8)/5)</f>
        <v>0.31705431088655867</v>
      </c>
      <c r="N8" s="30">
        <f>M8-(($K$8-$Q$8)/5)</f>
        <v>0.2153695405910391</v>
      </c>
      <c r="O8" s="30">
        <f>N8-(($K$8-$Q$8)/5)</f>
        <v>0.11368477029551954</v>
      </c>
      <c r="P8" s="71">
        <v>1.2000000000000011E-2</v>
      </c>
      <c r="Q8" s="166">
        <v>1.2E-2</v>
      </c>
      <c r="R8" s="114"/>
      <c r="S8" s="30">
        <f>S7/K7-1</f>
        <v>-0.81287091058737249</v>
      </c>
      <c r="T8" s="30">
        <f t="shared" ref="T8:W8" si="18">T7/S7-1</f>
        <v>0.52042385147759829</v>
      </c>
      <c r="U8" s="30">
        <f t="shared" si="18"/>
        <v>0.52042385147759851</v>
      </c>
      <c r="V8" s="30">
        <f t="shared" si="18"/>
        <v>0.52042385147759829</v>
      </c>
      <c r="W8" s="30">
        <f t="shared" si="18"/>
        <v>0.52042385147759784</v>
      </c>
      <c r="X8" s="30">
        <f>W8-(($K$8-$P$8)/5)</f>
        <v>0.41873908118207825</v>
      </c>
      <c r="Y8" s="30">
        <f>X8-(($K$8-$Q$8)/5)</f>
        <v>0.31705431088655867</v>
      </c>
      <c r="Z8" s="30">
        <f>Y8-(($K$8-$Q$8)/5)</f>
        <v>0.2153695405910391</v>
      </c>
      <c r="AA8" s="30">
        <f>Z8-(($K$8-$Q$8)/5)</f>
        <v>0.11368477029551954</v>
      </c>
      <c r="AB8" s="71">
        <v>1.2000000000000011E-2</v>
      </c>
      <c r="AC8" s="108">
        <v>1.2E-2</v>
      </c>
      <c r="AD8" s="114"/>
      <c r="AE8" s="135">
        <f>AE7/F7-1</f>
        <v>0.35743441459919989</v>
      </c>
      <c r="AF8" s="30">
        <f t="shared" ref="AF8:AI8" si="19">AF7/AE7-1</f>
        <v>0.52042385147759829</v>
      </c>
      <c r="AG8" s="30">
        <f t="shared" si="19"/>
        <v>0.52042385147759851</v>
      </c>
      <c r="AH8" s="30">
        <f t="shared" si="19"/>
        <v>0.52042385147759829</v>
      </c>
      <c r="AI8" s="30">
        <f t="shared" si="19"/>
        <v>0.52042385147759784</v>
      </c>
      <c r="AJ8" s="30">
        <f>AI8-(($K$8-$P$8)/5)</f>
        <v>0.41873908118207825</v>
      </c>
      <c r="AK8" s="30">
        <f>AJ8-(($K$8-$Q$8)/5)</f>
        <v>0.31705431088655867</v>
      </c>
      <c r="AL8" s="30">
        <f>AK8-(($K$8-$Q$8)/5)</f>
        <v>0.2153695405910391</v>
      </c>
      <c r="AM8" s="30">
        <f>AL8-(($K$8-$Q$8)/5)</f>
        <v>0.11368477029551954</v>
      </c>
      <c r="AN8" s="71">
        <v>1.2000000000000011E-2</v>
      </c>
      <c r="AO8" s="108">
        <v>1.2E-2</v>
      </c>
    </row>
    <row r="9" spans="2:41">
      <c r="B9" s="150" t="s">
        <v>67</v>
      </c>
      <c r="C9" s="29"/>
      <c r="D9" s="29"/>
      <c r="E9" s="30">
        <v>0.16263407258064516</v>
      </c>
      <c r="F9" s="84">
        <v>0.17933390816683492</v>
      </c>
      <c r="G9" s="31">
        <f>G24/G5</f>
        <v>0.1687181306310255</v>
      </c>
      <c r="H9" s="31">
        <v>0.16</v>
      </c>
      <c r="I9" s="31">
        <v>0.17</v>
      </c>
      <c r="J9" s="31">
        <v>0.18</v>
      </c>
      <c r="K9" s="31">
        <f>'Bull-Bear'!O7</f>
        <v>0.4</v>
      </c>
      <c r="L9" s="31"/>
      <c r="M9" s="31"/>
      <c r="N9" s="31"/>
      <c r="O9" s="31"/>
      <c r="P9" s="31"/>
      <c r="Q9" s="167"/>
      <c r="R9" s="115"/>
      <c r="S9" s="31">
        <f>S24/S5</f>
        <v>0.1699879639926378</v>
      </c>
      <c r="T9" s="31">
        <v>0.16</v>
      </c>
      <c r="U9" s="31">
        <v>0.17</v>
      </c>
      <c r="V9" s="31">
        <v>0.18</v>
      </c>
      <c r="W9" s="31">
        <v>0.19</v>
      </c>
      <c r="X9" s="31"/>
      <c r="Y9" s="31"/>
      <c r="Z9" s="31"/>
      <c r="AA9" s="31"/>
      <c r="AB9" s="31"/>
      <c r="AC9" s="31"/>
      <c r="AD9" s="115"/>
      <c r="AE9" s="136">
        <f>AE24/AE5</f>
        <v>0.16231225432298191</v>
      </c>
      <c r="AF9" s="31">
        <v>0.16</v>
      </c>
      <c r="AG9" s="31">
        <v>0.17</v>
      </c>
      <c r="AH9" s="31">
        <v>0.18</v>
      </c>
      <c r="AI9" s="31">
        <v>0.19</v>
      </c>
      <c r="AJ9" s="31"/>
      <c r="AK9" s="31"/>
      <c r="AL9" s="31"/>
      <c r="AM9" s="31"/>
      <c r="AN9" s="31"/>
      <c r="AO9" s="31"/>
    </row>
    <row r="10" spans="2:41">
      <c r="B10" s="150" t="s">
        <v>66</v>
      </c>
      <c r="C10" s="29"/>
      <c r="D10" s="29"/>
      <c r="E10" s="30">
        <v>0.40333249999999998</v>
      </c>
      <c r="F10" s="84">
        <v>0.4002732830283755</v>
      </c>
      <c r="G10" s="30">
        <f>F10*(1+(($K$10/$F$10)^0.2-1))</f>
        <v>0.40021861149005811</v>
      </c>
      <c r="H10" s="30">
        <f>G10*(1+(($K$10/$F$10)^0.2-1))</f>
        <v>0.40016394741908173</v>
      </c>
      <c r="I10" s="30">
        <f>H10*(1+(($K$10/$F$10)^0.2-1))</f>
        <v>0.40010929081442642</v>
      </c>
      <c r="J10" s="30">
        <f>I10*(1+(($K$10/$F$10)^0.2-1))</f>
        <v>0.40005464167507238</v>
      </c>
      <c r="K10" s="106">
        <f>'Bull-Bear'!O7</f>
        <v>0.4</v>
      </c>
      <c r="L10" s="106"/>
      <c r="M10" s="106"/>
      <c r="N10" s="106"/>
      <c r="O10" s="106"/>
      <c r="P10" s="106"/>
      <c r="Q10" s="168"/>
      <c r="R10" s="116"/>
      <c r="S10" s="30">
        <f>F10*(1+(($W$10/$K$10)^0.2-1))</f>
        <v>0.4002732830283755</v>
      </c>
      <c r="T10" s="30">
        <f>S10*(1+(($W$10/$F$10)^0.2-1))</f>
        <v>0.40021861149005811</v>
      </c>
      <c r="U10" s="30">
        <f>T10*(1+(($W$10/$F$10)^0.2-1))</f>
        <v>0.40016394741908173</v>
      </c>
      <c r="V10" s="30">
        <f>U10*(1+(($W$10/$F$10)^0.2-1))</f>
        <v>0.40010929081442642</v>
      </c>
      <c r="W10" s="106">
        <f>'Bull-Bear'!N7</f>
        <v>0.4</v>
      </c>
      <c r="X10" s="106"/>
      <c r="Y10" s="106"/>
      <c r="Z10" s="106"/>
      <c r="AA10" s="106"/>
      <c r="AB10" s="106"/>
      <c r="AC10" s="106"/>
      <c r="AD10" s="116"/>
      <c r="AE10" s="135">
        <f>F10*(1+(($AI$10/$F$10)^0.2-1))</f>
        <v>0.38967172270701239</v>
      </c>
      <c r="AF10" s="30">
        <f>AE10*(1+(($AI$10/$F$10)^0.2-1))</f>
        <v>0.37935095325032347</v>
      </c>
      <c r="AG10" s="30">
        <f>AF10*(1+(($AI$10/$F$10)^0.2-1))</f>
        <v>0.3693035376860806</v>
      </c>
      <c r="AH10" s="30">
        <f>AG10*(1+(($AI$10/$F$10)^0.2-1))</f>
        <v>0.3595222360162556</v>
      </c>
      <c r="AI10" s="106">
        <f>'Bull-Bear'!P7</f>
        <v>0.35</v>
      </c>
      <c r="AJ10" s="106"/>
      <c r="AK10" s="106"/>
      <c r="AL10" s="106"/>
      <c r="AM10" s="106"/>
      <c r="AN10" s="106"/>
      <c r="AO10" s="106"/>
    </row>
    <row r="11" spans="2:41">
      <c r="B11" s="150" t="s">
        <v>80</v>
      </c>
      <c r="C11" s="29" t="s">
        <v>176</v>
      </c>
      <c r="D11" s="29"/>
      <c r="E11" s="30"/>
      <c r="F11" s="84">
        <v>3.0050546773902072E-2</v>
      </c>
      <c r="G11" s="30">
        <f>F11*(1+(($K$11/$F$11)^0.2-1))</f>
        <v>3.5587830283248974E-2</v>
      </c>
      <c r="H11" s="30">
        <f>G11*(1+(($K$11/$F$11)^0.2-1))</f>
        <v>4.2145444933109885E-2</v>
      </c>
      <c r="I11" s="30">
        <f>H11*(1+(($K$11/$F$11)^0.2-1))</f>
        <v>4.9911402703464759E-2</v>
      </c>
      <c r="J11" s="30">
        <f>I11*(1+(($K$11/$F$11)^0.2-1))</f>
        <v>5.9108359723837156E-2</v>
      </c>
      <c r="K11" s="106">
        <f>'Bull-Bear'!O8</f>
        <v>7.0000000000000007E-2</v>
      </c>
      <c r="L11" s="106"/>
      <c r="M11" s="106"/>
      <c r="N11" s="106"/>
      <c r="O11" s="106"/>
      <c r="P11" s="106"/>
      <c r="Q11" s="168"/>
      <c r="R11" s="116"/>
      <c r="S11" s="30">
        <f>F11*(1+(($W$11/$F$11)^0.2-1))</f>
        <v>3.8219227329923937E-2</v>
      </c>
      <c r="T11" s="30">
        <f>G11*(1+(($W$11/$F$11)^0.2-1))</f>
        <v>4.5261718064826727E-2</v>
      </c>
      <c r="U11" s="30">
        <f>H11*(1+(($W$11/$F$11)^0.2-1))</f>
        <v>5.3601897926802984E-2</v>
      </c>
      <c r="V11" s="30">
        <f>I11*(1+(($W$11/$F$11)^0.2-1))</f>
        <v>6.3478886445279825E-2</v>
      </c>
      <c r="W11" s="106">
        <f>'Bull-Bear'!N8</f>
        <v>0.1</v>
      </c>
      <c r="X11" s="106"/>
      <c r="Y11" s="106"/>
      <c r="Z11" s="106"/>
      <c r="AA11" s="106"/>
      <c r="AB11" s="106"/>
      <c r="AC11" s="106"/>
      <c r="AD11" s="116"/>
      <c r="AE11" s="135">
        <f>F11*(1+(($AI$11/$F$11)^0.2-1))</f>
        <v>3.1819540297949506E-2</v>
      </c>
      <c r="AF11" s="30">
        <f>AE11*(1+(($AI$11/$F$11)^0.2-1))</f>
        <v>3.3692669633956257E-2</v>
      </c>
      <c r="AG11" s="30">
        <f>AF11*(1+(($AI$11/$F$11)^0.2-1))</f>
        <v>3.5676064972443099E-2</v>
      </c>
      <c r="AH11" s="30">
        <f>AG11*(1+(($AI$11/$F$11)^0.2-1))</f>
        <v>3.7776217371485531E-2</v>
      </c>
      <c r="AI11" s="106">
        <f>'Bull-Bear'!P8</f>
        <v>0.04</v>
      </c>
      <c r="AJ11" s="106"/>
      <c r="AK11" s="106"/>
      <c r="AL11" s="106"/>
      <c r="AM11" s="106"/>
      <c r="AN11" s="106"/>
      <c r="AO11" s="106"/>
    </row>
    <row r="12" spans="2:41" ht="15" thickBot="1">
      <c r="B12" s="151" t="s">
        <v>33</v>
      </c>
      <c r="C12" s="27"/>
      <c r="D12" s="27"/>
      <c r="E12" s="27">
        <v>200</v>
      </c>
      <c r="F12" s="85">
        <v>360.83333333333331</v>
      </c>
      <c r="G12" s="28">
        <f>G14+G15</f>
        <v>519.63542378988382</v>
      </c>
      <c r="H12" s="28">
        <f t="shared" ref="H12:K12" si="20">H14+H15</f>
        <v>800.87703613265512</v>
      </c>
      <c r="I12" s="28">
        <f t="shared" si="20"/>
        <v>1235.887069528422</v>
      </c>
      <c r="J12" s="28">
        <f t="shared" si="20"/>
        <v>1909.7578895340939</v>
      </c>
      <c r="K12" s="28">
        <f t="shared" si="20"/>
        <v>2955.3333333333335</v>
      </c>
      <c r="L12" s="28"/>
      <c r="M12" s="28"/>
      <c r="N12" s="28"/>
      <c r="O12" s="28"/>
      <c r="P12" s="28"/>
      <c r="Q12" s="169"/>
      <c r="R12" s="112"/>
      <c r="S12" s="28">
        <f>S14+S15</f>
        <v>504.11397469264716</v>
      </c>
      <c r="T12" s="28">
        <f t="shared" ref="T12:W12" si="21">T14+T15</f>
        <v>774.73808382189077</v>
      </c>
      <c r="U12" s="28">
        <f t="shared" si="21"/>
        <v>1191.8693261291655</v>
      </c>
      <c r="V12" s="28">
        <f t="shared" si="21"/>
        <v>1835.6349471789997</v>
      </c>
      <c r="W12" s="28">
        <f t="shared" si="21"/>
        <v>3185.6190476190477</v>
      </c>
      <c r="X12" s="28"/>
      <c r="Y12" s="28"/>
      <c r="Z12" s="28"/>
      <c r="AA12" s="28"/>
      <c r="AB12" s="28"/>
      <c r="AC12" s="28"/>
      <c r="AD12" s="112"/>
      <c r="AE12" s="137">
        <f>AE14+AE15</f>
        <v>500.61993119711775</v>
      </c>
      <c r="AF12" s="28">
        <f t="shared" ref="AF12:AI12" si="22">AF14+AF15</f>
        <v>742.49023747979663</v>
      </c>
      <c r="AG12" s="28">
        <f t="shared" si="22"/>
        <v>1101.2510652549424</v>
      </c>
      <c r="AH12" s="28">
        <f t="shared" si="22"/>
        <v>1633.4095212130319</v>
      </c>
      <c r="AI12" s="28">
        <f t="shared" si="22"/>
        <v>2422.7976190476193</v>
      </c>
      <c r="AJ12" s="28"/>
      <c r="AK12" s="28"/>
      <c r="AL12" s="28"/>
      <c r="AM12" s="28"/>
      <c r="AN12" s="28"/>
      <c r="AO12" s="28"/>
    </row>
    <row r="13" spans="2:41" ht="15" thickTop="1">
      <c r="B13" s="150" t="s">
        <v>35</v>
      </c>
      <c r="C13" s="42"/>
      <c r="D13" s="30"/>
      <c r="E13" s="30"/>
      <c r="F13" s="84">
        <v>0.80416666666666647</v>
      </c>
      <c r="G13" s="30">
        <f>G12/F12-1</f>
        <v>0.44009817216595981</v>
      </c>
      <c r="H13" s="30">
        <f>H12/G12-1</f>
        <v>0.54122871433894426</v>
      </c>
      <c r="I13" s="30">
        <f>I12/H12-1</f>
        <v>0.5431670703112943</v>
      </c>
      <c r="J13" s="30">
        <v>0.2</v>
      </c>
      <c r="K13" s="30">
        <v>0.2</v>
      </c>
      <c r="L13" s="30"/>
      <c r="M13" s="30"/>
      <c r="N13" s="30"/>
      <c r="O13" s="30"/>
      <c r="P13" s="30"/>
      <c r="Q13" s="170"/>
      <c r="R13" s="117"/>
      <c r="S13" s="30">
        <f>S12/K12-1</f>
        <v>-0.82942229595331141</v>
      </c>
      <c r="T13" s="30">
        <f>T12/S12-1</f>
        <v>0.53683119833017967</v>
      </c>
      <c r="U13" s="30">
        <f>U12/T12-1</f>
        <v>0.53841582209242667</v>
      </c>
      <c r="V13" s="30">
        <v>0.2</v>
      </c>
      <c r="W13" s="30">
        <v>0.2</v>
      </c>
      <c r="X13" s="30"/>
      <c r="Y13" s="30"/>
      <c r="Z13" s="30"/>
      <c r="AA13" s="30"/>
      <c r="AB13" s="30"/>
      <c r="AC13" s="30"/>
      <c r="AD13" s="117"/>
      <c r="AE13" s="135">
        <f>AE12/W12-1</f>
        <v>-0.84285003206165399</v>
      </c>
      <c r="AF13" s="30">
        <f>AF12/AE12-1</f>
        <v>0.48314158348490355</v>
      </c>
      <c r="AG13" s="30">
        <f>AG12/AF12-1</f>
        <v>0.48318591904032648</v>
      </c>
      <c r="AH13" s="30">
        <v>0.2</v>
      </c>
      <c r="AI13" s="30">
        <v>0.2</v>
      </c>
      <c r="AJ13" s="30"/>
      <c r="AK13" s="30"/>
      <c r="AL13" s="30"/>
      <c r="AM13" s="30"/>
      <c r="AN13" s="30"/>
      <c r="AO13" s="30"/>
    </row>
    <row r="14" spans="2:41">
      <c r="B14" s="150" t="s">
        <v>171</v>
      </c>
      <c r="C14" s="42"/>
      <c r="D14" s="30"/>
      <c r="E14" s="30"/>
      <c r="F14" s="84"/>
      <c r="G14" s="100">
        <f>(G18*1000)/G16</f>
        <v>452.72543049975968</v>
      </c>
      <c r="H14" s="100">
        <f t="shared" ref="H14:K14" si="23">(H18*1000)/H16</f>
        <v>688.24052616429253</v>
      </c>
      <c r="I14" s="100">
        <f t="shared" si="23"/>
        <v>1046.2743860710821</v>
      </c>
      <c r="J14" s="100">
        <f t="shared" si="23"/>
        <v>1590.5632541712628</v>
      </c>
      <c r="K14" s="100">
        <f t="shared" si="23"/>
        <v>2418</v>
      </c>
      <c r="L14" s="100"/>
      <c r="M14" s="100"/>
      <c r="N14" s="100"/>
      <c r="O14" s="100"/>
      <c r="P14" s="100"/>
      <c r="Q14" s="171"/>
      <c r="R14" s="118"/>
      <c r="S14" s="100">
        <f>(S18*1000)/S16</f>
        <v>452.78727468943561</v>
      </c>
      <c r="T14" s="100">
        <f t="shared" ref="T14:W14" si="24">(T18*1000)/T16</f>
        <v>688.33454270229834</v>
      </c>
      <c r="U14" s="100">
        <f t="shared" si="24"/>
        <v>1046.4173115336826</v>
      </c>
      <c r="V14" s="100">
        <f t="shared" si="24"/>
        <v>1590.780531772554</v>
      </c>
      <c r="W14" s="100">
        <f t="shared" si="24"/>
        <v>2418</v>
      </c>
      <c r="X14" s="100"/>
      <c r="Y14" s="100"/>
      <c r="Z14" s="100"/>
      <c r="AA14" s="100"/>
      <c r="AB14" s="100"/>
      <c r="AC14" s="100"/>
      <c r="AD14" s="118"/>
      <c r="AE14" s="138">
        <f>(AE18*1000)/AE16</f>
        <v>440.79483899887924</v>
      </c>
      <c r="AF14" s="100">
        <f t="shared" ref="AF14:AI14" si="25">(AF18*1000)/AF16</f>
        <v>652.44433275369772</v>
      </c>
      <c r="AG14" s="100">
        <f t="shared" si="25"/>
        <v>965.71822008900676</v>
      </c>
      <c r="AH14" s="100">
        <f t="shared" si="25"/>
        <v>1429.4118805135615</v>
      </c>
      <c r="AI14" s="100">
        <f t="shared" si="25"/>
        <v>2115.75</v>
      </c>
      <c r="AJ14" s="100"/>
      <c r="AK14" s="100"/>
      <c r="AL14" s="100"/>
      <c r="AM14" s="100"/>
      <c r="AN14" s="100"/>
      <c r="AO14" s="100"/>
    </row>
    <row r="15" spans="2:41">
      <c r="B15" s="150" t="s">
        <v>172</v>
      </c>
      <c r="C15" s="42"/>
      <c r="D15" s="30"/>
      <c r="E15" s="30"/>
      <c r="F15" s="84"/>
      <c r="G15" s="100">
        <f>(G20*1000)/G17</f>
        <v>66.909993290124106</v>
      </c>
      <c r="H15" s="100">
        <f t="shared" ref="H15:K15" si="26">(H20*1000)/H17</f>
        <v>112.63650996836257</v>
      </c>
      <c r="I15" s="100">
        <f t="shared" si="26"/>
        <v>189.61268345733995</v>
      </c>
      <c r="J15" s="100">
        <f t="shared" si="26"/>
        <v>319.19463536283126</v>
      </c>
      <c r="K15" s="100">
        <f t="shared" si="26"/>
        <v>537.33333333333337</v>
      </c>
      <c r="L15" s="100"/>
      <c r="M15" s="100"/>
      <c r="N15" s="100"/>
      <c r="O15" s="100"/>
      <c r="P15" s="100"/>
      <c r="Q15" s="171"/>
      <c r="R15" s="118"/>
      <c r="S15" s="100">
        <f>(S20*1000)/S17</f>
        <v>51.326700003211556</v>
      </c>
      <c r="T15" s="100">
        <f t="shared" ref="T15:W15" si="27">(T20*1000)/T17</f>
        <v>86.403541119592475</v>
      </c>
      <c r="U15" s="100">
        <f t="shared" si="27"/>
        <v>145.45201459548301</v>
      </c>
      <c r="V15" s="100">
        <f t="shared" si="27"/>
        <v>244.85441540644567</v>
      </c>
      <c r="W15" s="100">
        <f t="shared" si="27"/>
        <v>767.61904761904771</v>
      </c>
      <c r="X15" s="100"/>
      <c r="Y15" s="100"/>
      <c r="Z15" s="100"/>
      <c r="AA15" s="100"/>
      <c r="AB15" s="100"/>
      <c r="AC15" s="100"/>
      <c r="AD15" s="118"/>
      <c r="AE15" s="138">
        <f>(AE20*1000)/AE17</f>
        <v>59.825092198238529</v>
      </c>
      <c r="AF15" s="100">
        <f t="shared" ref="AF15:AI15" si="28">(AF20*1000)/AF17</f>
        <v>90.045904726098925</v>
      </c>
      <c r="AG15" s="100">
        <f t="shared" si="28"/>
        <v>135.53284516593558</v>
      </c>
      <c r="AH15" s="100">
        <f t="shared" si="28"/>
        <v>203.99764069947031</v>
      </c>
      <c r="AI15" s="100">
        <f t="shared" si="28"/>
        <v>307.04761904761904</v>
      </c>
      <c r="AJ15" s="100"/>
      <c r="AK15" s="100"/>
      <c r="AL15" s="100"/>
      <c r="AM15" s="100"/>
      <c r="AN15" s="100"/>
      <c r="AO15" s="100"/>
    </row>
    <row r="16" spans="2:41">
      <c r="B16" s="150" t="s">
        <v>174</v>
      </c>
      <c r="C16" s="42"/>
      <c r="D16" s="30"/>
      <c r="E16" s="30"/>
      <c r="F16" s="188">
        <v>960</v>
      </c>
      <c r="G16" s="189">
        <v>960</v>
      </c>
      <c r="H16" s="189">
        <v>960</v>
      </c>
      <c r="I16" s="189">
        <v>960</v>
      </c>
      <c r="J16" s="189">
        <v>960</v>
      </c>
      <c r="K16" s="189">
        <v>960</v>
      </c>
      <c r="L16" s="189"/>
      <c r="M16" s="189"/>
      <c r="N16" s="189"/>
      <c r="O16" s="189"/>
      <c r="P16" s="189"/>
      <c r="Q16" s="191"/>
      <c r="R16" s="192"/>
      <c r="S16" s="189">
        <v>960</v>
      </c>
      <c r="T16" s="189">
        <v>960</v>
      </c>
      <c r="U16" s="189">
        <v>960</v>
      </c>
      <c r="V16" s="189">
        <v>960</v>
      </c>
      <c r="W16" s="189">
        <v>960</v>
      </c>
      <c r="X16" s="189"/>
      <c r="Y16" s="189"/>
      <c r="Z16" s="189"/>
      <c r="AA16" s="189"/>
      <c r="AB16" s="189"/>
      <c r="AC16" s="189"/>
      <c r="AD16" s="192"/>
      <c r="AE16" s="190">
        <v>960</v>
      </c>
      <c r="AF16" s="189">
        <v>960</v>
      </c>
      <c r="AG16" s="189">
        <v>960</v>
      </c>
      <c r="AH16" s="189">
        <v>960</v>
      </c>
      <c r="AI16" s="189">
        <v>960</v>
      </c>
      <c r="AJ16" s="189"/>
      <c r="AK16" s="189"/>
      <c r="AL16" s="189"/>
      <c r="AM16" s="189"/>
      <c r="AN16" s="189"/>
      <c r="AO16" s="189"/>
    </row>
    <row r="17" spans="2:41">
      <c r="B17" s="150" t="s">
        <v>173</v>
      </c>
      <c r="C17" s="42"/>
      <c r="D17" s="30"/>
      <c r="E17" s="30"/>
      <c r="F17" s="86">
        <v>960</v>
      </c>
      <c r="G17" s="43">
        <f>F17*(1+(($K$17/$F$17)^0.2-1))</f>
        <v>1026.825960696066</v>
      </c>
      <c r="H17" s="43">
        <f>G17*(1+(($K$17/$F$17)^0.2-1))</f>
        <v>1098.3037016243738</v>
      </c>
      <c r="I17" s="43">
        <f>H17*(1+(($K$17/$F$17)^0.2-1))</f>
        <v>1174.7570349546804</v>
      </c>
      <c r="J17" s="43">
        <f>I17*(1+(($K$17/$F$17)^0.2-1))</f>
        <v>1256.5323135435435</v>
      </c>
      <c r="K17" s="107">
        <f>1.4*F17</f>
        <v>1344</v>
      </c>
      <c r="L17" s="107"/>
      <c r="M17" s="107"/>
      <c r="N17" s="107"/>
      <c r="O17" s="107"/>
      <c r="P17" s="107"/>
      <c r="Q17" s="172"/>
      <c r="R17" s="119"/>
      <c r="S17" s="43">
        <f>K17*(1+(($K$17/$F$17)^0.2-1))</f>
        <v>1437.5563449744925</v>
      </c>
      <c r="T17" s="43">
        <f>S17*(1+(($K$17/$F$17)^0.2-1))</f>
        <v>1537.6251822741235</v>
      </c>
      <c r="U17" s="43">
        <f>T17*(1+(($K$17/$F$17)^0.2-1))</f>
        <v>1644.6598489365526</v>
      </c>
      <c r="V17" s="43">
        <f>U17*(1+(($K$17/$F$17)^0.2-1))</f>
        <v>1759.145238960961</v>
      </c>
      <c r="W17" s="107">
        <f>K17</f>
        <v>1344</v>
      </c>
      <c r="X17" s="107"/>
      <c r="Y17" s="107"/>
      <c r="Z17" s="107"/>
      <c r="AA17" s="107"/>
      <c r="AB17" s="107"/>
      <c r="AC17" s="107"/>
      <c r="AD17" s="119"/>
      <c r="AE17" s="139">
        <f>F17*(1+(($AI$17/$F$17)^0.2-1))</f>
        <v>1026.825960696066</v>
      </c>
      <c r="AF17" s="43">
        <f>AE17*(1+(($AI$17/$F$17)^0.2-1))</f>
        <v>1098.3037016243738</v>
      </c>
      <c r="AG17" s="43">
        <f>AF17*(1+(($AI$17/$F$17)^0.2-1))</f>
        <v>1174.7570349546804</v>
      </c>
      <c r="AH17" s="43">
        <f>AG17*(1+(($AI$17/$F$17)^0.2-1))</f>
        <v>1256.5323135435435</v>
      </c>
      <c r="AI17" s="107">
        <f>W17</f>
        <v>1344</v>
      </c>
      <c r="AJ17" s="107"/>
      <c r="AK17" s="107"/>
      <c r="AL17" s="107"/>
      <c r="AM17" s="107"/>
      <c r="AN17" s="107"/>
      <c r="AO17" s="107"/>
    </row>
    <row r="18" spans="2:41">
      <c r="B18" s="156" t="s">
        <v>49</v>
      </c>
      <c r="C18" s="157"/>
      <c r="D18" s="157"/>
      <c r="E18" s="157">
        <v>161.333</v>
      </c>
      <c r="F18" s="158">
        <v>320.21862642270042</v>
      </c>
      <c r="G18" s="157">
        <f t="shared" ref="G18:J18" si="29">G10*G7</f>
        <v>434.61641327976929</v>
      </c>
      <c r="H18" s="157">
        <f t="shared" si="29"/>
        <v>660.71090511772081</v>
      </c>
      <c r="I18" s="157">
        <f t="shared" si="29"/>
        <v>1004.4234106282387</v>
      </c>
      <c r="J18" s="157">
        <f t="shared" si="29"/>
        <v>1526.9407240044122</v>
      </c>
      <c r="K18" s="157">
        <f>K10*K7</f>
        <v>2321.2800000000002</v>
      </c>
      <c r="L18" s="157"/>
      <c r="M18" s="157"/>
      <c r="N18" s="157"/>
      <c r="O18" s="157"/>
      <c r="P18" s="157"/>
      <c r="Q18" s="173"/>
      <c r="R18" s="112"/>
      <c r="S18" s="157">
        <f t="shared" ref="S18:V18" si="30">S10*S7</f>
        <v>434.67578370185817</v>
      </c>
      <c r="T18" s="157">
        <f t="shared" si="30"/>
        <v>660.80116099420638</v>
      </c>
      <c r="U18" s="157">
        <f t="shared" si="30"/>
        <v>1004.5606190723353</v>
      </c>
      <c r="V18" s="157">
        <f t="shared" si="30"/>
        <v>1527.1493105016518</v>
      </c>
      <c r="W18" s="157">
        <f>W10*W7</f>
        <v>2321.2800000000002</v>
      </c>
      <c r="X18" s="157"/>
      <c r="Y18" s="157"/>
      <c r="Z18" s="157"/>
      <c r="AA18" s="157"/>
      <c r="AB18" s="157"/>
      <c r="AC18" s="157"/>
      <c r="AD18" s="112"/>
      <c r="AE18" s="159">
        <f t="shared" ref="AE18:AH18" si="31">AE10*AE7</f>
        <v>423.16304543892403</v>
      </c>
      <c r="AF18" s="157">
        <f t="shared" si="31"/>
        <v>626.34655944354984</v>
      </c>
      <c r="AG18" s="157">
        <f t="shared" si="31"/>
        <v>927.08949128544646</v>
      </c>
      <c r="AH18" s="157">
        <f t="shared" si="31"/>
        <v>1372.2354052930191</v>
      </c>
      <c r="AI18" s="157">
        <f>AI10*AI7</f>
        <v>2031.12</v>
      </c>
      <c r="AJ18" s="157"/>
      <c r="AK18" s="157"/>
      <c r="AL18" s="157"/>
      <c r="AM18" s="157"/>
      <c r="AN18" s="157"/>
      <c r="AO18" s="157"/>
    </row>
    <row r="19" spans="2:41">
      <c r="B19" s="150" t="s">
        <v>41</v>
      </c>
      <c r="C19" s="30"/>
      <c r="D19" s="30"/>
      <c r="E19" s="30">
        <v>1</v>
      </c>
      <c r="F19" s="84">
        <v>0.9</v>
      </c>
      <c r="G19" s="30">
        <f>G18/G24</f>
        <v>0.85396097975688656</v>
      </c>
      <c r="H19" s="30">
        <f t="shared" ref="H19:K19" si="32">H18/H24</f>
        <v>0.83225384635298838</v>
      </c>
      <c r="I19" s="30">
        <f t="shared" si="32"/>
        <v>0.8079990709289312</v>
      </c>
      <c r="J19" s="30">
        <f t="shared" si="32"/>
        <v>0.78111119315870303</v>
      </c>
      <c r="K19" s="30">
        <f t="shared" si="32"/>
        <v>0.75156576200417524</v>
      </c>
      <c r="L19" s="30"/>
      <c r="M19" s="30"/>
      <c r="N19" s="30"/>
      <c r="O19" s="30"/>
      <c r="P19" s="30"/>
      <c r="Q19" s="170"/>
      <c r="R19" s="117"/>
      <c r="S19" s="30">
        <f>S18/S24</f>
        <v>0.84769755755446363</v>
      </c>
      <c r="T19" s="30">
        <f t="shared" ref="T19:W19" si="33">T18/T24</f>
        <v>0.82505746266328917</v>
      </c>
      <c r="U19" s="30">
        <f t="shared" si="33"/>
        <v>0.79981088958008084</v>
      </c>
      <c r="V19" s="30">
        <f t="shared" si="33"/>
        <v>0.77189118045342575</v>
      </c>
      <c r="W19" s="30">
        <f t="shared" si="33"/>
        <v>0.67924528301886788</v>
      </c>
      <c r="X19" s="30"/>
      <c r="Y19" s="30"/>
      <c r="Z19" s="30"/>
      <c r="AA19" s="30"/>
      <c r="AB19" s="30"/>
      <c r="AC19" s="30"/>
      <c r="AD19" s="117"/>
      <c r="AE19" s="135">
        <f>AE18/AE24</f>
        <v>0.86427128228642836</v>
      </c>
      <c r="AF19" s="30">
        <f t="shared" ref="AF19:AI19" si="34">AF18/AF24</f>
        <v>0.8547210423883399</v>
      </c>
      <c r="AG19" s="30">
        <f t="shared" si="34"/>
        <v>0.84458039410176766</v>
      </c>
      <c r="AH19" s="30">
        <f t="shared" si="34"/>
        <v>0.83383041224429377</v>
      </c>
      <c r="AI19" s="30">
        <f t="shared" si="34"/>
        <v>0.82245430809399478</v>
      </c>
      <c r="AJ19" s="30"/>
      <c r="AK19" s="30"/>
      <c r="AL19" s="30"/>
      <c r="AM19" s="30"/>
      <c r="AN19" s="30"/>
      <c r="AO19" s="30"/>
    </row>
    <row r="20" spans="2:41">
      <c r="B20" s="156" t="s">
        <v>52</v>
      </c>
      <c r="C20" s="157"/>
      <c r="D20" s="157"/>
      <c r="E20" s="157">
        <v>0</v>
      </c>
      <c r="F20" s="158">
        <v>35.579847380300052</v>
      </c>
      <c r="G20" s="157">
        <f t="shared" ref="G20:J20" si="35">G11*G6</f>
        <v>68.704918140299014</v>
      </c>
      <c r="H20" s="157">
        <f t="shared" si="35"/>
        <v>123.70909583630331</v>
      </c>
      <c r="I20" s="157">
        <f t="shared" si="35"/>
        <v>222.74883380814506</v>
      </c>
      <c r="J20" s="157">
        <f t="shared" si="35"/>
        <v>401.07837364314611</v>
      </c>
      <c r="K20" s="157">
        <f>K11*K6</f>
        <v>722.17600000000016</v>
      </c>
      <c r="L20" s="157"/>
      <c r="M20" s="157"/>
      <c r="N20" s="157"/>
      <c r="O20" s="157"/>
      <c r="P20" s="157"/>
      <c r="Q20" s="173"/>
      <c r="R20" s="112"/>
      <c r="S20" s="157">
        <f t="shared" ref="S20:V20" si="36">S11*S6</f>
        <v>73.785023256219077</v>
      </c>
      <c r="T20" s="157">
        <f t="shared" si="36"/>
        <v>132.8562606631431</v>
      </c>
      <c r="U20" s="157">
        <f t="shared" si="36"/>
        <v>239.21908835212434</v>
      </c>
      <c r="V20" s="157">
        <f t="shared" si="36"/>
        <v>430.73447910081831</v>
      </c>
      <c r="W20" s="157">
        <f>W11*W6</f>
        <v>1031.68</v>
      </c>
      <c r="X20" s="157"/>
      <c r="Y20" s="157"/>
      <c r="Z20" s="157"/>
      <c r="AA20" s="157"/>
      <c r="AB20" s="157"/>
      <c r="AC20" s="157"/>
      <c r="AD20" s="112"/>
      <c r="AE20" s="159">
        <f t="shared" ref="AE20:AH20" si="37">AE11*AE6</f>
        <v>61.429957770187002</v>
      </c>
      <c r="AF20" s="157">
        <f t="shared" si="37"/>
        <v>98.897750476790137</v>
      </c>
      <c r="AG20" s="157">
        <f t="shared" si="37"/>
        <v>159.21816332610626</v>
      </c>
      <c r="AH20" s="157">
        <f t="shared" si="37"/>
        <v>256.32962742552996</v>
      </c>
      <c r="AI20" s="157">
        <f>AI11*AI6</f>
        <v>412.67200000000003</v>
      </c>
      <c r="AJ20" s="157"/>
      <c r="AK20" s="157"/>
      <c r="AL20" s="157"/>
      <c r="AM20" s="157"/>
      <c r="AN20" s="157"/>
      <c r="AO20" s="157"/>
    </row>
    <row r="21" spans="2:41">
      <c r="B21" s="150" t="s">
        <v>41</v>
      </c>
      <c r="C21" s="30"/>
      <c r="D21" s="30"/>
      <c r="E21" s="30">
        <v>0</v>
      </c>
      <c r="F21" s="84">
        <v>0.1</v>
      </c>
      <c r="G21" s="30">
        <f>G20/G24</f>
        <v>0.13499563618974234</v>
      </c>
      <c r="H21" s="30">
        <f t="shared" ref="H21:K21" si="38">H20/H24</f>
        <v>0.15582816938713864</v>
      </c>
      <c r="I21" s="30">
        <f t="shared" si="38"/>
        <v>0.17918822765681172</v>
      </c>
      <c r="J21" s="30">
        <f t="shared" si="38"/>
        <v>0.20517286759171188</v>
      </c>
      <c r="K21" s="30">
        <f t="shared" si="38"/>
        <v>0.23382045929018791</v>
      </c>
      <c r="L21" s="30"/>
      <c r="M21" s="30"/>
      <c r="N21" s="30"/>
      <c r="O21" s="30"/>
      <c r="P21" s="30"/>
      <c r="Q21" s="170"/>
      <c r="R21" s="117"/>
      <c r="S21" s="30">
        <f>S20/S24</f>
        <v>0.14389433767328785</v>
      </c>
      <c r="T21" s="30">
        <f t="shared" ref="T21:W21" si="39">T20/T24</f>
        <v>0.16588053380043388</v>
      </c>
      <c r="U21" s="30">
        <f t="shared" si="39"/>
        <v>0.19046140992081978</v>
      </c>
      <c r="V21" s="30">
        <f t="shared" si="39"/>
        <v>0.21771292646290494</v>
      </c>
      <c r="W21" s="30">
        <f t="shared" si="39"/>
        <v>0.30188679245283018</v>
      </c>
      <c r="X21" s="30"/>
      <c r="Y21" s="30"/>
      <c r="Z21" s="30"/>
      <c r="AA21" s="30"/>
      <c r="AB21" s="30"/>
      <c r="AC21" s="30"/>
      <c r="AD21" s="117"/>
      <c r="AE21" s="135">
        <f>AE20/AE24</f>
        <v>0.12546499261950217</v>
      </c>
      <c r="AF21" s="30">
        <f t="shared" ref="AF21:AI21" si="40">AF20/AF24</f>
        <v>0.13495721674033137</v>
      </c>
      <c r="AG21" s="30">
        <f t="shared" si="40"/>
        <v>0.1450480675211526</v>
      </c>
      <c r="AH21" s="30">
        <f t="shared" si="40"/>
        <v>0.15575712307249212</v>
      </c>
      <c r="AI21" s="30">
        <f t="shared" si="40"/>
        <v>0.16710182767624024</v>
      </c>
      <c r="AJ21" s="30"/>
      <c r="AK21" s="30"/>
      <c r="AL21" s="30"/>
      <c r="AM21" s="30"/>
      <c r="AN21" s="30"/>
      <c r="AO21" s="30"/>
    </row>
    <row r="22" spans="2:41">
      <c r="B22" s="156" t="s">
        <v>175</v>
      </c>
      <c r="C22" s="157"/>
      <c r="D22" s="157"/>
      <c r="E22" s="157">
        <v>0</v>
      </c>
      <c r="F22" s="158">
        <v>0</v>
      </c>
      <c r="G22" s="160">
        <f>(G15*84)/1000</f>
        <v>5.6204394363704253</v>
      </c>
      <c r="H22" s="160">
        <f t="shared" ref="H22:K22" si="41">(H15*84)/1000</f>
        <v>9.4614668373424564</v>
      </c>
      <c r="I22" s="160">
        <f t="shared" si="41"/>
        <v>15.927465410416557</v>
      </c>
      <c r="J22" s="160">
        <f t="shared" si="41"/>
        <v>26.812349370477826</v>
      </c>
      <c r="K22" s="160">
        <f t="shared" si="41"/>
        <v>45.136000000000003</v>
      </c>
      <c r="L22" s="160"/>
      <c r="M22" s="160"/>
      <c r="N22" s="160"/>
      <c r="O22" s="160"/>
      <c r="P22" s="160"/>
      <c r="Q22" s="174"/>
      <c r="R22" s="120"/>
      <c r="S22" s="160">
        <f>(S15*84)/1000</f>
        <v>4.3114428002697709</v>
      </c>
      <c r="T22" s="160">
        <f t="shared" ref="T22:W22" si="42">(T15*84)/1000</f>
        <v>7.2578974540457679</v>
      </c>
      <c r="U22" s="160">
        <f t="shared" si="42"/>
        <v>12.217969226020571</v>
      </c>
      <c r="V22" s="160">
        <f t="shared" si="42"/>
        <v>20.567770894141436</v>
      </c>
      <c r="W22" s="160">
        <f t="shared" si="42"/>
        <v>64.48</v>
      </c>
      <c r="X22" s="160"/>
      <c r="Y22" s="160"/>
      <c r="Z22" s="160"/>
      <c r="AA22" s="160"/>
      <c r="AB22" s="160"/>
      <c r="AC22" s="160"/>
      <c r="AD22" s="120"/>
      <c r="AE22" s="161">
        <f>(AE15*84)/1000</f>
        <v>5.0253077446520367</v>
      </c>
      <c r="AF22" s="160">
        <f t="shared" ref="AF22:AI22" si="43">(AF15*84)/1000</f>
        <v>7.5638559969923103</v>
      </c>
      <c r="AG22" s="160">
        <f t="shared" si="43"/>
        <v>11.384758993938588</v>
      </c>
      <c r="AH22" s="160">
        <f t="shared" si="43"/>
        <v>17.135801818755507</v>
      </c>
      <c r="AI22" s="160">
        <f t="shared" si="43"/>
        <v>25.792000000000002</v>
      </c>
      <c r="AJ22" s="160"/>
      <c r="AK22" s="160"/>
      <c r="AL22" s="160"/>
      <c r="AM22" s="160"/>
      <c r="AN22" s="160"/>
      <c r="AO22" s="160"/>
    </row>
    <row r="23" spans="2:41">
      <c r="B23" s="150" t="s">
        <v>59</v>
      </c>
      <c r="C23" s="30"/>
      <c r="D23" s="30"/>
      <c r="E23" s="30">
        <v>0</v>
      </c>
      <c r="F23" s="84">
        <v>0</v>
      </c>
      <c r="G23" s="30">
        <f>G22/G12</f>
        <v>1.0816120647392714E-2</v>
      </c>
      <c r="H23" s="30">
        <f t="shared" ref="H23:K23" si="44">H22/H12</f>
        <v>1.1813882044902689E-2</v>
      </c>
      <c r="I23" s="30">
        <f t="shared" si="44"/>
        <v>1.2887476374758098E-2</v>
      </c>
      <c r="J23" s="30">
        <f t="shared" si="44"/>
        <v>1.4039658910386273E-2</v>
      </c>
      <c r="K23" s="30">
        <f t="shared" si="44"/>
        <v>1.5272727272727273E-2</v>
      </c>
      <c r="L23" s="30"/>
      <c r="M23" s="30"/>
      <c r="N23" s="30"/>
      <c r="O23" s="30"/>
      <c r="P23" s="30"/>
      <c r="Q23" s="170"/>
      <c r="R23" s="117"/>
      <c r="S23" s="30">
        <f>S22/S12</f>
        <v>8.5525159323313962E-3</v>
      </c>
      <c r="T23" s="30">
        <f t="shared" ref="T23:W23" si="45">T22/T12</f>
        <v>9.3681950140382282E-3</v>
      </c>
      <c r="U23" s="30">
        <f t="shared" si="45"/>
        <v>1.0251097967006899E-2</v>
      </c>
      <c r="V23" s="30">
        <f t="shared" si="45"/>
        <v>1.1204717433468974E-2</v>
      </c>
      <c r="W23" s="30">
        <f t="shared" si="45"/>
        <v>2.0240963855421689E-2</v>
      </c>
      <c r="X23" s="30"/>
      <c r="Y23" s="30"/>
      <c r="Z23" s="30"/>
      <c r="AA23" s="30"/>
      <c r="AB23" s="30"/>
      <c r="AC23" s="30"/>
      <c r="AD23" s="117"/>
      <c r="AE23" s="135">
        <f>AE22/AE12</f>
        <v>1.0038169540383991E-2</v>
      </c>
      <c r="AF23" s="30">
        <f t="shared" ref="AF23:AI23" si="46">AF22/AF12</f>
        <v>1.0187145386134622E-2</v>
      </c>
      <c r="AG23" s="30">
        <f t="shared" si="46"/>
        <v>1.0338023138531981E-2</v>
      </c>
      <c r="AH23" s="30">
        <f t="shared" si="46"/>
        <v>1.0490817885051761E-2</v>
      </c>
      <c r="AI23" s="30">
        <f t="shared" si="46"/>
        <v>1.0645544554455445E-2</v>
      </c>
      <c r="AJ23" s="30"/>
      <c r="AK23" s="30"/>
      <c r="AL23" s="30"/>
      <c r="AM23" s="30"/>
      <c r="AN23" s="30"/>
      <c r="AO23" s="30"/>
    </row>
    <row r="24" spans="2:41" ht="15" thickBot="1">
      <c r="B24" s="151" t="s">
        <v>46</v>
      </c>
      <c r="C24" s="85"/>
      <c r="D24" s="28"/>
      <c r="E24" s="28">
        <v>161.333</v>
      </c>
      <c r="F24" s="28">
        <v>355.79847380300049</v>
      </c>
      <c r="G24" s="28">
        <f>G22+G20+G18</f>
        <v>508.94177085643872</v>
      </c>
      <c r="H24" s="28">
        <f t="shared" ref="H24:K24" si="47">H22+H20+H18</f>
        <v>793.8814677913665</v>
      </c>
      <c r="I24" s="28">
        <f t="shared" si="47"/>
        <v>1243.0997098468004</v>
      </c>
      <c r="J24" s="28">
        <f t="shared" si="47"/>
        <v>1954.8314470180362</v>
      </c>
      <c r="K24" s="28">
        <f t="shared" si="47"/>
        <v>3088.5920000000006</v>
      </c>
      <c r="L24" s="28">
        <f>K24*(1+L8)</f>
        <v>4381.9061762263182</v>
      </c>
      <c r="M24" s="28">
        <f t="shared" ref="M24:Q24" si="48">L24*(1+M8)</f>
        <v>5771.2084192993088</v>
      </c>
      <c r="N24" s="28">
        <f t="shared" si="48"/>
        <v>7014.150925218938</v>
      </c>
      <c r="O24" s="28">
        <f t="shared" si="48"/>
        <v>7811.5530619705587</v>
      </c>
      <c r="P24" s="28">
        <f t="shared" si="48"/>
        <v>7905.2916987142053</v>
      </c>
      <c r="Q24" s="169">
        <f t="shared" si="48"/>
        <v>8000.1551990987755</v>
      </c>
      <c r="R24" s="112"/>
      <c r="S24" s="28">
        <f t="shared" ref="S24:W24" si="49">S22+S20+S18</f>
        <v>512.77224975834702</v>
      </c>
      <c r="T24" s="28">
        <f t="shared" si="49"/>
        <v>800.91531911139532</v>
      </c>
      <c r="U24" s="28">
        <f t="shared" si="49"/>
        <v>1255.9976766504801</v>
      </c>
      <c r="V24" s="28">
        <f t="shared" si="49"/>
        <v>1978.4515604966116</v>
      </c>
      <c r="W24" s="28">
        <f t="shared" si="49"/>
        <v>3417.4400000000005</v>
      </c>
      <c r="X24" s="28">
        <f>W24*(1+X8)</f>
        <v>4848.4556855948822</v>
      </c>
      <c r="Y24" s="28">
        <f t="shared" ref="Y24:AC24" si="50">X24*(1+Y8)</f>
        <v>6385.6794618551849</v>
      </c>
      <c r="Z24" s="28">
        <f t="shared" si="50"/>
        <v>7760.9603139165702</v>
      </c>
      <c r="AA24" s="28">
        <f t="shared" si="50"/>
        <v>8643.263304476819</v>
      </c>
      <c r="AB24" s="28">
        <f t="shared" si="50"/>
        <v>8746.9824641305404</v>
      </c>
      <c r="AC24" s="28">
        <f t="shared" si="50"/>
        <v>8851.9462537001073</v>
      </c>
      <c r="AD24" s="112"/>
      <c r="AE24" s="137">
        <f t="shared" ref="AE24:AI24" si="51">AE22+AE20+AE18</f>
        <v>489.61831095376306</v>
      </c>
      <c r="AF24" s="28">
        <f t="shared" si="51"/>
        <v>732.8081659173323</v>
      </c>
      <c r="AG24" s="28">
        <f t="shared" si="51"/>
        <v>1097.6924136054913</v>
      </c>
      <c r="AH24" s="28">
        <f t="shared" si="51"/>
        <v>1645.7008345373047</v>
      </c>
      <c r="AI24" s="28">
        <f t="shared" si="51"/>
        <v>2469.5839999999998</v>
      </c>
      <c r="AJ24" s="28">
        <f>AI24*(1+AJ8)</f>
        <v>3503.6953350619615</v>
      </c>
      <c r="AK24" s="28">
        <f t="shared" ref="AK24:AO24" si="52">AJ24*(1+AK8)</f>
        <v>4614.5570450764817</v>
      </c>
      <c r="AL24" s="28">
        <f t="shared" si="52"/>
        <v>5608.3920759057464</v>
      </c>
      <c r="AM24" s="46">
        <f t="shared" si="52"/>
        <v>6245.9808407823029</v>
      </c>
      <c r="AN24" s="46">
        <f t="shared" si="52"/>
        <v>6320.9326108716905</v>
      </c>
      <c r="AO24" s="46">
        <f t="shared" si="52"/>
        <v>6396.7838022021506</v>
      </c>
    </row>
    <row r="25" spans="2:41" ht="15" thickTop="1">
      <c r="B25" s="150" t="s">
        <v>103</v>
      </c>
      <c r="C25" s="24"/>
      <c r="D25" s="24"/>
      <c r="E25" s="15">
        <v>1.7925888888888888</v>
      </c>
      <c r="F25" s="87">
        <v>3.9533163755888943</v>
      </c>
      <c r="G25" s="15">
        <f t="shared" ref="G25:J25" si="53">G24/90</f>
        <v>5.6549085650715414</v>
      </c>
      <c r="H25" s="15">
        <f t="shared" si="53"/>
        <v>8.8209051976818493</v>
      </c>
      <c r="I25" s="15">
        <f t="shared" si="53"/>
        <v>13.812218998297782</v>
      </c>
      <c r="J25" s="15">
        <f t="shared" si="53"/>
        <v>21.720349411311513</v>
      </c>
      <c r="K25" s="24">
        <f>K24/110</f>
        <v>28.078109090909095</v>
      </c>
      <c r="L25" s="24">
        <f t="shared" ref="L25:Q25" si="54">L24/110</f>
        <v>39.83551069296653</v>
      </c>
      <c r="M25" s="24">
        <f t="shared" si="54"/>
        <v>52.465531084539172</v>
      </c>
      <c r="N25" s="24">
        <f t="shared" si="54"/>
        <v>63.765008411081254</v>
      </c>
      <c r="O25" s="24">
        <f t="shared" si="54"/>
        <v>71.014118745186892</v>
      </c>
      <c r="P25" s="24">
        <f t="shared" si="54"/>
        <v>71.866288170129138</v>
      </c>
      <c r="Q25" s="24">
        <f t="shared" si="54"/>
        <v>72.728683628170685</v>
      </c>
      <c r="R25" s="120"/>
      <c r="S25" s="15">
        <f t="shared" ref="S25:V25" si="55">S24/90</f>
        <v>5.6974694417594112</v>
      </c>
      <c r="T25" s="15">
        <f t="shared" si="55"/>
        <v>8.8990591012377251</v>
      </c>
      <c r="U25" s="15">
        <f t="shared" si="55"/>
        <v>13.955529740560889</v>
      </c>
      <c r="V25" s="15">
        <f t="shared" si="55"/>
        <v>21.982795116629017</v>
      </c>
      <c r="W25" s="15">
        <f>W24/110</f>
        <v>31.067636363636367</v>
      </c>
      <c r="X25" s="15">
        <f t="shared" ref="X25:AC25" si="56">X24/110</f>
        <v>44.076869869044387</v>
      </c>
      <c r="Y25" s="15">
        <f t="shared" si="56"/>
        <v>58.051631471410772</v>
      </c>
      <c r="Z25" s="15">
        <f t="shared" si="56"/>
        <v>70.554184671968827</v>
      </c>
      <c r="AA25" s="15">
        <f t="shared" si="56"/>
        <v>78.575120949789266</v>
      </c>
      <c r="AB25" s="15">
        <f t="shared" si="56"/>
        <v>79.518022401186727</v>
      </c>
      <c r="AC25" s="15">
        <f t="shared" si="56"/>
        <v>80.472238670000976</v>
      </c>
      <c r="AD25" s="120"/>
      <c r="AE25" s="140">
        <f t="shared" ref="AE25:AH25" si="57">AE24/90</f>
        <v>5.4402034550418117</v>
      </c>
      <c r="AF25" s="15">
        <f t="shared" si="57"/>
        <v>8.1423129546370259</v>
      </c>
      <c r="AG25" s="15">
        <f t="shared" si="57"/>
        <v>12.196582373394348</v>
      </c>
      <c r="AH25" s="15">
        <f t="shared" si="57"/>
        <v>18.285564828192275</v>
      </c>
      <c r="AI25" s="15">
        <f>AI24/110</f>
        <v>22.450763636363636</v>
      </c>
      <c r="AJ25" s="15">
        <f t="shared" ref="AJ25:AO25" si="58">AJ24/110</f>
        <v>31.851775773290559</v>
      </c>
      <c r="AK25" s="15">
        <f t="shared" si="58"/>
        <v>41.950518591604379</v>
      </c>
      <c r="AL25" s="15">
        <f t="shared" si="58"/>
        <v>50.985382508234061</v>
      </c>
      <c r="AM25" s="15">
        <f t="shared" si="58"/>
        <v>56.781644007111844</v>
      </c>
      <c r="AN25" s="15">
        <f t="shared" si="58"/>
        <v>57.463023735197183</v>
      </c>
      <c r="AO25" s="15">
        <f t="shared" si="58"/>
        <v>58.152580020019549</v>
      </c>
    </row>
    <row r="26" spans="2:41">
      <c r="B26" s="147" t="s">
        <v>47</v>
      </c>
      <c r="C26" s="24"/>
      <c r="D26" s="24"/>
      <c r="E26" s="24"/>
      <c r="F26" s="83">
        <v>0.15</v>
      </c>
      <c r="G26" s="30">
        <f>F26*(1+(($K$26/$F$26)^0.2-1))</f>
        <v>0.14345287496850553</v>
      </c>
      <c r="H26" s="30">
        <f>G26*(1+(($K$26/$F$26)^0.2-1))</f>
        <v>0.13719151557819789</v>
      </c>
      <c r="I26" s="30">
        <f>H26*(1+(($K$26/$F$26)^0.2-1))</f>
        <v>0.13120344887319335</v>
      </c>
      <c r="J26" s="30">
        <f>I26*(1+(($K$26/$F$26)^0.2-1))</f>
        <v>0.12547674631095276</v>
      </c>
      <c r="K26" s="106">
        <v>0.12</v>
      </c>
      <c r="L26" s="106"/>
      <c r="M26" s="106"/>
      <c r="N26" s="106"/>
      <c r="O26" s="106"/>
      <c r="P26" s="106"/>
      <c r="Q26" s="168"/>
      <c r="R26" s="116"/>
      <c r="S26" s="30">
        <f>F26*(1+(($W$26/$F$26)^0.2-1))</f>
        <v>0.14345287496850553</v>
      </c>
      <c r="T26" s="30">
        <f>G26*(1+(($W$26/$F$26)^0.2-1))</f>
        <v>0.13719151557819789</v>
      </c>
      <c r="U26" s="30">
        <f>H26*(1+(($W$26/$F$26)^0.2-1))</f>
        <v>0.13120344887319335</v>
      </c>
      <c r="V26" s="30">
        <f>I26*(1+(($W$26/$F$26)^0.2-1))</f>
        <v>0.12547674631095276</v>
      </c>
      <c r="W26" s="106">
        <v>0.12</v>
      </c>
      <c r="X26" s="106"/>
      <c r="Y26" s="106"/>
      <c r="Z26" s="106"/>
      <c r="AA26" s="106"/>
      <c r="AB26" s="106"/>
      <c r="AC26" s="106"/>
      <c r="AD26" s="116"/>
      <c r="AE26" s="135">
        <f>K26*(1+(($AI$26/$F$26)^0.2-1))</f>
        <v>0.11476229997480443</v>
      </c>
      <c r="AF26" s="135">
        <f>AE26</f>
        <v>0.11476229997480443</v>
      </c>
      <c r="AG26" s="30">
        <f>AF26</f>
        <v>0.11476229997480443</v>
      </c>
      <c r="AH26" s="30">
        <f>AG26</f>
        <v>0.11476229997480443</v>
      </c>
      <c r="AI26" s="106">
        <v>0.12</v>
      </c>
      <c r="AJ26" s="106"/>
      <c r="AK26" s="106"/>
      <c r="AL26" s="106"/>
      <c r="AM26" s="106"/>
      <c r="AN26" s="106"/>
      <c r="AO26" s="106"/>
    </row>
    <row r="27" spans="2:41" ht="15" thickBot="1">
      <c r="B27" s="151" t="s">
        <v>34</v>
      </c>
      <c r="C27" s="85">
        <v>19.795999999999999</v>
      </c>
      <c r="D27" s="28">
        <v>70.5</v>
      </c>
      <c r="E27" s="28">
        <v>161.333</v>
      </c>
      <c r="F27" s="28">
        <v>288.28099999999995</v>
      </c>
      <c r="G27" s="28">
        <f t="shared" ref="G27:AI27" si="59">(1-G26)*G24</f>
        <v>435.93261063552023</v>
      </c>
      <c r="H27" s="28">
        <f t="shared" si="59"/>
        <v>684.96766603562469</v>
      </c>
      <c r="I27" s="28">
        <f t="shared" si="59"/>
        <v>1080.0007406216341</v>
      </c>
      <c r="J27" s="28">
        <f t="shared" si="59"/>
        <v>1709.5455574598814</v>
      </c>
      <c r="K27" s="28">
        <f t="shared" si="59"/>
        <v>2717.9609600000003</v>
      </c>
      <c r="L27" s="28">
        <f>K27*(1+L8)</f>
        <v>3856.0774350791603</v>
      </c>
      <c r="M27" s="28">
        <f t="shared" ref="M27:Q27" si="60">L27*(1+M8)</f>
        <v>5078.6634089833924</v>
      </c>
      <c r="N27" s="28">
        <f t="shared" si="60"/>
        <v>6172.4528141926667</v>
      </c>
      <c r="O27" s="28">
        <f t="shared" si="60"/>
        <v>6874.166694534093</v>
      </c>
      <c r="P27" s="28">
        <f t="shared" si="60"/>
        <v>6956.6566948685022</v>
      </c>
      <c r="Q27" s="169">
        <f t="shared" si="60"/>
        <v>7040.1365752069241</v>
      </c>
      <c r="R27" s="112"/>
      <c r="S27" s="28">
        <f t="shared" si="59"/>
        <v>439.21359632644356</v>
      </c>
      <c r="T27" s="28">
        <f t="shared" si="59"/>
        <v>691.03653263270701</v>
      </c>
      <c r="U27" s="28">
        <f t="shared" si="59"/>
        <v>1091.2064496972191</v>
      </c>
      <c r="V27" s="28">
        <f t="shared" si="59"/>
        <v>1730.2018959516697</v>
      </c>
      <c r="W27" s="28">
        <f t="shared" si="59"/>
        <v>3007.3472000000006</v>
      </c>
      <c r="X27" s="28">
        <f>W27*(1+X8)</f>
        <v>4266.641003323497</v>
      </c>
      <c r="Y27" s="28">
        <f t="shared" ref="Y27:AC27" si="61">X27*(1+Y8)</f>
        <v>5619.3979264325635</v>
      </c>
      <c r="Z27" s="28">
        <f t="shared" si="61"/>
        <v>6829.6450762465829</v>
      </c>
      <c r="AA27" s="28">
        <f t="shared" si="61"/>
        <v>7606.0717079396018</v>
      </c>
      <c r="AB27" s="28">
        <f t="shared" si="61"/>
        <v>7697.3445684348771</v>
      </c>
      <c r="AC27" s="28">
        <f t="shared" si="61"/>
        <v>7789.7127032560957</v>
      </c>
      <c r="AD27" s="112"/>
      <c r="AE27" s="137">
        <f t="shared" si="59"/>
        <v>433.42858747893018</v>
      </c>
      <c r="AF27" s="28">
        <f t="shared" si="59"/>
        <v>648.70941535634108</v>
      </c>
      <c r="AG27" s="28">
        <f t="shared" si="59"/>
        <v>971.71870755523082</v>
      </c>
      <c r="AH27" s="28">
        <f t="shared" si="59"/>
        <v>1456.8364216953485</v>
      </c>
      <c r="AI27" s="28">
        <f t="shared" si="59"/>
        <v>2173.2339199999997</v>
      </c>
      <c r="AJ27" s="28">
        <f>AI27*(1+AJ8)</f>
        <v>3083.2518948545257</v>
      </c>
      <c r="AK27" s="28">
        <f t="shared" ref="AK27:AO27" si="62">AJ27*(1+AK8)</f>
        <v>4060.8101996673036</v>
      </c>
      <c r="AL27" s="28">
        <f t="shared" si="62"/>
        <v>4935.3850267970565</v>
      </c>
      <c r="AM27" s="46">
        <f t="shared" si="62"/>
        <v>5496.4631398884258</v>
      </c>
      <c r="AN27" s="46">
        <f t="shared" si="62"/>
        <v>5562.4206975670868</v>
      </c>
      <c r="AO27" s="46">
        <f t="shared" si="62"/>
        <v>5629.169745937892</v>
      </c>
    </row>
    <row r="28" spans="2:41" ht="15" thickTop="1">
      <c r="B28" s="150" t="s">
        <v>35</v>
      </c>
      <c r="C28" s="42"/>
      <c r="D28" s="30">
        <v>2.561325520307133</v>
      </c>
      <c r="E28" s="30">
        <v>1.2884113475177306</v>
      </c>
      <c r="F28" s="84">
        <v>0.78686939435825254</v>
      </c>
      <c r="G28" s="30">
        <f t="shared" ref="G28:K28" si="63">G27/F27-1</f>
        <v>0.51217947292926103</v>
      </c>
      <c r="H28" s="30">
        <f t="shared" si="63"/>
        <v>0.57126961673514409</v>
      </c>
      <c r="I28" s="30">
        <f t="shared" si="63"/>
        <v>0.57671784256961423</v>
      </c>
      <c r="J28" s="30">
        <f t="shared" si="63"/>
        <v>0.58291146770500313</v>
      </c>
      <c r="K28" s="30">
        <f t="shared" si="63"/>
        <v>0.58987337198458012</v>
      </c>
      <c r="L28" s="30"/>
      <c r="M28" s="30"/>
      <c r="N28" s="30"/>
      <c r="O28" s="30"/>
      <c r="P28" s="30"/>
      <c r="Q28" s="170"/>
      <c r="R28" s="117"/>
      <c r="S28" s="30">
        <f>S27/K27-1</f>
        <v>-0.83840327260387015</v>
      </c>
      <c r="T28" s="30">
        <f t="shared" ref="T28:W28" si="64">T27/S27-1</f>
        <v>0.57334959211758352</v>
      </c>
      <c r="U28" s="30">
        <f t="shared" si="64"/>
        <v>0.57908648554360376</v>
      </c>
      <c r="V28" s="30">
        <f t="shared" si="64"/>
        <v>0.58558620729537925</v>
      </c>
      <c r="W28" s="30">
        <f t="shared" si="64"/>
        <v>0.73814813579652072</v>
      </c>
      <c r="X28" s="30"/>
      <c r="Y28" s="30"/>
      <c r="Z28" s="30"/>
      <c r="AA28" s="30"/>
      <c r="AB28" s="30"/>
      <c r="AC28" s="30"/>
      <c r="AD28" s="117"/>
      <c r="AE28" s="135">
        <f>AE27/F27-1</f>
        <v>0.50349342301063982</v>
      </c>
      <c r="AF28" s="30">
        <f t="shared" ref="AF28:AI28" si="65">AF27/AE27-1</f>
        <v>0.49669272885207683</v>
      </c>
      <c r="AG28" s="30">
        <f t="shared" si="65"/>
        <v>0.49792601209812593</v>
      </c>
      <c r="AH28" s="30">
        <f t="shared" si="65"/>
        <v>0.49923677538393418</v>
      </c>
      <c r="AI28" s="30">
        <f t="shared" si="65"/>
        <v>0.49174875616506464</v>
      </c>
      <c r="AJ28" s="30"/>
      <c r="AK28" s="30"/>
      <c r="AL28" s="30"/>
      <c r="AM28" s="30"/>
      <c r="AN28" s="30"/>
      <c r="AO28" s="30"/>
    </row>
    <row r="29" spans="2:41">
      <c r="B29" s="147" t="s">
        <v>36</v>
      </c>
      <c r="C29" s="24">
        <v>3.59</v>
      </c>
      <c r="D29" s="24">
        <v>14.658999999999992</v>
      </c>
      <c r="E29" s="24">
        <v>40.31</v>
      </c>
      <c r="F29" s="82">
        <v>83.854999999999961</v>
      </c>
      <c r="G29" s="24">
        <f>G27*G30</f>
        <v>129.24677304533745</v>
      </c>
      <c r="H29" s="24">
        <f t="shared" ref="H29:Q29" si="66">H27*H30</f>
        <v>206.9940340292442</v>
      </c>
      <c r="I29" s="24">
        <f t="shared" si="66"/>
        <v>332.65895403771816</v>
      </c>
      <c r="J29" s="24">
        <f t="shared" si="66"/>
        <v>536.71440315453458</v>
      </c>
      <c r="K29" s="24">
        <f t="shared" si="66"/>
        <v>869.74750720000009</v>
      </c>
      <c r="L29" s="24">
        <f t="shared" si="66"/>
        <v>1233.9447792253313</v>
      </c>
      <c r="M29" s="24">
        <f t="shared" si="66"/>
        <v>1625.1722908746856</v>
      </c>
      <c r="N29" s="24">
        <f t="shared" si="66"/>
        <v>1975.1849005416534</v>
      </c>
      <c r="O29" s="24">
        <f t="shared" si="66"/>
        <v>2199.73334225091</v>
      </c>
      <c r="P29" s="24">
        <f t="shared" si="66"/>
        <v>2226.1301423579207</v>
      </c>
      <c r="Q29" s="164">
        <f t="shared" si="66"/>
        <v>2252.8437040662157</v>
      </c>
      <c r="R29" s="112"/>
      <c r="S29" s="24">
        <f>S27*S30</f>
        <v>132.57442106315094</v>
      </c>
      <c r="T29" s="24">
        <f t="shared" ref="T29:AC29" si="67">T27*T30</f>
        <v>216.44920317007848</v>
      </c>
      <c r="U29" s="24">
        <f t="shared" si="67"/>
        <v>354.67691985182307</v>
      </c>
      <c r="V29" s="24">
        <f t="shared" si="67"/>
        <v>583.57114220354924</v>
      </c>
      <c r="W29" s="24">
        <f t="shared" si="67"/>
        <v>1052.5715200000002</v>
      </c>
      <c r="X29" s="24">
        <f t="shared" si="67"/>
        <v>1493.3243511632238</v>
      </c>
      <c r="Y29" s="24">
        <f t="shared" si="67"/>
        <v>1966.789274251397</v>
      </c>
      <c r="Z29" s="24">
        <f t="shared" si="67"/>
        <v>2390.3757766863037</v>
      </c>
      <c r="AA29" s="24">
        <f t="shared" si="67"/>
        <v>2662.1250977788604</v>
      </c>
      <c r="AB29" s="24">
        <f t="shared" si="67"/>
        <v>2694.0705989522066</v>
      </c>
      <c r="AC29" s="24">
        <f t="shared" si="67"/>
        <v>2726.3994461396333</v>
      </c>
      <c r="AD29" s="112"/>
      <c r="AE29" s="133">
        <f>AE27*AE30</f>
        <v>125.99911851205071</v>
      </c>
      <c r="AF29" s="24">
        <f t="shared" ref="AF29:AO29" si="68">AF27*AF30</f>
        <v>188.46780237848066</v>
      </c>
      <c r="AG29" s="24">
        <f t="shared" si="68"/>
        <v>282.13992070859689</v>
      </c>
      <c r="AH29" s="24">
        <f t="shared" si="68"/>
        <v>422.73847610256257</v>
      </c>
      <c r="AI29" s="24">
        <f t="shared" si="68"/>
        <v>630.23783679999985</v>
      </c>
      <c r="AJ29" s="24">
        <f t="shared" si="68"/>
        <v>894.14304950781241</v>
      </c>
      <c r="AK29" s="24">
        <f t="shared" si="68"/>
        <v>1177.6349579035179</v>
      </c>
      <c r="AL29" s="24">
        <f t="shared" si="68"/>
        <v>1431.2616577711462</v>
      </c>
      <c r="AM29" s="24">
        <f t="shared" si="68"/>
        <v>1593.9743105676434</v>
      </c>
      <c r="AN29" s="24">
        <f t="shared" si="68"/>
        <v>1613.1020022944551</v>
      </c>
      <c r="AO29" s="24">
        <f t="shared" si="68"/>
        <v>1632.4592263219886</v>
      </c>
    </row>
    <row r="30" spans="2:41">
      <c r="B30" s="150" t="s">
        <v>37</v>
      </c>
      <c r="C30" s="30">
        <v>0.18134976762982422</v>
      </c>
      <c r="D30" s="30">
        <v>0.20792907801418428</v>
      </c>
      <c r="E30" s="30">
        <v>0.2498558881320003</v>
      </c>
      <c r="F30" s="84">
        <v>0.2908793850444531</v>
      </c>
      <c r="G30" s="31">
        <f>F30*(1+(($K$30/$F$30)^0.2-1))</f>
        <v>0.29648337814626041</v>
      </c>
      <c r="H30" s="31">
        <f t="shared" ref="H30:J30" si="69">G30*(1+(($K$30/$F$30)^0.2-1))</f>
        <v>0.30219533606200705</v>
      </c>
      <c r="I30" s="31">
        <f t="shared" si="69"/>
        <v>0.30801733880871607</v>
      </c>
      <c r="J30" s="31">
        <f t="shared" si="69"/>
        <v>0.31395150647638115</v>
      </c>
      <c r="K30" s="106">
        <f>'Bull-Bear'!O9</f>
        <v>0.32</v>
      </c>
      <c r="L30" s="106">
        <f>K30</f>
        <v>0.32</v>
      </c>
      <c r="M30" s="106">
        <f t="shared" ref="M30:Q30" si="70">L30</f>
        <v>0.32</v>
      </c>
      <c r="N30" s="106">
        <f t="shared" si="70"/>
        <v>0.32</v>
      </c>
      <c r="O30" s="106">
        <f t="shared" si="70"/>
        <v>0.32</v>
      </c>
      <c r="P30" s="106">
        <f t="shared" si="70"/>
        <v>0.32</v>
      </c>
      <c r="Q30" s="168">
        <f t="shared" si="70"/>
        <v>0.32</v>
      </c>
      <c r="R30" s="116"/>
      <c r="S30" s="30">
        <f>F30*(1+(($W$30/$F$30)^0.2-1))</f>
        <v>0.3018449842445578</v>
      </c>
      <c r="T30" s="30">
        <f>S30*(1+(($W$30/$F$30)^0.2-1))</f>
        <v>0.31322396566423422</v>
      </c>
      <c r="U30" s="30">
        <f>T30*(1+(($W$30/$F$30)^0.2-1))</f>
        <v>0.32503191302639067</v>
      </c>
      <c r="V30" s="30">
        <f>U30*(1+(($W$30/$F$30)^0.2-1))</f>
        <v>0.3372849975306294</v>
      </c>
      <c r="W30" s="106">
        <f>'Bull-Bear'!N9</f>
        <v>0.35</v>
      </c>
      <c r="X30" s="106">
        <f>W30</f>
        <v>0.35</v>
      </c>
      <c r="Y30" s="106">
        <f t="shared" ref="Y30:AC30" si="71">X30</f>
        <v>0.35</v>
      </c>
      <c r="Z30" s="106">
        <f t="shared" si="71"/>
        <v>0.35</v>
      </c>
      <c r="AA30" s="106">
        <f t="shared" si="71"/>
        <v>0.35</v>
      </c>
      <c r="AB30" s="106">
        <f t="shared" si="71"/>
        <v>0.35</v>
      </c>
      <c r="AC30" s="106">
        <f t="shared" si="71"/>
        <v>0.35</v>
      </c>
      <c r="AD30" s="116"/>
      <c r="AE30" s="135">
        <f>F30*(1+(($AI$30/$F$30)^0.2-1))</f>
        <v>0.29070329496476921</v>
      </c>
      <c r="AF30" s="30">
        <f>AE30*(1+(($AI$30/$F$30)^0.2-1))</f>
        <v>0.29052731148499494</v>
      </c>
      <c r="AG30" s="30">
        <f>AF30*(1+(($AI$30/$F$30)^0.2-1))</f>
        <v>0.29035143454059781</v>
      </c>
      <c r="AH30" s="30">
        <f>AG30*(1+(($AI$30/$F$30)^0.2-1))</f>
        <v>0.29017566406708428</v>
      </c>
      <c r="AI30" s="106">
        <f>'Bull-Bear'!P9</f>
        <v>0.28999999999999998</v>
      </c>
      <c r="AJ30" s="106">
        <f>AI30</f>
        <v>0.28999999999999998</v>
      </c>
      <c r="AK30" s="106">
        <f t="shared" ref="AK30:AO30" si="72">AJ30</f>
        <v>0.28999999999999998</v>
      </c>
      <c r="AL30" s="106">
        <f t="shared" si="72"/>
        <v>0.28999999999999998</v>
      </c>
      <c r="AM30" s="106">
        <f t="shared" si="72"/>
        <v>0.28999999999999998</v>
      </c>
      <c r="AN30" s="106">
        <f t="shared" si="72"/>
        <v>0.28999999999999998</v>
      </c>
      <c r="AO30" s="106">
        <f t="shared" si="72"/>
        <v>0.28999999999999998</v>
      </c>
    </row>
    <row r="31" spans="2:41">
      <c r="B31" s="147" t="s">
        <v>90</v>
      </c>
      <c r="C31" s="124">
        <v>12</v>
      </c>
      <c r="D31" s="32">
        <v>25</v>
      </c>
      <c r="E31" s="32">
        <v>61</v>
      </c>
      <c r="F31" s="88">
        <v>87</v>
      </c>
      <c r="G31" s="24">
        <f>G33*G27</f>
        <v>128.66330331900903</v>
      </c>
      <c r="H31" s="24">
        <f t="shared" ref="H31:K31" si="73">H33*H27</f>
        <v>197.71404272701923</v>
      </c>
      <c r="I31" s="24">
        <f t="shared" si="73"/>
        <v>304.87625768950284</v>
      </c>
      <c r="J31" s="24">
        <f t="shared" si="73"/>
        <v>471.96776382385787</v>
      </c>
      <c r="K31" s="24">
        <f t="shared" si="73"/>
        <v>733.84945920000018</v>
      </c>
      <c r="L31" s="24">
        <f>L33*L27</f>
        <v>1041.1409074713733</v>
      </c>
      <c r="M31" s="24">
        <f t="shared" ref="M31:Q31" si="74">M33*M27</f>
        <v>1371.2391204255161</v>
      </c>
      <c r="N31" s="24">
        <f t="shared" si="74"/>
        <v>1666.5622598320201</v>
      </c>
      <c r="O31" s="24">
        <f t="shared" si="74"/>
        <v>1856.0250075242052</v>
      </c>
      <c r="P31" s="24">
        <f t="shared" si="74"/>
        <v>1878.2973076144958</v>
      </c>
      <c r="Q31" s="164">
        <f t="shared" si="74"/>
        <v>1900.8368753058696</v>
      </c>
      <c r="R31" s="112"/>
      <c r="S31" s="24">
        <f>S33*S27</f>
        <v>126.61367375476374</v>
      </c>
      <c r="T31" s="24">
        <f t="shared" ref="T31:W31" si="75">T33*T27</f>
        <v>190.28626595225452</v>
      </c>
      <c r="U31" s="24">
        <f t="shared" si="75"/>
        <v>287.02185200051224</v>
      </c>
      <c r="V31" s="24">
        <f t="shared" si="75"/>
        <v>434.71679930126641</v>
      </c>
      <c r="W31" s="24">
        <f t="shared" si="75"/>
        <v>721.76332800000012</v>
      </c>
      <c r="X31" s="24">
        <f>X33*X27</f>
        <v>1023.9938407976392</v>
      </c>
      <c r="Y31" s="24">
        <f t="shared" ref="Y31:AC31" si="76">Y33*Y27</f>
        <v>1348.6555023438152</v>
      </c>
      <c r="Z31" s="24">
        <f t="shared" si="76"/>
        <v>1639.1148182991799</v>
      </c>
      <c r="AA31" s="24">
        <f t="shared" si="76"/>
        <v>1825.4572099055044</v>
      </c>
      <c r="AB31" s="24">
        <f t="shared" si="76"/>
        <v>1847.3626964243704</v>
      </c>
      <c r="AC31" s="24">
        <f t="shared" si="76"/>
        <v>1869.5310487814629</v>
      </c>
      <c r="AD31" s="112"/>
      <c r="AE31" s="133">
        <f>AE33*AE27</f>
        <v>130.64848850010725</v>
      </c>
      <c r="AF31" s="24">
        <f t="shared" ref="AF31:AI31" si="77">AF33*AF27</f>
        <v>195.3082743616005</v>
      </c>
      <c r="AG31" s="24">
        <f t="shared" si="77"/>
        <v>292.20968748116758</v>
      </c>
      <c r="AH31" s="24">
        <f t="shared" si="77"/>
        <v>437.57090872696381</v>
      </c>
      <c r="AI31" s="24">
        <f t="shared" si="77"/>
        <v>651.97017599999992</v>
      </c>
      <c r="AJ31" s="24">
        <f>AJ33*AJ27</f>
        <v>924.97556845635768</v>
      </c>
      <c r="AK31" s="24">
        <f t="shared" ref="AK31:AO31" si="78">AK33*AK27</f>
        <v>1218.2430599001909</v>
      </c>
      <c r="AL31" s="24">
        <f t="shared" si="78"/>
        <v>1480.615508039117</v>
      </c>
      <c r="AM31" s="24">
        <f t="shared" si="78"/>
        <v>1648.9389419665276</v>
      </c>
      <c r="AN31" s="24">
        <f t="shared" si="78"/>
        <v>1668.726209270126</v>
      </c>
      <c r="AO31" s="24">
        <f t="shared" si="78"/>
        <v>1688.7509237813676</v>
      </c>
    </row>
    <row r="32" spans="2:41">
      <c r="B32" s="150" t="s">
        <v>35</v>
      </c>
      <c r="C32" s="29"/>
      <c r="D32" s="29">
        <v>1.0833333333333335</v>
      </c>
      <c r="E32" s="30">
        <v>1.44</v>
      </c>
      <c r="F32" s="84">
        <v>0.42622950819672134</v>
      </c>
      <c r="G32" s="31">
        <f>F32*(1+(($K$32/$F$32)^0.2-1))</f>
        <v>0.45484829250455766</v>
      </c>
      <c r="H32" s="31">
        <f t="shared" ref="H32:K32" si="79">H28</f>
        <v>0.57126961673514409</v>
      </c>
      <c r="I32" s="31">
        <f t="shared" si="79"/>
        <v>0.57671784256961423</v>
      </c>
      <c r="J32" s="31">
        <f t="shared" si="79"/>
        <v>0.58291146770500313</v>
      </c>
      <c r="K32" s="31">
        <f t="shared" si="79"/>
        <v>0.58987337198458012</v>
      </c>
      <c r="L32" s="31"/>
      <c r="M32" s="31"/>
      <c r="N32" s="31"/>
      <c r="O32" s="31"/>
      <c r="P32" s="31"/>
      <c r="Q32" s="167"/>
      <c r="R32" s="115"/>
      <c r="S32" s="31">
        <f>K32*(1+(($K$32/$F$32)^0.2-1))</f>
        <v>0.62947987148102358</v>
      </c>
      <c r="T32" s="31">
        <f t="shared" ref="T32:W32" si="80">T28</f>
        <v>0.57334959211758352</v>
      </c>
      <c r="U32" s="31">
        <f t="shared" si="80"/>
        <v>0.57908648554360376</v>
      </c>
      <c r="V32" s="31">
        <f t="shared" si="80"/>
        <v>0.58558620729537925</v>
      </c>
      <c r="W32" s="31">
        <f t="shared" si="80"/>
        <v>0.73814813579652072</v>
      </c>
      <c r="X32" s="31"/>
      <c r="Y32" s="31"/>
      <c r="Z32" s="31"/>
      <c r="AA32" s="31"/>
      <c r="AB32" s="31"/>
      <c r="AC32" s="31"/>
      <c r="AD32" s="115"/>
      <c r="AE32" s="136">
        <f>W32*(1+(($K$32/$F$32)^0.2-1))</f>
        <v>0.78771040654348679</v>
      </c>
      <c r="AF32" s="31">
        <f t="shared" ref="AF32:AI32" si="81">AF28</f>
        <v>0.49669272885207683</v>
      </c>
      <c r="AG32" s="31">
        <f t="shared" si="81"/>
        <v>0.49792601209812593</v>
      </c>
      <c r="AH32" s="31">
        <f t="shared" si="81"/>
        <v>0.49923677538393418</v>
      </c>
      <c r="AI32" s="31">
        <f t="shared" si="81"/>
        <v>0.49174875616506464</v>
      </c>
      <c r="AJ32" s="31"/>
      <c r="AK32" s="31"/>
      <c r="AL32" s="31"/>
      <c r="AM32" s="31"/>
      <c r="AN32" s="31"/>
      <c r="AO32" s="31"/>
    </row>
    <row r="33" spans="2:41">
      <c r="B33" s="150" t="s">
        <v>39</v>
      </c>
      <c r="C33" s="42"/>
      <c r="D33" s="30">
        <v>0.3546099290780142</v>
      </c>
      <c r="E33" s="30">
        <v>0.37809995475197261</v>
      </c>
      <c r="F33" s="84">
        <v>0.30178887960011247</v>
      </c>
      <c r="G33" s="30">
        <f>F33*(1+(($K$33/$F$33)^0.2-1))</f>
        <v>0.29514493795598007</v>
      </c>
      <c r="H33" s="30">
        <f t="shared" ref="H33:J33" si="82">G33*(1+(($K$33/$F$33)^0.2-1))</f>
        <v>0.28864726399616103</v>
      </c>
      <c r="I33" s="30">
        <f t="shared" si="82"/>
        <v>0.28229263760876694</v>
      </c>
      <c r="J33" s="30">
        <f t="shared" si="82"/>
        <v>0.27607790957330702</v>
      </c>
      <c r="K33" s="106">
        <f>'Bull-Bear'!O10</f>
        <v>0.27</v>
      </c>
      <c r="L33" s="106">
        <f>K33</f>
        <v>0.27</v>
      </c>
      <c r="M33" s="106">
        <f t="shared" ref="M33:Q33" si="83">L33</f>
        <v>0.27</v>
      </c>
      <c r="N33" s="106">
        <f t="shared" si="83"/>
        <v>0.27</v>
      </c>
      <c r="O33" s="106">
        <f t="shared" si="83"/>
        <v>0.27</v>
      </c>
      <c r="P33" s="106">
        <f t="shared" si="83"/>
        <v>0.27</v>
      </c>
      <c r="Q33" s="168">
        <f t="shared" si="83"/>
        <v>0.27</v>
      </c>
      <c r="R33" s="116"/>
      <c r="S33" s="30">
        <f>F33*(1+(($W$33/$F$33)^0.2-1))</f>
        <v>0.28827357534865267</v>
      </c>
      <c r="T33" s="30">
        <f>S33*(1+(($W$33/$F$33)^0.2-1))</f>
        <v>0.2753635400827551</v>
      </c>
      <c r="U33" s="30">
        <f>T33*(1+(($W$33/$F$33)^0.2-1))</f>
        <v>0.26303166745408552</v>
      </c>
      <c r="V33" s="30">
        <f>U33*(1+(($W$33/$F$33)^0.2-1))</f>
        <v>0.25125206504421116</v>
      </c>
      <c r="W33" s="106">
        <f>'Bull-Bear'!N10</f>
        <v>0.24</v>
      </c>
      <c r="X33" s="106">
        <f>W33</f>
        <v>0.24</v>
      </c>
      <c r="Y33" s="106">
        <f t="shared" ref="Y33:AC33" si="84">X33</f>
        <v>0.24</v>
      </c>
      <c r="Z33" s="106">
        <f t="shared" si="84"/>
        <v>0.24</v>
      </c>
      <c r="AA33" s="106">
        <f t="shared" si="84"/>
        <v>0.24</v>
      </c>
      <c r="AB33" s="106">
        <f t="shared" si="84"/>
        <v>0.24</v>
      </c>
      <c r="AC33" s="106">
        <f t="shared" si="84"/>
        <v>0.24</v>
      </c>
      <c r="AD33" s="116"/>
      <c r="AE33" s="135">
        <f>F33*(1+(($AI$33/$F$33)^0.2-1))</f>
        <v>0.30143025235145182</v>
      </c>
      <c r="AF33" s="30">
        <f>AE33*(1+(($AI$33/$F$33)^0.2-1))</f>
        <v>0.30107205127324405</v>
      </c>
      <c r="AG33" s="30">
        <f>AF33*(1+(($AI$33/$F$33)^0.2-1))</f>
        <v>0.30071427585905447</v>
      </c>
      <c r="AH33" s="30">
        <f>AG33*(1+(($AI$33/$F$33)^0.2-1))</f>
        <v>0.30035692560305033</v>
      </c>
      <c r="AI33" s="106">
        <f>'Bull-Bear'!P10</f>
        <v>0.3</v>
      </c>
      <c r="AJ33" s="106">
        <f>AI33</f>
        <v>0.3</v>
      </c>
      <c r="AK33" s="106">
        <f t="shared" ref="AK33:AO33" si="85">AJ33</f>
        <v>0.3</v>
      </c>
      <c r="AL33" s="106">
        <f t="shared" si="85"/>
        <v>0.3</v>
      </c>
      <c r="AM33" s="106">
        <f t="shared" si="85"/>
        <v>0.3</v>
      </c>
      <c r="AN33" s="106">
        <f t="shared" si="85"/>
        <v>0.3</v>
      </c>
      <c r="AO33" s="106">
        <f t="shared" si="85"/>
        <v>0.3</v>
      </c>
    </row>
    <row r="34" spans="2:41" ht="15" thickBot="1">
      <c r="B34" s="151" t="s">
        <v>3</v>
      </c>
      <c r="C34" s="85"/>
      <c r="D34" s="28">
        <v>-1</v>
      </c>
      <c r="E34" s="28">
        <v>-18</v>
      </c>
      <c r="F34" s="28">
        <v>-3.1450000000000387</v>
      </c>
      <c r="G34" s="28">
        <f t="shared" ref="G34:K34" si="86">G29-G31</f>
        <v>0.58346972632841698</v>
      </c>
      <c r="H34" s="28">
        <f t="shared" si="86"/>
        <v>9.2799913022249712</v>
      </c>
      <c r="I34" s="28">
        <f t="shared" si="86"/>
        <v>27.782696348215325</v>
      </c>
      <c r="J34" s="28">
        <f t="shared" si="86"/>
        <v>64.746639330676715</v>
      </c>
      <c r="K34" s="28">
        <f t="shared" si="86"/>
        <v>135.8980479999999</v>
      </c>
      <c r="L34" s="28">
        <f>L29-L31</f>
        <v>192.80387175395799</v>
      </c>
      <c r="M34" s="28">
        <f t="shared" ref="M34:Q34" si="87">M29-M31</f>
        <v>253.93317044916944</v>
      </c>
      <c r="N34" s="28">
        <f t="shared" si="87"/>
        <v>308.62264070963329</v>
      </c>
      <c r="O34" s="28">
        <f t="shared" si="87"/>
        <v>343.70833472670483</v>
      </c>
      <c r="P34" s="28">
        <f t="shared" si="87"/>
        <v>347.83283474342488</v>
      </c>
      <c r="Q34" s="169">
        <f t="shared" si="87"/>
        <v>352.00682876034602</v>
      </c>
      <c r="R34" s="112"/>
      <c r="S34" s="28">
        <f t="shared" ref="S34:W34" si="88">S29-S31</f>
        <v>5.960747308387198</v>
      </c>
      <c r="T34" s="28">
        <f t="shared" si="88"/>
        <v>26.162937217823952</v>
      </c>
      <c r="U34" s="28">
        <f t="shared" si="88"/>
        <v>67.655067851310832</v>
      </c>
      <c r="V34" s="28">
        <f t="shared" si="88"/>
        <v>148.85434290228284</v>
      </c>
      <c r="W34" s="28">
        <f t="shared" si="88"/>
        <v>330.80819200000008</v>
      </c>
      <c r="X34" s="28">
        <f>X29-X31</f>
        <v>469.33051036558459</v>
      </c>
      <c r="Y34" s="28">
        <f t="shared" ref="Y34:AC34" si="89">Y29-Y31</f>
        <v>618.13377190758183</v>
      </c>
      <c r="Z34" s="28">
        <f t="shared" si="89"/>
        <v>751.26095838712376</v>
      </c>
      <c r="AA34" s="28">
        <f t="shared" si="89"/>
        <v>836.66788787335599</v>
      </c>
      <c r="AB34" s="28">
        <f t="shared" si="89"/>
        <v>846.70790252783627</v>
      </c>
      <c r="AC34" s="28">
        <f t="shared" si="89"/>
        <v>856.86839735817034</v>
      </c>
      <c r="AD34" s="112"/>
      <c r="AE34" s="137">
        <f t="shared" ref="AE34:AI34" si="90">AE29-AE31</f>
        <v>-4.6493699880565345</v>
      </c>
      <c r="AF34" s="28">
        <f t="shared" si="90"/>
        <v>-6.8404719831198406</v>
      </c>
      <c r="AG34" s="28">
        <f t="shared" si="90"/>
        <v>-10.069766772570688</v>
      </c>
      <c r="AH34" s="28">
        <f t="shared" si="90"/>
        <v>-14.832432624401235</v>
      </c>
      <c r="AI34" s="28">
        <f t="shared" si="90"/>
        <v>-21.732339200000069</v>
      </c>
      <c r="AJ34" s="28">
        <f>AJ29-AJ31</f>
        <v>-30.832518948545271</v>
      </c>
      <c r="AK34" s="28">
        <f t="shared" ref="AK34:AO34" si="91">AK29-AK31</f>
        <v>-40.608101996672985</v>
      </c>
      <c r="AL34" s="28">
        <f t="shared" si="91"/>
        <v>-49.353850267970756</v>
      </c>
      <c r="AM34" s="46">
        <f t="shared" si="91"/>
        <v>-54.964631398884194</v>
      </c>
      <c r="AN34" s="46">
        <f t="shared" si="91"/>
        <v>-55.624206975670859</v>
      </c>
      <c r="AO34" s="46">
        <f t="shared" si="91"/>
        <v>-56.291697459379066</v>
      </c>
    </row>
    <row r="35" spans="2:41" ht="15" thickTop="1">
      <c r="B35" s="150" t="s">
        <v>37</v>
      </c>
      <c r="C35" s="42"/>
      <c r="D35" s="30">
        <v>-1.4184397163120567E-2</v>
      </c>
      <c r="E35" s="30">
        <v>-0.11157047845140176</v>
      </c>
      <c r="F35" s="84">
        <v>-1.0909494555659371E-2</v>
      </c>
      <c r="G35" s="30">
        <f t="shared" ref="G35:K35" si="92">G34/G27</f>
        <v>1.3384401902803535E-3</v>
      </c>
      <c r="H35" s="30">
        <f t="shared" si="92"/>
        <v>1.354807206584599E-2</v>
      </c>
      <c r="I35" s="30">
        <f t="shared" si="92"/>
        <v>2.5724701199949154E-2</v>
      </c>
      <c r="J35" s="30">
        <f t="shared" si="92"/>
        <v>3.7873596903074139E-2</v>
      </c>
      <c r="K35" s="30">
        <f t="shared" si="92"/>
        <v>4.9999999999999961E-2</v>
      </c>
      <c r="L35" s="30"/>
      <c r="M35" s="30"/>
      <c r="N35" s="30"/>
      <c r="O35" s="30"/>
      <c r="P35" s="30"/>
      <c r="Q35" s="170"/>
      <c r="R35" s="117"/>
      <c r="S35" s="30">
        <f t="shared" ref="S35:W35" si="93">S34/S27</f>
        <v>1.357140889590517E-2</v>
      </c>
      <c r="T35" s="30">
        <f t="shared" si="93"/>
        <v>3.786042558147909E-2</v>
      </c>
      <c r="U35" s="30">
        <f t="shared" si="93"/>
        <v>6.200024557230515E-2</v>
      </c>
      <c r="V35" s="30">
        <f t="shared" si="93"/>
        <v>8.6032932486418245E-2</v>
      </c>
      <c r="W35" s="30">
        <f t="shared" si="93"/>
        <v>0.11</v>
      </c>
      <c r="X35" s="30"/>
      <c r="Y35" s="30"/>
      <c r="Z35" s="30"/>
      <c r="AA35" s="30"/>
      <c r="AB35" s="30"/>
      <c r="AC35" s="30"/>
      <c r="AD35" s="117"/>
      <c r="AE35" s="135">
        <f t="shared" ref="AE35:AI35" si="94">AE34/AE27</f>
        <v>-1.0726957386682643E-2</v>
      </c>
      <c r="AF35" s="30">
        <f t="shared" si="94"/>
        <v>-1.054473978824913E-2</v>
      </c>
      <c r="AG35" s="30">
        <f t="shared" si="94"/>
        <v>-1.03628413184567E-2</v>
      </c>
      <c r="AH35" s="30">
        <f t="shared" si="94"/>
        <v>-1.0181261535966027E-2</v>
      </c>
      <c r="AI35" s="30">
        <f t="shared" si="94"/>
        <v>-1.0000000000000033E-2</v>
      </c>
      <c r="AJ35" s="30"/>
      <c r="AK35" s="30"/>
      <c r="AL35" s="30"/>
      <c r="AM35" s="30"/>
      <c r="AN35" s="30"/>
      <c r="AO35" s="30"/>
    </row>
    <row r="36" spans="2:41">
      <c r="B36" s="147" t="s">
        <v>86</v>
      </c>
      <c r="C36" s="24">
        <v>0</v>
      </c>
      <c r="D36" s="24">
        <v>0</v>
      </c>
      <c r="E36" s="24">
        <v>24.7</v>
      </c>
      <c r="F36" s="82">
        <v>39.979999999999997</v>
      </c>
      <c r="G36" s="24">
        <f>BS!$S$5*'Model 13%'!G25*(1-BS!$S$9)</f>
        <v>57.245957746076535</v>
      </c>
      <c r="H36" s="24">
        <f>BS!$S$5*'Model 13%'!H25*(1-BS!$S$9)</f>
        <v>89.296079754077098</v>
      </c>
      <c r="I36" s="24">
        <f>BS!$S$5*'Model 13%'!I25*(1-BS!$S$9)</f>
        <v>139.82431299419378</v>
      </c>
      <c r="J36" s="24">
        <f>BS!$S$5*'Model 13%'!J25*(1-BS!$S$9)</f>
        <v>219.88016080578782</v>
      </c>
      <c r="K36" s="24">
        <f>BS!$S$5*'Model 13%'!K25*(1-BS!$S$9)</f>
        <v>284.24124424151051</v>
      </c>
      <c r="L36" s="24">
        <f>BS!$S$5*'Model 13%'!L25*(1-BS!$S$9)</f>
        <v>403.26416168925135</v>
      </c>
      <c r="M36" s="24">
        <f>BS!$S$5*'Model 13%'!M25*(1-BS!$S$9)</f>
        <v>531.1208025788826</v>
      </c>
      <c r="N36" s="24">
        <f>BS!$S$5*'Model 13%'!N25*(1-BS!$S$9)</f>
        <v>645.50804582864066</v>
      </c>
      <c r="O36" s="24">
        <f>BS!$S$5*'Model 13%'!O25*(1-BS!$S$9)</f>
        <v>718.89247974257921</v>
      </c>
      <c r="P36" s="24">
        <f>BS!$S$5*'Model 13%'!P25*(1-BS!$S$9)</f>
        <v>727.51918949949015</v>
      </c>
      <c r="Q36" s="164">
        <f>BS!$S$5*'Model 13%'!Q25*(1-BS!$S$9)</f>
        <v>736.24941977348408</v>
      </c>
      <c r="R36" s="112"/>
      <c r="S36" s="24">
        <f>G36</f>
        <v>57.245957746076535</v>
      </c>
      <c r="T36" s="24">
        <f>H36</f>
        <v>89.296079754077098</v>
      </c>
      <c r="U36" s="24">
        <f>I36</f>
        <v>139.82431299419378</v>
      </c>
      <c r="V36" s="24">
        <f>J36</f>
        <v>219.88016080578782</v>
      </c>
      <c r="W36" s="24">
        <f>K36</f>
        <v>284.24124424151051</v>
      </c>
      <c r="X36" s="24">
        <f>BS!$S$5*'Model 13%'!X25*(1-BS!$S$9)</f>
        <v>446.20042942652026</v>
      </c>
      <c r="Y36" s="24">
        <f>BS!$S$5*'Model 13%'!Y25*(1-BS!$S$9)</f>
        <v>587.67019909563214</v>
      </c>
      <c r="Z36" s="24">
        <f>BS!$S$5*'Model 13%'!Z25*(1-BS!$S$9)</f>
        <v>714.23645989390309</v>
      </c>
      <c r="AA36" s="24">
        <f>BS!$S$5*'Model 13%'!AA25*(1-BS!$S$9)</f>
        <v>795.43426777362652</v>
      </c>
      <c r="AB36" s="24">
        <f>BS!$S$5*'Model 13%'!AB25*(1-BS!$S$9)</f>
        <v>804.97947898690984</v>
      </c>
      <c r="AC36" s="24">
        <f>BS!$S$5*'Model 13%'!AC25*(1-BS!$S$9)</f>
        <v>814.6392327347528</v>
      </c>
      <c r="AD36" s="112"/>
      <c r="AE36" s="133">
        <f>BS!$S$5*'Model 13%'!AE25*(1-BS!$S$9)</f>
        <v>55.072447862548813</v>
      </c>
      <c r="AF36" s="24">
        <f>BS!$S$5*'Model 13%'!AF25*(1-BS!$S$9)</f>
        <v>82.426532275961904</v>
      </c>
      <c r="AG36" s="24">
        <f>BS!$S$5*'Model 13%'!AG25*(1-BS!$S$9)</f>
        <v>123.46884678320906</v>
      </c>
      <c r="AH36" s="24">
        <f>BS!$S$5*'Model 13%'!AH25*(1-BS!$S$9)</f>
        <v>185.10903571163144</v>
      </c>
      <c r="AI36" s="24">
        <f>BS!$S$5*'Model 13%'!AI25*(1-BS!$S$9)</f>
        <v>227.27431428914093</v>
      </c>
      <c r="AJ36" s="24">
        <f>BS!$S$5*'Model 13%'!AJ25*(1-BS!$S$9)</f>
        <v>322.44295183086268</v>
      </c>
      <c r="AK36" s="24">
        <f>BS!$S$5*'Model 13%'!AK25*(1-BS!$S$9)</f>
        <v>424.67487972382463</v>
      </c>
      <c r="AL36" s="24">
        <f>BS!$S$5*'Model 13%'!AL25*(1-BS!$S$9)</f>
        <v>516.13691347049962</v>
      </c>
      <c r="AM36" s="24">
        <f>BS!$S$5*'Model 13%'!AM25*(1-BS!$S$9)</f>
        <v>574.81381991943169</v>
      </c>
      <c r="AN36" s="24">
        <f>BS!$S$5*'Model 13%'!AN25*(1-BS!$S$9)</f>
        <v>581.71158575846482</v>
      </c>
      <c r="AO36" s="24">
        <f>BS!$S$5*'Model 13%'!AO25*(1-BS!$S$9)</f>
        <v>588.6921247875664</v>
      </c>
    </row>
    <row r="37" spans="2:41">
      <c r="B37" s="147" t="s">
        <v>87</v>
      </c>
      <c r="C37" s="24"/>
      <c r="D37" s="24"/>
      <c r="E37" s="24">
        <v>2.6</v>
      </c>
      <c r="F37" s="82">
        <v>8.1</v>
      </c>
      <c r="G37" s="24">
        <f t="shared" ref="G37:Q37" si="95">G42+F37</f>
        <v>15.03725446748545</v>
      </c>
      <c r="H37" s="24">
        <f t="shared" si="95"/>
        <v>25.858448707097331</v>
      </c>
      <c r="I37" s="24">
        <f t="shared" si="95"/>
        <v>42.802821343583361</v>
      </c>
      <c r="J37" s="24">
        <f t="shared" si="95"/>
        <v>69.448626356181208</v>
      </c>
      <c r="K37" s="24">
        <f t="shared" si="95"/>
        <v>103.89392029648891</v>
      </c>
      <c r="L37" s="24">
        <f t="shared" si="95"/>
        <v>152.76280497240771</v>
      </c>
      <c r="M37" s="24">
        <f t="shared" si="95"/>
        <v>217.1257802030446</v>
      </c>
      <c r="N37" s="24">
        <f t="shared" si="95"/>
        <v>295.35057984017624</v>
      </c>
      <c r="O37" s="24">
        <f t="shared" si="95"/>
        <v>382.46834785546821</v>
      </c>
      <c r="P37" s="24">
        <f t="shared" si="95"/>
        <v>470.63152908694366</v>
      </c>
      <c r="Q37" s="164">
        <f t="shared" si="95"/>
        <v>559.8526684931968</v>
      </c>
      <c r="R37" s="112"/>
      <c r="S37" s="24">
        <f>G37</f>
        <v>15.03725446748545</v>
      </c>
      <c r="T37" s="24">
        <f>T42+S37</f>
        <v>25.858448707097331</v>
      </c>
      <c r="U37" s="24">
        <f>U42+T37</f>
        <v>42.802821343583361</v>
      </c>
      <c r="V37" s="24">
        <f>V42+U37</f>
        <v>69.448626356181208</v>
      </c>
      <c r="W37" s="24">
        <f>W42+V37</f>
        <v>103.89392029648891</v>
      </c>
      <c r="X37" s="24">
        <f t="shared" ref="X37:AC37" si="96">X42+W37</f>
        <v>157.96596388362244</v>
      </c>
      <c r="Y37" s="24">
        <f t="shared" si="96"/>
        <v>229.18178198850251</v>
      </c>
      <c r="Z37" s="24">
        <f t="shared" si="96"/>
        <v>315.73531812144563</v>
      </c>
      <c r="AA37" s="24">
        <f t="shared" si="96"/>
        <v>412.12867312792736</v>
      </c>
      <c r="AB37" s="24">
        <f t="shared" si="96"/>
        <v>509.67874839448683</v>
      </c>
      <c r="AC37" s="24">
        <f t="shared" si="96"/>
        <v>608.39942456424501</v>
      </c>
      <c r="AD37" s="112"/>
      <c r="AE37" s="133">
        <f>AE42+F37</f>
        <v>15.03725446748545</v>
      </c>
      <c r="AF37" s="24">
        <f>AF42+AE37</f>
        <v>25.858448707097331</v>
      </c>
      <c r="AG37" s="24">
        <f t="shared" ref="AG37:AO37" si="97">AG42+AF37</f>
        <v>42.802821343583361</v>
      </c>
      <c r="AH37" s="24">
        <f t="shared" si="97"/>
        <v>69.448626356181208</v>
      </c>
      <c r="AI37" s="24">
        <f t="shared" si="97"/>
        <v>103.89392029648891</v>
      </c>
      <c r="AJ37" s="24">
        <f t="shared" si="97"/>
        <v>142.96862349247408</v>
      </c>
      <c r="AK37" s="24">
        <f t="shared" si="97"/>
        <v>194.4321297833591</v>
      </c>
      <c r="AL37" s="24">
        <f t="shared" si="97"/>
        <v>256.97930778131609</v>
      </c>
      <c r="AM37" s="24">
        <f t="shared" si="97"/>
        <v>326.63714734260378</v>
      </c>
      <c r="AN37" s="24">
        <f t="shared" si="97"/>
        <v>397.13088097862692</v>
      </c>
      <c r="AO37" s="24">
        <f t="shared" si="97"/>
        <v>468.47053941828233</v>
      </c>
    </row>
    <row r="38" spans="2:41" ht="15" thickBot="1">
      <c r="B38" s="151" t="s">
        <v>44</v>
      </c>
      <c r="C38" s="27"/>
      <c r="D38" s="27">
        <v>-1</v>
      </c>
      <c r="E38" s="28">
        <v>-20.6</v>
      </c>
      <c r="F38" s="89">
        <v>-8.6450000000000387</v>
      </c>
      <c r="G38" s="28">
        <f t="shared" ref="G38:AO38" si="98">G34-G42</f>
        <v>-6.3537847411570327</v>
      </c>
      <c r="H38" s="28">
        <f t="shared" si="98"/>
        <v>-1.5412029373869078</v>
      </c>
      <c r="I38" s="28">
        <f t="shared" si="98"/>
        <v>10.838323711729299</v>
      </c>
      <c r="J38" s="28">
        <f t="shared" si="98"/>
        <v>38.100834318078867</v>
      </c>
      <c r="K38" s="28">
        <f t="shared" si="98"/>
        <v>101.45275405969218</v>
      </c>
      <c r="L38" s="28">
        <f t="shared" si="98"/>
        <v>143.93498707803923</v>
      </c>
      <c r="M38" s="28">
        <f t="shared" si="98"/>
        <v>189.57019521853255</v>
      </c>
      <c r="N38" s="28">
        <f t="shared" si="98"/>
        <v>230.39784107250168</v>
      </c>
      <c r="O38" s="28">
        <f t="shared" si="98"/>
        <v>256.59056671141286</v>
      </c>
      <c r="P38" s="28">
        <f t="shared" si="98"/>
        <v>259.66965351194943</v>
      </c>
      <c r="Q38" s="169">
        <f t="shared" si="98"/>
        <v>262.78568935409288</v>
      </c>
      <c r="R38" s="112"/>
      <c r="S38" s="28">
        <f t="shared" si="98"/>
        <v>-0.9765071590982517</v>
      </c>
      <c r="T38" s="28">
        <f t="shared" si="98"/>
        <v>15.341742978212073</v>
      </c>
      <c r="U38" s="28">
        <f t="shared" si="98"/>
        <v>50.71069521482481</v>
      </c>
      <c r="V38" s="28">
        <f t="shared" si="98"/>
        <v>122.20853788968499</v>
      </c>
      <c r="W38" s="28">
        <f t="shared" si="98"/>
        <v>296.36289805969238</v>
      </c>
      <c r="X38" s="28">
        <f t="shared" si="98"/>
        <v>415.25846677845107</v>
      </c>
      <c r="Y38" s="28">
        <f t="shared" si="98"/>
        <v>546.91795380270173</v>
      </c>
      <c r="Z38" s="28">
        <f t="shared" si="98"/>
        <v>664.70742225418064</v>
      </c>
      <c r="AA38" s="28">
        <f t="shared" si="98"/>
        <v>740.27453286687432</v>
      </c>
      <c r="AB38" s="28">
        <f t="shared" si="98"/>
        <v>749.15782726127679</v>
      </c>
      <c r="AC38" s="28">
        <f t="shared" si="98"/>
        <v>758.14772118841211</v>
      </c>
      <c r="AD38" s="112"/>
      <c r="AE38" s="137">
        <f t="shared" si="98"/>
        <v>-11.586624455541983</v>
      </c>
      <c r="AF38" s="28">
        <f t="shared" si="98"/>
        <v>-17.661666222731718</v>
      </c>
      <c r="AG38" s="28">
        <f t="shared" si="98"/>
        <v>-27.014139409056714</v>
      </c>
      <c r="AH38" s="28">
        <f t="shared" si="98"/>
        <v>-41.478237636999083</v>
      </c>
      <c r="AI38" s="28">
        <f t="shared" si="98"/>
        <v>-56.177633140307783</v>
      </c>
      <c r="AJ38" s="28">
        <f t="shared" si="98"/>
        <v>-69.907222144530422</v>
      </c>
      <c r="AK38" s="28">
        <f t="shared" si="98"/>
        <v>-92.071608287558007</v>
      </c>
      <c r="AL38" s="28">
        <f t="shared" si="98"/>
        <v>-111.90102826592775</v>
      </c>
      <c r="AM38" s="28">
        <f t="shared" si="98"/>
        <v>-124.6224709601719</v>
      </c>
      <c r="AN38" s="28">
        <f t="shared" si="98"/>
        <v>-126.11794061169401</v>
      </c>
      <c r="AO38" s="28">
        <f t="shared" si="98"/>
        <v>-127.63135589903449</v>
      </c>
    </row>
    <row r="39" spans="2:41" ht="15" thickTop="1">
      <c r="B39" s="150" t="s">
        <v>37</v>
      </c>
      <c r="C39" s="42"/>
      <c r="D39" s="30">
        <v>-1.4184397163120567E-2</v>
      </c>
      <c r="E39" s="30">
        <v>-0.12768621422771537</v>
      </c>
      <c r="F39" s="84">
        <v>-2.9988101886700962E-2</v>
      </c>
      <c r="G39" s="30">
        <f t="shared" ref="G39:AI39" si="99">G38/G27</f>
        <v>-1.4575153558469112E-2</v>
      </c>
      <c r="H39" s="30">
        <f t="shared" si="99"/>
        <v>-2.2500375036779486E-3</v>
      </c>
      <c r="I39" s="30">
        <f t="shared" si="99"/>
        <v>1.0035478036330699E-2</v>
      </c>
      <c r="J39" s="30">
        <f t="shared" si="99"/>
        <v>2.2287112590723104E-2</v>
      </c>
      <c r="K39" s="30">
        <f t="shared" si="99"/>
        <v>3.7326788556849677E-2</v>
      </c>
      <c r="L39" s="30"/>
      <c r="M39" s="30"/>
      <c r="N39" s="30"/>
      <c r="O39" s="30"/>
      <c r="P39" s="30"/>
      <c r="Q39" s="170"/>
      <c r="R39" s="117"/>
      <c r="S39" s="30">
        <f t="shared" si="99"/>
        <v>-2.2233081290417684E-3</v>
      </c>
      <c r="T39" s="30">
        <f t="shared" si="99"/>
        <v>2.2201059211389575E-2</v>
      </c>
      <c r="U39" s="30">
        <f t="shared" si="99"/>
        <v>4.6472136623546975E-2</v>
      </c>
      <c r="V39" s="30">
        <f t="shared" si="99"/>
        <v>7.0632530328182397E-2</v>
      </c>
      <c r="W39" s="30">
        <f t="shared" si="99"/>
        <v>9.8546286261756655E-2</v>
      </c>
      <c r="X39" s="30"/>
      <c r="Y39" s="30"/>
      <c r="Z39" s="30"/>
      <c r="AA39" s="30"/>
      <c r="AB39" s="30"/>
      <c r="AC39" s="30"/>
      <c r="AD39" s="117"/>
      <c r="AE39" s="135">
        <f t="shared" si="99"/>
        <v>-2.6732487865962998E-2</v>
      </c>
      <c r="AF39" s="30">
        <f t="shared" si="99"/>
        <v>-2.7225851520946445E-2</v>
      </c>
      <c r="AG39" s="30">
        <f t="shared" si="99"/>
        <v>-2.7800369797368829E-2</v>
      </c>
      <c r="AH39" s="30">
        <f t="shared" si="99"/>
        <v>-2.8471444713559578E-2</v>
      </c>
      <c r="AI39" s="30">
        <f t="shared" si="99"/>
        <v>-2.5849786635167092E-2</v>
      </c>
      <c r="AJ39" s="30"/>
      <c r="AK39" s="30"/>
      <c r="AL39" s="30"/>
      <c r="AM39" s="30"/>
      <c r="AN39" s="30"/>
      <c r="AO39" s="30"/>
    </row>
    <row r="40" spans="2:41">
      <c r="B40" s="150" t="s">
        <v>125</v>
      </c>
      <c r="C40" s="42"/>
      <c r="D40" s="30">
        <v>0</v>
      </c>
      <c r="E40" s="30">
        <v>0</v>
      </c>
      <c r="F40" s="84">
        <v>0</v>
      </c>
      <c r="G40" s="71">
        <f>BS!S26</f>
        <v>0.26600000000000001</v>
      </c>
      <c r="H40" s="71">
        <f>G40</f>
        <v>0.26600000000000001</v>
      </c>
      <c r="I40" s="71">
        <f t="shared" ref="I40:Q40" si="100">H40</f>
        <v>0.26600000000000001</v>
      </c>
      <c r="J40" s="71">
        <f t="shared" si="100"/>
        <v>0.26600000000000001</v>
      </c>
      <c r="K40" s="71">
        <f t="shared" si="100"/>
        <v>0.26600000000000001</v>
      </c>
      <c r="L40" s="71">
        <f t="shared" si="100"/>
        <v>0.26600000000000001</v>
      </c>
      <c r="M40" s="71">
        <f t="shared" si="100"/>
        <v>0.26600000000000001</v>
      </c>
      <c r="N40" s="71">
        <f t="shared" si="100"/>
        <v>0.26600000000000001</v>
      </c>
      <c r="O40" s="71">
        <f t="shared" si="100"/>
        <v>0.26600000000000001</v>
      </c>
      <c r="P40" s="71">
        <f t="shared" si="100"/>
        <v>0.26600000000000001</v>
      </c>
      <c r="Q40" s="175">
        <f t="shared" si="100"/>
        <v>0.26600000000000001</v>
      </c>
      <c r="R40" s="122"/>
      <c r="S40" s="71">
        <v>0.26600000000000001</v>
      </c>
      <c r="T40" s="71">
        <v>0.26600000000000001</v>
      </c>
      <c r="U40" s="71">
        <v>0.26600000000000001</v>
      </c>
      <c r="V40" s="71">
        <v>0.26600000000000001</v>
      </c>
      <c r="W40" s="71">
        <v>0.26600000000000001</v>
      </c>
      <c r="X40" s="71">
        <f t="shared" ref="X40:AC40" si="101">W40</f>
        <v>0.26600000000000001</v>
      </c>
      <c r="Y40" s="71">
        <f t="shared" si="101"/>
        <v>0.26600000000000001</v>
      </c>
      <c r="Z40" s="71">
        <f t="shared" si="101"/>
        <v>0.26600000000000001</v>
      </c>
      <c r="AA40" s="71">
        <f t="shared" si="101"/>
        <v>0.26600000000000001</v>
      </c>
      <c r="AB40" s="71">
        <f t="shared" si="101"/>
        <v>0.26600000000000001</v>
      </c>
      <c r="AC40" s="71">
        <f t="shared" si="101"/>
        <v>0.26600000000000001</v>
      </c>
      <c r="AD40" s="122"/>
      <c r="AE40" s="141">
        <v>0.26600000000000001</v>
      </c>
      <c r="AF40" s="71">
        <v>0.26600000000000001</v>
      </c>
      <c r="AG40" s="71">
        <v>0.26600000000000001</v>
      </c>
      <c r="AH40" s="71">
        <v>0.26600000000000001</v>
      </c>
      <c r="AI40" s="71">
        <v>0.26600000000000001</v>
      </c>
      <c r="AJ40" s="71">
        <f t="shared" ref="AJ40:AO40" si="102">AI40</f>
        <v>0.26600000000000001</v>
      </c>
      <c r="AK40" s="71">
        <f t="shared" si="102"/>
        <v>0.26600000000000001</v>
      </c>
      <c r="AL40" s="71">
        <f t="shared" si="102"/>
        <v>0.26600000000000001</v>
      </c>
      <c r="AM40" s="71">
        <f t="shared" si="102"/>
        <v>0.26600000000000001</v>
      </c>
      <c r="AN40" s="71">
        <f t="shared" si="102"/>
        <v>0.26600000000000001</v>
      </c>
      <c r="AO40" s="71">
        <f t="shared" si="102"/>
        <v>0.26600000000000001</v>
      </c>
    </row>
    <row r="41" spans="2:41" ht="15" thickBot="1">
      <c r="B41" s="152" t="s">
        <v>38</v>
      </c>
      <c r="C41" s="26"/>
      <c r="D41" s="69">
        <v>-1</v>
      </c>
      <c r="E41" s="69">
        <v>-20.6</v>
      </c>
      <c r="F41" s="90">
        <v>-8.6450000000000387</v>
      </c>
      <c r="G41" s="37">
        <f t="shared" ref="G41:Q41" si="103">G38*(1-G40)</f>
        <v>-4.6636780000092619</v>
      </c>
      <c r="H41" s="37">
        <f t="shared" si="103"/>
        <v>-1.1312429560419903</v>
      </c>
      <c r="I41" s="37">
        <f t="shared" si="103"/>
        <v>7.9553296044093047</v>
      </c>
      <c r="J41" s="37">
        <f t="shared" si="103"/>
        <v>27.966012389469888</v>
      </c>
      <c r="K41" s="37">
        <f t="shared" si="103"/>
        <v>74.466321479814056</v>
      </c>
      <c r="L41" s="37">
        <f t="shared" si="103"/>
        <v>105.64828051528079</v>
      </c>
      <c r="M41" s="37">
        <f t="shared" si="103"/>
        <v>139.14452329040287</v>
      </c>
      <c r="N41" s="37">
        <f t="shared" si="103"/>
        <v>169.11201534721621</v>
      </c>
      <c r="O41" s="37">
        <f t="shared" si="103"/>
        <v>188.33747596617704</v>
      </c>
      <c r="P41" s="37">
        <f t="shared" si="103"/>
        <v>190.59752567777088</v>
      </c>
      <c r="Q41" s="66">
        <f t="shared" si="103"/>
        <v>192.88469598590416</v>
      </c>
      <c r="R41" s="121"/>
      <c r="S41" s="37">
        <f t="shared" ref="S41:AC41" si="104">S38*(1-S40)</f>
        <v>-0.71675625477811677</v>
      </c>
      <c r="T41" s="37">
        <f t="shared" si="104"/>
        <v>11.260839346007661</v>
      </c>
      <c r="U41" s="37">
        <f t="shared" si="104"/>
        <v>37.221650287681406</v>
      </c>
      <c r="V41" s="37">
        <f t="shared" si="104"/>
        <v>89.701066811028781</v>
      </c>
      <c r="W41" s="37">
        <f t="shared" si="104"/>
        <v>217.53036717581421</v>
      </c>
      <c r="X41" s="37">
        <f t="shared" si="104"/>
        <v>304.7997146153831</v>
      </c>
      <c r="Y41" s="37">
        <f t="shared" si="104"/>
        <v>401.43777809118308</v>
      </c>
      <c r="Z41" s="37">
        <f t="shared" si="104"/>
        <v>487.8952479345686</v>
      </c>
      <c r="AA41" s="37">
        <f t="shared" si="104"/>
        <v>543.36150712428571</v>
      </c>
      <c r="AB41" s="37">
        <f t="shared" si="104"/>
        <v>549.88184520977711</v>
      </c>
      <c r="AC41" s="37">
        <f t="shared" si="104"/>
        <v>556.48042735229444</v>
      </c>
      <c r="AD41" s="121"/>
      <c r="AE41" s="142">
        <f t="shared" ref="AE41:AO41" si="105">AE38*(1-AE40)</f>
        <v>-8.5045823503678157</v>
      </c>
      <c r="AF41" s="37">
        <f t="shared" si="105"/>
        <v>-12.963663007485081</v>
      </c>
      <c r="AG41" s="37">
        <f t="shared" si="105"/>
        <v>-19.828378326247627</v>
      </c>
      <c r="AH41" s="37">
        <f t="shared" si="105"/>
        <v>-30.445026425557327</v>
      </c>
      <c r="AI41" s="37">
        <f t="shared" si="105"/>
        <v>-41.234382724985913</v>
      </c>
      <c r="AJ41" s="37">
        <f t="shared" si="105"/>
        <v>-51.311901054085332</v>
      </c>
      <c r="AK41" s="37">
        <f t="shared" si="105"/>
        <v>-67.580560483067572</v>
      </c>
      <c r="AL41" s="37">
        <f t="shared" si="105"/>
        <v>-82.135354747190974</v>
      </c>
      <c r="AM41" s="37">
        <f t="shared" si="105"/>
        <v>-91.472893684766163</v>
      </c>
      <c r="AN41" s="37">
        <f t="shared" si="105"/>
        <v>-92.570568408983405</v>
      </c>
      <c r="AO41" s="37">
        <f t="shared" si="105"/>
        <v>-93.681415229891314</v>
      </c>
    </row>
    <row r="42" spans="2:41" ht="15" thickTop="1">
      <c r="B42" s="147" t="s">
        <v>169</v>
      </c>
      <c r="C42" s="32"/>
      <c r="D42" s="24">
        <v>0</v>
      </c>
      <c r="E42" s="24">
        <v>2.6</v>
      </c>
      <c r="F42" s="82">
        <v>5.5</v>
      </c>
      <c r="G42" s="24">
        <f>(G36/(1-BS!$S$9))*BS!$S$9</f>
        <v>6.9372544674854497</v>
      </c>
      <c r="H42" s="24">
        <f>(H36/(1-BS!$S$9))*BS!$S$9</f>
        <v>10.821194239611879</v>
      </c>
      <c r="I42" s="24">
        <f>(I36/(1-BS!$S$9))*BS!$S$9</f>
        <v>16.944372636486026</v>
      </c>
      <c r="J42" s="24">
        <f>(J36/(1-BS!$S$9))*BS!$S$9</f>
        <v>26.645805012597844</v>
      </c>
      <c r="K42" s="24">
        <f>(K36/(1-BS!$S$9))*BS!$S$9</f>
        <v>34.445293940307714</v>
      </c>
      <c r="L42" s="24">
        <f>(L36/(1-BS!$S$9))*BS!$S$9</f>
        <v>48.868884675918778</v>
      </c>
      <c r="M42" s="24">
        <f>(M36/(1-BS!$S$9))*BS!$S$9</f>
        <v>64.362975230636906</v>
      </c>
      <c r="N42" s="24">
        <f>(N36/(1-BS!$S$9))*BS!$S$9</f>
        <v>78.224799637131611</v>
      </c>
      <c r="O42" s="24">
        <f>(O36/(1-BS!$S$9))*BS!$S$9</f>
        <v>87.117768015291944</v>
      </c>
      <c r="P42" s="24">
        <f>(P36/(1-BS!$S$9))*BS!$S$9</f>
        <v>88.163181231475448</v>
      </c>
      <c r="Q42" s="164">
        <f>(Q36/(1-BS!$S$9))*BS!$S$9</f>
        <v>89.221139406253158</v>
      </c>
      <c r="R42" s="112"/>
      <c r="S42" s="24">
        <f t="shared" ref="S42:W47" si="106">G42</f>
        <v>6.9372544674854497</v>
      </c>
      <c r="T42" s="24">
        <f t="shared" si="106"/>
        <v>10.821194239611879</v>
      </c>
      <c r="U42" s="24">
        <f t="shared" si="106"/>
        <v>16.944372636486026</v>
      </c>
      <c r="V42" s="24">
        <f t="shared" si="106"/>
        <v>26.645805012597844</v>
      </c>
      <c r="W42" s="24">
        <f t="shared" si="106"/>
        <v>34.445293940307714</v>
      </c>
      <c r="X42" s="24">
        <f>(X36/(1-BS!$S$9))*BS!$S$9</f>
        <v>54.072043587133514</v>
      </c>
      <c r="Y42" s="24">
        <f>(Y36/(1-BS!$S$9))*BS!$S$9</f>
        <v>71.215818104880086</v>
      </c>
      <c r="Z42" s="24">
        <f>(Z36/(1-BS!$S$9))*BS!$S$9</f>
        <v>86.553536132943137</v>
      </c>
      <c r="AA42" s="24">
        <f>(AA36/(1-BS!$S$9))*BS!$S$9</f>
        <v>96.393355006481713</v>
      </c>
      <c r="AB42" s="24">
        <f>(AB36/(1-BS!$S$9))*BS!$S$9</f>
        <v>97.550075266559475</v>
      </c>
      <c r="AC42" s="24">
        <f>(AC36/(1-BS!$S$9))*BS!$S$9</f>
        <v>98.720676169758207</v>
      </c>
      <c r="AD42" s="112"/>
      <c r="AE42" s="133">
        <f>S42</f>
        <v>6.9372544674854497</v>
      </c>
      <c r="AF42" s="24">
        <f t="shared" ref="AF42:AI47" si="107">T42</f>
        <v>10.821194239611879</v>
      </c>
      <c r="AG42" s="24">
        <f t="shared" si="107"/>
        <v>16.944372636486026</v>
      </c>
      <c r="AH42" s="24">
        <f t="shared" si="107"/>
        <v>26.645805012597844</v>
      </c>
      <c r="AI42" s="24">
        <f t="shared" si="107"/>
        <v>34.445293940307714</v>
      </c>
      <c r="AJ42" s="24">
        <f>(AJ36/(1-BS!$S$9))*BS!$S$9</f>
        <v>39.074703195985151</v>
      </c>
      <c r="AK42" s="24">
        <f>(AK36/(1-BS!$S$9))*BS!$S$9</f>
        <v>51.463506290885029</v>
      </c>
      <c r="AL42" s="24">
        <f>(AL36/(1-BS!$S$9))*BS!$S$9</f>
        <v>62.547177997956993</v>
      </c>
      <c r="AM42" s="24">
        <f>(AM36/(1-BS!$S$9))*BS!$S$9</f>
        <v>69.657839561287702</v>
      </c>
      <c r="AN42" s="24">
        <f>(AN36/(1-BS!$S$9))*BS!$S$9</f>
        <v>70.493733636023151</v>
      </c>
      <c r="AO42" s="24">
        <f>(AO36/(1-BS!$S$9))*BS!$S$9</f>
        <v>71.339658439655423</v>
      </c>
    </row>
    <row r="43" spans="2:41">
      <c r="B43" s="150" t="s">
        <v>39</v>
      </c>
      <c r="C43" s="42"/>
      <c r="D43" s="42"/>
      <c r="E43" s="30">
        <v>1.6115735776313589E-2</v>
      </c>
      <c r="F43" s="84">
        <v>1.9078607331041591E-2</v>
      </c>
      <c r="G43" s="30">
        <f t="shared" ref="G43:K43" si="108">G42/G27</f>
        <v>1.5913593748749465E-2</v>
      </c>
      <c r="H43" s="30">
        <f t="shared" si="108"/>
        <v>1.5798109569523936E-2</v>
      </c>
      <c r="I43" s="30">
        <f t="shared" si="108"/>
        <v>1.5689223163618451E-2</v>
      </c>
      <c r="J43" s="30">
        <f t="shared" si="108"/>
        <v>1.5586484312351033E-2</v>
      </c>
      <c r="K43" s="30">
        <f t="shared" si="108"/>
        <v>1.2673211443150275E-2</v>
      </c>
      <c r="L43" s="30"/>
      <c r="M43" s="30"/>
      <c r="N43" s="30"/>
      <c r="O43" s="30"/>
      <c r="P43" s="30"/>
      <c r="Q43" s="170"/>
      <c r="R43" s="117"/>
      <c r="S43" s="30">
        <f t="shared" si="106"/>
        <v>1.5913593748749465E-2</v>
      </c>
      <c r="T43" s="30">
        <f t="shared" si="106"/>
        <v>1.5798109569523936E-2</v>
      </c>
      <c r="U43" s="30">
        <f t="shared" si="106"/>
        <v>1.5689223163618451E-2</v>
      </c>
      <c r="V43" s="30">
        <f t="shared" si="106"/>
        <v>1.5586484312351033E-2</v>
      </c>
      <c r="W43" s="30">
        <f t="shared" si="106"/>
        <v>1.2673211443150275E-2</v>
      </c>
      <c r="X43" s="30"/>
      <c r="Y43" s="30"/>
      <c r="Z43" s="30"/>
      <c r="AA43" s="30"/>
      <c r="AB43" s="30"/>
      <c r="AC43" s="30"/>
      <c r="AD43" s="117"/>
      <c r="AE43" s="135">
        <f t="shared" ref="AE43:AE47" si="109">S43</f>
        <v>1.5913593748749465E-2</v>
      </c>
      <c r="AF43" s="30">
        <f t="shared" si="107"/>
        <v>1.5798109569523936E-2</v>
      </c>
      <c r="AG43" s="30">
        <f t="shared" si="107"/>
        <v>1.5689223163618451E-2</v>
      </c>
      <c r="AH43" s="30">
        <f t="shared" si="107"/>
        <v>1.5586484312351033E-2</v>
      </c>
      <c r="AI43" s="30">
        <f t="shared" si="107"/>
        <v>1.2673211443150275E-2</v>
      </c>
      <c r="AJ43" s="30"/>
      <c r="AK43" s="30"/>
      <c r="AL43" s="30"/>
      <c r="AM43" s="30"/>
      <c r="AN43" s="30"/>
      <c r="AO43" s="30"/>
    </row>
    <row r="44" spans="2:41">
      <c r="B44" s="147" t="s">
        <v>40</v>
      </c>
      <c r="C44" s="32"/>
      <c r="D44" s="32"/>
      <c r="E44" s="24">
        <v>27.3</v>
      </c>
      <c r="F44" s="82">
        <v>20.779999999999998</v>
      </c>
      <c r="G44" s="24">
        <f t="shared" ref="G44:P44" si="110">G36-F36+G42</f>
        <v>24.203212213561986</v>
      </c>
      <c r="H44" s="24">
        <f t="shared" si="110"/>
        <v>42.871316247612441</v>
      </c>
      <c r="I44" s="24">
        <f t="shared" si="110"/>
        <v>67.472605876602699</v>
      </c>
      <c r="J44" s="24">
        <f t="shared" si="110"/>
        <v>106.7016528241919</v>
      </c>
      <c r="K44" s="37">
        <f t="shared" si="110"/>
        <v>98.806377376030412</v>
      </c>
      <c r="L44" s="37">
        <f t="shared" si="110"/>
        <v>167.8918021236596</v>
      </c>
      <c r="M44" s="37">
        <f t="shared" si="110"/>
        <v>192.21961612026814</v>
      </c>
      <c r="N44" s="37">
        <f t="shared" si="110"/>
        <v>192.61204288688967</v>
      </c>
      <c r="O44" s="37">
        <f t="shared" si="110"/>
        <v>160.50220192923049</v>
      </c>
      <c r="P44" s="37">
        <f t="shared" si="110"/>
        <v>96.789890988386389</v>
      </c>
      <c r="Q44" s="176">
        <f>AVERAGE(L44:P44)</f>
        <v>162.00311080968686</v>
      </c>
      <c r="R44" s="121"/>
      <c r="S44" s="24">
        <f t="shared" si="106"/>
        <v>24.203212213561986</v>
      </c>
      <c r="T44" s="24">
        <f t="shared" si="106"/>
        <v>42.871316247612441</v>
      </c>
      <c r="U44" s="24">
        <f t="shared" si="106"/>
        <v>67.472605876602699</v>
      </c>
      <c r="V44" s="24">
        <f t="shared" si="106"/>
        <v>106.7016528241919</v>
      </c>
      <c r="W44" s="24">
        <f t="shared" si="106"/>
        <v>98.806377376030412</v>
      </c>
      <c r="X44" s="37">
        <f t="shared" ref="X44:AB44" si="111">X36-W36+X42</f>
        <v>216.03122877214327</v>
      </c>
      <c r="Y44" s="37">
        <f t="shared" si="111"/>
        <v>212.68558777399198</v>
      </c>
      <c r="Z44" s="37">
        <f t="shared" si="111"/>
        <v>213.11979693121407</v>
      </c>
      <c r="AA44" s="37">
        <f t="shared" si="111"/>
        <v>177.59116288620515</v>
      </c>
      <c r="AB44" s="37">
        <f t="shared" si="111"/>
        <v>107.0952864798428</v>
      </c>
      <c r="AC44" s="176">
        <f>AVERAGE(X44:AB44)</f>
        <v>185.30461256867949</v>
      </c>
      <c r="AD44" s="121"/>
      <c r="AE44" s="142">
        <f>AE36-F36+AE42</f>
        <v>22.029702330034265</v>
      </c>
      <c r="AF44" s="37">
        <f t="shared" ref="AF44:AN44" si="112">AF36-AE36+AF42</f>
        <v>38.175278653024968</v>
      </c>
      <c r="AG44" s="37">
        <f t="shared" si="112"/>
        <v>57.986687143733178</v>
      </c>
      <c r="AH44" s="37">
        <f t="shared" si="112"/>
        <v>88.285993941020223</v>
      </c>
      <c r="AI44" s="37">
        <f t="shared" si="112"/>
        <v>76.610572517817218</v>
      </c>
      <c r="AJ44" s="37">
        <f t="shared" si="112"/>
        <v>134.24334073770689</v>
      </c>
      <c r="AK44" s="37">
        <f t="shared" si="112"/>
        <v>153.69543418384697</v>
      </c>
      <c r="AL44" s="37">
        <f t="shared" si="112"/>
        <v>154.00921174463198</v>
      </c>
      <c r="AM44" s="37">
        <f t="shared" si="112"/>
        <v>128.33474601021976</v>
      </c>
      <c r="AN44" s="37">
        <f t="shared" si="112"/>
        <v>77.391499475056278</v>
      </c>
      <c r="AO44" s="176">
        <f>AVERAGE(AJ44:AN44)</f>
        <v>129.53484643029239</v>
      </c>
    </row>
    <row r="45" spans="2:41">
      <c r="B45" s="150" t="s">
        <v>41</v>
      </c>
      <c r="C45" s="42"/>
      <c r="D45" s="42"/>
      <c r="E45" s="30">
        <v>0.16921522565129268</v>
      </c>
      <c r="F45" s="84">
        <v>7.2082447334371677E-2</v>
      </c>
      <c r="G45" s="30">
        <f t="shared" ref="G45:K45" si="113">G44/G27</f>
        <v>5.5520536025688835E-2</v>
      </c>
      <c r="H45" s="30">
        <f t="shared" si="113"/>
        <v>6.2588817506872993E-2</v>
      </c>
      <c r="I45" s="30">
        <f t="shared" si="113"/>
        <v>6.2474592228303809E-2</v>
      </c>
      <c r="J45" s="30">
        <f t="shared" si="113"/>
        <v>6.2415214592311856E-2</v>
      </c>
      <c r="K45" s="30">
        <f t="shared" si="113"/>
        <v>3.6353126049327215E-2</v>
      </c>
      <c r="L45" s="30"/>
      <c r="M45" s="30"/>
      <c r="N45" s="30"/>
      <c r="O45" s="30"/>
      <c r="P45" s="30"/>
      <c r="Q45" s="170"/>
      <c r="R45" s="117"/>
      <c r="S45" s="30">
        <f t="shared" si="106"/>
        <v>5.5520536025688835E-2</v>
      </c>
      <c r="T45" s="30">
        <f t="shared" si="106"/>
        <v>6.2588817506872993E-2</v>
      </c>
      <c r="U45" s="30">
        <f t="shared" si="106"/>
        <v>6.2474592228303809E-2</v>
      </c>
      <c r="V45" s="30">
        <f t="shared" si="106"/>
        <v>6.2415214592311856E-2</v>
      </c>
      <c r="W45" s="30">
        <f t="shared" si="106"/>
        <v>3.6353126049327215E-2</v>
      </c>
      <c r="X45" s="30"/>
      <c r="Y45" s="30"/>
      <c r="Z45" s="30"/>
      <c r="AA45" s="30"/>
      <c r="AB45" s="30"/>
      <c r="AC45" s="30"/>
      <c r="AD45" s="117"/>
      <c r="AE45" s="135">
        <f t="shared" si="109"/>
        <v>5.5520536025688835E-2</v>
      </c>
      <c r="AF45" s="30">
        <f t="shared" si="107"/>
        <v>6.2588817506872993E-2</v>
      </c>
      <c r="AG45" s="30">
        <f t="shared" si="107"/>
        <v>6.2474592228303809E-2</v>
      </c>
      <c r="AH45" s="30">
        <f t="shared" si="107"/>
        <v>6.2415214592311856E-2</v>
      </c>
      <c r="AI45" s="30">
        <f t="shared" si="107"/>
        <v>3.6353126049327215E-2</v>
      </c>
      <c r="AJ45" s="30"/>
      <c r="AK45" s="30"/>
      <c r="AL45" s="30"/>
      <c r="AM45" s="30"/>
      <c r="AN45" s="30"/>
      <c r="AO45" s="30"/>
    </row>
    <row r="46" spans="2:41">
      <c r="B46" s="147" t="s">
        <v>1</v>
      </c>
      <c r="C46" s="42"/>
      <c r="D46" s="43">
        <v>-6.3159639866977111</v>
      </c>
      <c r="E46" s="43">
        <v>-13.688453100089843</v>
      </c>
      <c r="F46" s="86">
        <v>-23.121850503118964</v>
      </c>
      <c r="G46" s="43">
        <f>(G27-G29)*BS!$T$18</f>
        <v>-34.688073377085246</v>
      </c>
      <c r="H46" s="43">
        <f>(H27-H29)*BS!$T$18</f>
        <v>-54.061786972715446</v>
      </c>
      <c r="I46" s="43">
        <f>(I27-I29)*BS!$T$18</f>
        <v>-84.528998582015717</v>
      </c>
      <c r="J46" s="43">
        <f>(J27-J29)*BS!$T$18</f>
        <v>-132.65448922959251</v>
      </c>
      <c r="K46" s="43">
        <f>(K27-K29)*BS!$T$18</f>
        <v>-209.04442269327248</v>
      </c>
      <c r="L46" s="43">
        <f>(L27-L29)*BS!$T$18</f>
        <v>-296.57949217809141</v>
      </c>
      <c r="M46" s="43">
        <f>(M27-M29)*BS!$T$18</f>
        <v>-390.61129869370177</v>
      </c>
      <c r="N46" s="43">
        <f>(N27-N29)*BS!$T$18</f>
        <v>-474.73707464303351</v>
      </c>
      <c r="O46" s="43">
        <f>(O27-O29)*BS!$T$18</f>
        <v>-528.70744992459367</v>
      </c>
      <c r="P46" s="43">
        <f>(P27-P29)*BS!$T$18</f>
        <v>-535.05193932368877</v>
      </c>
      <c r="Q46" s="177">
        <f>(Q27-Q29)*BS!$T$18</f>
        <v>-541.47256259557309</v>
      </c>
      <c r="R46" s="123"/>
      <c r="S46" s="43">
        <f t="shared" si="106"/>
        <v>-34.688073377085246</v>
      </c>
      <c r="T46" s="43">
        <f t="shared" si="106"/>
        <v>-54.061786972715446</v>
      </c>
      <c r="U46" s="43">
        <f t="shared" si="106"/>
        <v>-84.528998582015717</v>
      </c>
      <c r="V46" s="43">
        <f t="shared" si="106"/>
        <v>-132.65448922959251</v>
      </c>
      <c r="W46" s="43">
        <f t="shared" si="106"/>
        <v>-209.04442269327248</v>
      </c>
      <c r="X46" s="43">
        <f>(X27-X29)*BS!$T$18</f>
        <v>-313.6793413218486</v>
      </c>
      <c r="Y46" s="43">
        <f>(Y27-Y29)*BS!$T$18</f>
        <v>-413.13272872399688</v>
      </c>
      <c r="Z46" s="43">
        <f>(Z27-Z29)*BS!$T$18</f>
        <v>-502.10893471240649</v>
      </c>
      <c r="AA46" s="43">
        <f>(AA27-AA29)*BS!$T$18</f>
        <v>-559.19107361851445</v>
      </c>
      <c r="AB46" s="43">
        <f>(AB27-AB29)*BS!$T$18</f>
        <v>-565.90136650193665</v>
      </c>
      <c r="AC46" s="43">
        <f>(AC27-AC29)*BS!$T$18</f>
        <v>-572.6921828999599</v>
      </c>
      <c r="AD46" s="123"/>
      <c r="AE46" s="139">
        <f>(AE27-AE29)*BS!$T$18</f>
        <v>-34.772182705259794</v>
      </c>
      <c r="AF46" s="43">
        <f>(AF27-AF29)*BS!$T$18</f>
        <v>-52.056185468523694</v>
      </c>
      <c r="AG46" s="43">
        <f>(AG27-AG29)*BS!$T$18</f>
        <v>-77.995644485486224</v>
      </c>
      <c r="AH46" s="43">
        <f>(AH27-AH29)*BS!$T$18</f>
        <v>-116.96290150753252</v>
      </c>
      <c r="AI46" s="43">
        <f>(AI27-AI29)*BS!$T$18</f>
        <v>-174.52244216806326</v>
      </c>
      <c r="AJ46" s="43">
        <f>(AJ27-AJ29)*BS!$T$18</f>
        <v>-247.60180924717048</v>
      </c>
      <c r="AK46" s="43">
        <f>(AK27-AK29)*BS!$T$18</f>
        <v>-326.10503025229724</v>
      </c>
      <c r="AL46" s="43">
        <f>(AL27-AL29)*BS!$T$18</f>
        <v>-396.33812080216148</v>
      </c>
      <c r="AM46" s="43">
        <f>(AM27-AM29)*BS!$T$18</f>
        <v>-441.39572902491301</v>
      </c>
      <c r="AN46" s="43">
        <f>(AN27-AN29)*BS!$T$18</f>
        <v>-446.69247777321198</v>
      </c>
      <c r="AO46" s="43">
        <f>(AO27-AO29)*BS!$T$18</f>
        <v>-452.05278750649052</v>
      </c>
    </row>
    <row r="47" spans="2:41">
      <c r="B47" s="147" t="s">
        <v>42</v>
      </c>
      <c r="C47" s="32"/>
      <c r="D47" s="32"/>
      <c r="E47" s="24">
        <v>-7.372489113392132</v>
      </c>
      <c r="F47" s="82">
        <v>-9.4333974030291206</v>
      </c>
      <c r="G47" s="24">
        <f t="shared" ref="G47:Q47" si="114">G46-F46</f>
        <v>-11.566222873966282</v>
      </c>
      <c r="H47" s="24">
        <f t="shared" si="114"/>
        <v>-19.3737135956302</v>
      </c>
      <c r="I47" s="24">
        <f t="shared" si="114"/>
        <v>-30.467211609300271</v>
      </c>
      <c r="J47" s="24">
        <f t="shared" si="114"/>
        <v>-48.125490647576797</v>
      </c>
      <c r="K47" s="24">
        <f t="shared" si="114"/>
        <v>-76.389933463679967</v>
      </c>
      <c r="L47" s="24">
        <f t="shared" si="114"/>
        <v>-87.535069484818933</v>
      </c>
      <c r="M47" s="24">
        <f t="shared" si="114"/>
        <v>-94.031806515610356</v>
      </c>
      <c r="N47" s="24">
        <f t="shared" si="114"/>
        <v>-84.125775949331739</v>
      </c>
      <c r="O47" s="24">
        <f t="shared" si="114"/>
        <v>-53.970375281560166</v>
      </c>
      <c r="P47" s="24">
        <f t="shared" si="114"/>
        <v>-6.3444893990950959</v>
      </c>
      <c r="Q47" s="164">
        <f t="shared" si="114"/>
        <v>-6.4206232718843239</v>
      </c>
      <c r="R47" s="112"/>
      <c r="S47" s="24">
        <f t="shared" si="106"/>
        <v>-11.566222873966282</v>
      </c>
      <c r="T47" s="24">
        <f t="shared" si="106"/>
        <v>-19.3737135956302</v>
      </c>
      <c r="U47" s="24">
        <f t="shared" si="106"/>
        <v>-30.467211609300271</v>
      </c>
      <c r="V47" s="24">
        <f t="shared" si="106"/>
        <v>-48.125490647576797</v>
      </c>
      <c r="W47" s="24">
        <f t="shared" si="106"/>
        <v>-76.389933463679967</v>
      </c>
      <c r="X47" s="24">
        <f t="shared" ref="X47:AC47" si="115">X46-W46</f>
        <v>-104.63491862857612</v>
      </c>
      <c r="Y47" s="24">
        <f t="shared" si="115"/>
        <v>-99.45338740214828</v>
      </c>
      <c r="Z47" s="24">
        <f t="shared" si="115"/>
        <v>-88.976205988409617</v>
      </c>
      <c r="AA47" s="24">
        <f t="shared" si="115"/>
        <v>-57.082138906107957</v>
      </c>
      <c r="AB47" s="24">
        <f t="shared" si="115"/>
        <v>-6.7102928834221984</v>
      </c>
      <c r="AC47" s="24">
        <f t="shared" si="115"/>
        <v>-6.790816398023253</v>
      </c>
      <c r="AD47" s="112"/>
      <c r="AE47" s="133">
        <f t="shared" si="109"/>
        <v>-11.566222873966282</v>
      </c>
      <c r="AF47" s="24">
        <f t="shared" si="107"/>
        <v>-19.3737135956302</v>
      </c>
      <c r="AG47" s="24">
        <f t="shared" si="107"/>
        <v>-30.467211609300271</v>
      </c>
      <c r="AH47" s="24">
        <f t="shared" si="107"/>
        <v>-48.125490647576797</v>
      </c>
      <c r="AI47" s="24">
        <f t="shared" si="107"/>
        <v>-76.389933463679967</v>
      </c>
      <c r="AJ47" s="24">
        <f t="shared" ref="AJ47:AO47" si="116">AJ46-AI46</f>
        <v>-73.079367079107215</v>
      </c>
      <c r="AK47" s="24">
        <f t="shared" si="116"/>
        <v>-78.503221005126761</v>
      </c>
      <c r="AL47" s="24">
        <f t="shared" si="116"/>
        <v>-70.233090549864244</v>
      </c>
      <c r="AM47" s="24">
        <f t="shared" si="116"/>
        <v>-45.057608222751526</v>
      </c>
      <c r="AN47" s="24">
        <f t="shared" si="116"/>
        <v>-5.2967487482989668</v>
      </c>
      <c r="AO47" s="24">
        <f t="shared" si="116"/>
        <v>-5.360309733278541</v>
      </c>
    </row>
    <row r="48" spans="2:41" ht="15" thickBot="1">
      <c r="B48" s="151" t="s">
        <v>43</v>
      </c>
      <c r="C48" s="27"/>
      <c r="D48" s="27">
        <v>-1</v>
      </c>
      <c r="E48" s="28">
        <v>-40.527510886607871</v>
      </c>
      <c r="F48" s="89">
        <v>-19.991602596970914</v>
      </c>
      <c r="G48" s="28">
        <f t="shared" ref="G48:Q48" si="117">G41+(G42*G40)-G44-G47</f>
        <v>-15.455357651253838</v>
      </c>
      <c r="H48" s="28">
        <f t="shared" si="117"/>
        <v>-21.750407940287474</v>
      </c>
      <c r="I48" s="28">
        <f t="shared" si="117"/>
        <v>-24.54286154158784</v>
      </c>
      <c r="J48" s="28">
        <f t="shared" si="117"/>
        <v>-23.522365653794182</v>
      </c>
      <c r="K48" s="28">
        <f t="shared" si="117"/>
        <v>61.212325755585468</v>
      </c>
      <c r="L48" s="28">
        <f t="shared" si="117"/>
        <v>38.290671200234513</v>
      </c>
      <c r="M48" s="28">
        <f t="shared" si="117"/>
        <v>58.077265097094511</v>
      </c>
      <c r="N48" s="28">
        <f t="shared" si="117"/>
        <v>81.433545113135295</v>
      </c>
      <c r="O48" s="28">
        <f t="shared" si="117"/>
        <v>104.97897561057437</v>
      </c>
      <c r="P48" s="28">
        <f t="shared" si="117"/>
        <v>123.60353029605204</v>
      </c>
      <c r="Q48" s="169">
        <f t="shared" si="117"/>
        <v>61.035031530164957</v>
      </c>
      <c r="R48" s="112"/>
      <c r="S48" s="28">
        <f t="shared" ref="S48:AC48" si="118">S41+(S42*S40)-S44-S47</f>
        <v>-11.50843590602269</v>
      </c>
      <c r="T48" s="28">
        <f t="shared" si="118"/>
        <v>-9.3583256382378224</v>
      </c>
      <c r="U48" s="28">
        <f t="shared" si="118"/>
        <v>4.7234591416842591</v>
      </c>
      <c r="V48" s="28">
        <f t="shared" si="118"/>
        <v>38.212688767764703</v>
      </c>
      <c r="W48" s="28">
        <f t="shared" si="118"/>
        <v>204.27637145158562</v>
      </c>
      <c r="X48" s="28">
        <f t="shared" si="118"/>
        <v>207.78656806599346</v>
      </c>
      <c r="Y48" s="28">
        <f t="shared" si="118"/>
        <v>307.14898533523746</v>
      </c>
      <c r="Z48" s="28">
        <f t="shared" si="118"/>
        <v>386.77489760312704</v>
      </c>
      <c r="AA48" s="28">
        <f t="shared" si="118"/>
        <v>448.49311557591267</v>
      </c>
      <c r="AB48" s="28">
        <f t="shared" si="118"/>
        <v>475.44517163426133</v>
      </c>
      <c r="AC48" s="28">
        <f t="shared" si="118"/>
        <v>404.2263310427939</v>
      </c>
      <c r="AD48" s="112"/>
      <c r="AE48" s="137">
        <f t="shared" ref="AE48:AO48" si="119">AE41+(AE42*AE40)-AE44-AE47</f>
        <v>-17.122752118084669</v>
      </c>
      <c r="AF48" s="28">
        <f t="shared" si="119"/>
        <v>-28.886790397143088</v>
      </c>
      <c r="AG48" s="28">
        <f t="shared" si="119"/>
        <v>-42.840650739375256</v>
      </c>
      <c r="AH48" s="28">
        <f t="shared" si="119"/>
        <v>-63.517745585649735</v>
      </c>
      <c r="AI48" s="28">
        <f t="shared" si="119"/>
        <v>-32.292573591001315</v>
      </c>
      <c r="AJ48" s="28">
        <f t="shared" si="119"/>
        <v>-102.08200366255295</v>
      </c>
      <c r="AK48" s="28">
        <f t="shared" si="119"/>
        <v>-129.08348098841236</v>
      </c>
      <c r="AL48" s="28">
        <f t="shared" si="119"/>
        <v>-149.27392659450214</v>
      </c>
      <c r="AM48" s="28">
        <f t="shared" si="119"/>
        <v>-156.22104614893186</v>
      </c>
      <c r="AN48" s="28">
        <f t="shared" si="119"/>
        <v>-145.91398598855858</v>
      </c>
      <c r="AO48" s="28">
        <f t="shared" si="119"/>
        <v>-198.87960278195681</v>
      </c>
    </row>
    <row r="49" spans="2:41" ht="15.5" thickTop="1" thickBot="1">
      <c r="B49" s="178" t="s">
        <v>137</v>
      </c>
      <c r="C49" s="179"/>
      <c r="D49" s="180"/>
      <c r="E49" s="181"/>
      <c r="F49" s="182"/>
      <c r="G49" s="181">
        <f>G48/(1+$E$54)^1</f>
        <v>-14.647554648873509</v>
      </c>
      <c r="H49" s="181">
        <f>H48/(1+$E$54)^2</f>
        <v>-19.536175220040512</v>
      </c>
      <c r="I49" s="181">
        <f>I48/(1+$E$54)^3</f>
        <v>-20.892162726656995</v>
      </c>
      <c r="J49" s="181">
        <f>J48/(1+$E$54)^4</f>
        <v>-18.976899901842259</v>
      </c>
      <c r="K49" s="181">
        <f>K48/(1+$E$54)^5</f>
        <v>46.802517931053004</v>
      </c>
      <c r="L49" s="181">
        <f>(L48+J54)/(1+$E$54)^6</f>
        <v>27.746575141715518</v>
      </c>
      <c r="M49" s="181">
        <f>(M48+K54)/(1+$E$54)^7</f>
        <v>39.884911201012436</v>
      </c>
      <c r="N49" s="181">
        <f>(N48+L54)/(1+$E$54)^8</f>
        <v>53.001954114642047</v>
      </c>
      <c r="O49" s="181">
        <f>(O48+M54)/(1+$E$54)^9</f>
        <v>64.755541318920208</v>
      </c>
      <c r="P49" s="181">
        <f>(P48+N54)/(1+$E$54)^10</f>
        <v>72.25893396014061</v>
      </c>
      <c r="Q49" s="183">
        <f>Q48/(E54-E8)</f>
        <v>1106.7227494815488</v>
      </c>
      <c r="R49" s="112"/>
      <c r="S49" s="144">
        <f>S48/(1+$E$54)^1</f>
        <v>-10.90692610680866</v>
      </c>
      <c r="T49" s="144">
        <f>T48/(1+$E$54)^2</f>
        <v>-8.4056303650365081</v>
      </c>
      <c r="U49" s="144">
        <f>U48/(1+$E$54)^3</f>
        <v>4.0208545712391546</v>
      </c>
      <c r="V49" s="144">
        <f>V48/(1+$E$54)^4</f>
        <v>30.828462595944469</v>
      </c>
      <c r="W49" s="144">
        <f>W48/(1+$E$54)^5</f>
        <v>156.18829083423441</v>
      </c>
      <c r="X49" s="144">
        <f>(X48+V54)/(1+$E$54)^6</f>
        <v>150.56841375627187</v>
      </c>
      <c r="Y49" s="144">
        <f>(Y48+W54)/(1+$E$54)^7</f>
        <v>210.93641350184532</v>
      </c>
      <c r="Z49" s="144">
        <f>(Z48+X54)/(1+$E$54)^8</f>
        <v>251.73686528046878</v>
      </c>
      <c r="AA49" s="144">
        <f>(AA48+Y54)/(1+$E$54)^9</f>
        <v>276.64981781363349</v>
      </c>
      <c r="AB49" s="144">
        <f>(AB48+Z54)/(1+$E$54)^10</f>
        <v>277.94644033630101</v>
      </c>
      <c r="AC49" s="144">
        <f>Q48/(E54-Q8)</f>
        <v>1414.5066540531252</v>
      </c>
      <c r="AD49" s="112"/>
      <c r="AE49" s="145">
        <f>AE48/(1+$E$54)^1</f>
        <v>-16.227799643860898</v>
      </c>
      <c r="AF49" s="144">
        <f>AF48/(1+$E$54)^2</f>
        <v>-25.946060427577997</v>
      </c>
      <c r="AG49" s="144">
        <f>AG48/(1+$E$54)^3</f>
        <v>-36.468194429825253</v>
      </c>
      <c r="AH49" s="144">
        <f>AH48/(1+$E$54)^4</f>
        <v>-51.243566132351603</v>
      </c>
      <c r="AI49" s="144">
        <f>(AI48+AG54)/(1+$E$54)^5</f>
        <v>-24.690676851055258</v>
      </c>
      <c r="AJ49" s="144">
        <f>(AJ48+AH54)/(1+$E$54)^6</f>
        <v>-73.971698496174625</v>
      </c>
      <c r="AK49" s="144">
        <f>(AK48+AI54)/(1+$E$54)^7</f>
        <v>-88.648857141139246</v>
      </c>
      <c r="AL49" s="144">
        <f>(AL48+AJ54)/(1+$E$54)^8</f>
        <v>-97.156642227504676</v>
      </c>
      <c r="AM49" s="144">
        <f>(AM48+AK54)/(1+$E$54)^9</f>
        <v>-96.363851427819725</v>
      </c>
      <c r="AN49" s="144">
        <f>(AN48+AL54)/(1+$E$54)^10</f>
        <v>-85.301682339933166</v>
      </c>
      <c r="AO49" s="144">
        <f>AO48/(E54-AC8)</f>
        <v>-4609.099306379273</v>
      </c>
    </row>
    <row r="50" spans="2:41" ht="15" thickBot="1">
      <c r="B50" s="153" t="s">
        <v>138</v>
      </c>
      <c r="E50" s="89">
        <f>SUM(G49:P49)+Q49/(1+$E$54)^10</f>
        <v>877.39053753337748</v>
      </c>
      <c r="H50" s="32"/>
      <c r="I50" s="32"/>
      <c r="J50" s="32"/>
      <c r="K50" s="32"/>
      <c r="L50" s="32"/>
      <c r="M50" s="32"/>
      <c r="N50" s="32"/>
      <c r="O50" s="32"/>
      <c r="P50" s="32"/>
      <c r="Q50" s="32"/>
      <c r="S50" s="89">
        <f>SUM(S49:AB49)+AC49/(1+$E$54)^10</f>
        <v>2166.4871414930126</v>
      </c>
      <c r="T50" s="32"/>
      <c r="U50" s="32"/>
      <c r="V50" s="32"/>
      <c r="W50" s="32"/>
      <c r="X50" s="32"/>
      <c r="Y50" s="32"/>
      <c r="Z50" s="32"/>
      <c r="AA50" s="32"/>
      <c r="AB50" s="32"/>
      <c r="AC50" s="32"/>
      <c r="AE50" s="143">
        <f>SUM(AE49:AN49)+AO49/(1+$E$54)^10</f>
        <v>-3290.5100488937828</v>
      </c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2:41" ht="15" thickTop="1">
      <c r="B51" s="147" t="s">
        <v>139</v>
      </c>
      <c r="E51" s="82">
        <f>E50-E56</f>
        <v>808.49053753337751</v>
      </c>
      <c r="H51" s="32"/>
      <c r="I51" s="32"/>
      <c r="J51" s="32"/>
      <c r="K51" s="32"/>
      <c r="L51" s="32"/>
      <c r="M51" s="32"/>
      <c r="N51" s="32"/>
      <c r="O51" s="32"/>
      <c r="P51" s="32"/>
      <c r="Q51" s="32"/>
      <c r="S51" s="82">
        <f>S50-O56</f>
        <v>2166.4871414930126</v>
      </c>
      <c r="T51" s="32"/>
      <c r="U51" s="32"/>
      <c r="V51" s="32"/>
      <c r="W51" s="32"/>
      <c r="X51" s="32"/>
      <c r="Y51" s="32"/>
      <c r="Z51" s="32"/>
      <c r="AA51" s="32"/>
      <c r="AB51" s="32"/>
      <c r="AC51" s="32"/>
      <c r="AE51" s="131">
        <f>AE50-AA56</f>
        <v>-3290.5100488937828</v>
      </c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2:41" ht="15" thickBot="1">
      <c r="B52" s="154" t="s">
        <v>140</v>
      </c>
      <c r="E52" s="89">
        <f>E51/59.1</f>
        <v>13.680042936266963</v>
      </c>
      <c r="H52" s="32"/>
      <c r="I52" s="32"/>
      <c r="J52" s="32"/>
      <c r="K52" s="32"/>
      <c r="L52" s="32"/>
      <c r="M52" s="32"/>
      <c r="N52" s="32"/>
      <c r="O52" s="32"/>
      <c r="P52" s="32"/>
      <c r="Q52" s="32"/>
      <c r="S52" s="89">
        <f>S51/59.1</f>
        <v>36.657988857749793</v>
      </c>
      <c r="T52" s="32"/>
      <c r="U52" s="32"/>
      <c r="V52" s="32"/>
      <c r="W52" s="32"/>
      <c r="X52" s="32"/>
      <c r="Y52" s="32"/>
      <c r="Z52" s="32"/>
      <c r="AA52" s="32"/>
      <c r="AB52" s="32"/>
      <c r="AC52" s="32"/>
      <c r="AE52" s="130">
        <f>AE51/59.1</f>
        <v>-55.676988982974329</v>
      </c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2:41" ht="15" thickBot="1">
      <c r="F53" s="4"/>
      <c r="G53" s="4"/>
      <c r="H53" s="4"/>
      <c r="I53" s="4"/>
      <c r="S53" s="32"/>
      <c r="T53" s="37"/>
      <c r="U53" s="128"/>
      <c r="V53" s="32"/>
      <c r="W53" s="32"/>
      <c r="X53" s="32"/>
      <c r="Y53" s="32"/>
      <c r="Z53" s="32"/>
      <c r="AA53" s="32"/>
      <c r="AB53" s="32"/>
      <c r="AC53" s="32"/>
      <c r="AE53" s="32"/>
      <c r="AF53" s="129"/>
      <c r="AG53" s="129"/>
      <c r="AH53" s="129"/>
      <c r="AI53" s="32"/>
      <c r="AJ53" s="129"/>
      <c r="AK53" s="129"/>
      <c r="AL53" s="129"/>
      <c r="AM53" s="129"/>
      <c r="AN53" s="129"/>
      <c r="AO53" s="129"/>
    </row>
    <row r="54" spans="2:41" ht="15" thickBot="1">
      <c r="B54" s="72" t="s">
        <v>134</v>
      </c>
      <c r="E54" s="76">
        <f>(E57*E59)+(E58*(1-E61)*E60)</f>
        <v>5.5149342108271646E-2</v>
      </c>
      <c r="S54" s="32"/>
      <c r="T54" s="37"/>
      <c r="U54" s="128"/>
      <c r="V54" s="129"/>
      <c r="W54" s="32"/>
      <c r="X54" s="32"/>
      <c r="Y54" s="32"/>
      <c r="Z54" s="32"/>
      <c r="AA54" s="32"/>
      <c r="AB54" s="32"/>
      <c r="AC54" s="32"/>
      <c r="AE54" s="32"/>
      <c r="AF54" s="129"/>
      <c r="AG54" s="129"/>
      <c r="AH54" s="129"/>
      <c r="AI54" s="32"/>
      <c r="AJ54" s="129"/>
      <c r="AK54" s="129"/>
      <c r="AL54" s="129"/>
      <c r="AM54" s="129"/>
      <c r="AN54" s="129"/>
      <c r="AO54" s="129"/>
    </row>
    <row r="55" spans="2:41">
      <c r="B55" s="35" t="s">
        <v>127</v>
      </c>
      <c r="E55" s="66">
        <v>466.42699199999998</v>
      </c>
      <c r="J55" s="37"/>
      <c r="S55"/>
      <c r="T55"/>
      <c r="U55"/>
      <c r="V55"/>
      <c r="AE55" s="32"/>
      <c r="AF55"/>
      <c r="AG55"/>
      <c r="AH55"/>
      <c r="AI55" s="32"/>
    </row>
    <row r="56" spans="2:41">
      <c r="B56" s="35" t="s">
        <v>128</v>
      </c>
      <c r="E56" s="36">
        <f>BS!F32+BS!F33+BS!F34+BS!F27+BS!F28+BS!F25</f>
        <v>68.899999999999991</v>
      </c>
      <c r="J56" s="32"/>
      <c r="S56"/>
      <c r="T56"/>
      <c r="U56"/>
      <c r="V56"/>
      <c r="AE56" s="32"/>
      <c r="AF56"/>
      <c r="AG56"/>
      <c r="AH56"/>
      <c r="AI56" s="32"/>
    </row>
    <row r="57" spans="2:41">
      <c r="B57" s="35" t="s">
        <v>129</v>
      </c>
      <c r="E57" s="38">
        <f>E55/(E55+E56)</f>
        <v>0.8712936186113327</v>
      </c>
      <c r="J57" s="25"/>
      <c r="S57"/>
      <c r="T57"/>
      <c r="U57"/>
      <c r="V57"/>
      <c r="AE57"/>
      <c r="AF57"/>
      <c r="AG57"/>
      <c r="AH57"/>
    </row>
    <row r="58" spans="2:41">
      <c r="B58" s="35" t="s">
        <v>130</v>
      </c>
      <c r="E58" s="77">
        <f>1-E57</f>
        <v>0.1287063813886673</v>
      </c>
      <c r="J58" s="73"/>
      <c r="S58"/>
      <c r="T58"/>
      <c r="U58"/>
      <c r="V58"/>
      <c r="AE58"/>
      <c r="AF58"/>
      <c r="AG58"/>
      <c r="AH58"/>
    </row>
    <row r="59" spans="2:41">
      <c r="B59" s="35" t="s">
        <v>131</v>
      </c>
      <c r="E59" s="78">
        <f>BS!S33*BS!S35+BS!S34</f>
        <v>5.7299999999999997E-2</v>
      </c>
      <c r="J59" s="75"/>
      <c r="S59"/>
      <c r="T59"/>
      <c r="U59"/>
      <c r="V59"/>
      <c r="AE59"/>
      <c r="AF59"/>
      <c r="AG59"/>
      <c r="AH59"/>
    </row>
    <row r="60" spans="2:41">
      <c r="B60" s="35" t="s">
        <v>132</v>
      </c>
      <c r="E60" s="79">
        <v>5.5300000000000002E-2</v>
      </c>
      <c r="J60" s="74"/>
      <c r="S60"/>
      <c r="T60"/>
      <c r="U60"/>
      <c r="V60"/>
      <c r="AE60"/>
      <c r="AF60"/>
      <c r="AG60"/>
      <c r="AH60"/>
    </row>
    <row r="61" spans="2:41" ht="15" thickBot="1">
      <c r="B61" s="44" t="s">
        <v>133</v>
      </c>
      <c r="E61" s="80">
        <f>BS!S26</f>
        <v>0.26600000000000001</v>
      </c>
      <c r="J61" s="74"/>
      <c r="S61"/>
      <c r="T61"/>
      <c r="U61"/>
      <c r="V61"/>
      <c r="AE61"/>
      <c r="AF61"/>
      <c r="AG61"/>
      <c r="AH61"/>
    </row>
    <row r="62" spans="2:41">
      <c r="S62"/>
      <c r="T62"/>
      <c r="U62"/>
      <c r="V62"/>
      <c r="AE62"/>
      <c r="AF62"/>
      <c r="AG62"/>
      <c r="AH62"/>
    </row>
  </sheetData>
  <mergeCells count="3">
    <mergeCell ref="G1:Q1"/>
    <mergeCell ref="S1:AC1"/>
    <mergeCell ref="AE1:AO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DCE75-FC1F-49C1-8484-385340B0506E}">
  <dimension ref="B1:AS44"/>
  <sheetViews>
    <sheetView showGridLines="0" topLeftCell="C1" zoomScale="70" zoomScaleNormal="70" workbookViewId="0">
      <selection activeCell="P57" sqref="P57"/>
    </sheetView>
  </sheetViews>
  <sheetFormatPr defaultRowHeight="14.5"/>
  <cols>
    <col min="1" max="1" width="8.7265625" style="2"/>
    <col min="2" max="2" width="34.90625" style="1" customWidth="1"/>
    <col min="3" max="11" width="8.7265625" style="1"/>
    <col min="17" max="17" width="8.7265625" style="2"/>
    <col min="18" max="18" width="63.1796875" style="2" customWidth="1"/>
    <col min="19" max="19" width="8.7265625" style="2"/>
    <col min="20" max="20" width="12.6328125" style="2" customWidth="1"/>
    <col min="21" max="16384" width="8.7265625" style="2"/>
  </cols>
  <sheetData>
    <row r="1" spans="2:43">
      <c r="X1" s="3" t="s">
        <v>141</v>
      </c>
      <c r="Y1" s="3"/>
      <c r="AJ1" s="18" t="s">
        <v>68</v>
      </c>
      <c r="AK1" s="18"/>
      <c r="AL1" s="18"/>
      <c r="AM1" s="18"/>
      <c r="AN1" s="18"/>
      <c r="AO1"/>
      <c r="AP1"/>
      <c r="AQ1"/>
    </row>
    <row r="2" spans="2:43">
      <c r="B2" s="51" t="s">
        <v>32</v>
      </c>
      <c r="C2" s="51" t="s">
        <v>30</v>
      </c>
      <c r="D2" s="51" t="s">
        <v>29</v>
      </c>
      <c r="E2" s="51" t="s">
        <v>28</v>
      </c>
      <c r="F2" s="5" t="s">
        <v>45</v>
      </c>
      <c r="G2" s="60" t="s">
        <v>109</v>
      </c>
      <c r="H2" s="60" t="s">
        <v>110</v>
      </c>
      <c r="I2" s="60" t="s">
        <v>111</v>
      </c>
      <c r="J2" s="60" t="s">
        <v>112</v>
      </c>
      <c r="K2" s="60" t="s">
        <v>113</v>
      </c>
      <c r="R2" s="3" t="s">
        <v>104</v>
      </c>
      <c r="S2" s="17" t="s">
        <v>105</v>
      </c>
      <c r="X2" s="2" t="s">
        <v>142</v>
      </c>
      <c r="AJ2" s="18" t="s">
        <v>69</v>
      </c>
      <c r="AK2" s="18"/>
      <c r="AL2" s="18"/>
      <c r="AM2" s="18"/>
      <c r="AN2" s="18"/>
      <c r="AO2"/>
      <c r="AP2"/>
      <c r="AQ2"/>
    </row>
    <row r="3" spans="2:43">
      <c r="B3"/>
      <c r="C3"/>
      <c r="D3"/>
      <c r="E3"/>
      <c r="G3"/>
      <c r="H3"/>
      <c r="I3"/>
      <c r="J3"/>
      <c r="K3"/>
      <c r="R3" s="2" t="s">
        <v>210</v>
      </c>
      <c r="S3" s="57">
        <f>45.4/4</f>
        <v>11.35</v>
      </c>
      <c r="X3" s="2" t="s">
        <v>143</v>
      </c>
      <c r="AJ3" s="18" t="s">
        <v>70</v>
      </c>
      <c r="AK3" s="18"/>
      <c r="AL3" s="18"/>
      <c r="AM3" s="18"/>
      <c r="AN3" s="18"/>
      <c r="AO3"/>
      <c r="AP3"/>
      <c r="AQ3"/>
    </row>
    <row r="4" spans="2:43">
      <c r="B4" t="s">
        <v>27</v>
      </c>
      <c r="C4"/>
      <c r="D4"/>
      <c r="E4">
        <v>45.1</v>
      </c>
      <c r="F4" s="1">
        <v>77.900000000000006</v>
      </c>
      <c r="G4"/>
      <c r="H4"/>
      <c r="I4"/>
      <c r="J4"/>
      <c r="K4"/>
      <c r="R4" s="2" t="s">
        <v>106</v>
      </c>
      <c r="S4" s="57">
        <f>27.3/1.8</f>
        <v>15.166666666666666</v>
      </c>
      <c r="X4" s="2" t="s">
        <v>144</v>
      </c>
      <c r="AJ4" s="18" t="s">
        <v>71</v>
      </c>
      <c r="AK4" s="18"/>
      <c r="AL4" s="18"/>
      <c r="AM4" s="18"/>
      <c r="AN4" s="18"/>
      <c r="AO4"/>
      <c r="AP4"/>
      <c r="AQ4"/>
    </row>
    <row r="5" spans="2:43" ht="15" thickBot="1">
      <c r="B5" t="s">
        <v>26</v>
      </c>
      <c r="C5"/>
      <c r="D5"/>
      <c r="E5"/>
      <c r="G5"/>
      <c r="H5"/>
      <c r="I5"/>
      <c r="J5"/>
      <c r="K5"/>
      <c r="S5" s="58">
        <f>S3</f>
        <v>11.35</v>
      </c>
      <c r="U5" s="10"/>
      <c r="X5" s="2" t="s">
        <v>145</v>
      </c>
      <c r="AJ5" s="18" t="s">
        <v>72</v>
      </c>
      <c r="AK5" s="18"/>
      <c r="AL5" s="18"/>
      <c r="AM5" s="18"/>
      <c r="AN5" s="18"/>
      <c r="AO5"/>
      <c r="AP5"/>
      <c r="AQ5"/>
    </row>
    <row r="6" spans="2:43" ht="15" thickTop="1">
      <c r="B6" t="s">
        <v>25</v>
      </c>
      <c r="C6"/>
      <c r="D6"/>
      <c r="E6">
        <f>E4</f>
        <v>45.1</v>
      </c>
      <c r="F6" s="1">
        <f>F4</f>
        <v>77.900000000000006</v>
      </c>
      <c r="G6"/>
      <c r="H6"/>
      <c r="I6"/>
      <c r="J6"/>
      <c r="K6"/>
      <c r="X6" s="2" t="s">
        <v>146</v>
      </c>
      <c r="AJ6" s="18" t="s">
        <v>73</v>
      </c>
      <c r="AK6" s="18"/>
      <c r="AL6" s="18"/>
      <c r="AM6" s="18"/>
      <c r="AN6" s="18"/>
      <c r="AO6"/>
      <c r="AP6"/>
      <c r="AQ6"/>
    </row>
    <row r="7" spans="2:43">
      <c r="B7" t="s">
        <v>24</v>
      </c>
      <c r="C7"/>
      <c r="D7"/>
      <c r="E7">
        <v>2.6</v>
      </c>
      <c r="F7" s="1">
        <v>4.8</v>
      </c>
      <c r="G7"/>
      <c r="H7"/>
      <c r="I7"/>
      <c r="J7"/>
      <c r="K7"/>
      <c r="R7" s="2" t="s">
        <v>107</v>
      </c>
      <c r="S7" s="9">
        <f>-(F14+F16)/(F13+F15)</f>
        <v>0.12093227792436234</v>
      </c>
      <c r="X7" s="2" t="s">
        <v>147</v>
      </c>
      <c r="AJ7" s="18" t="s">
        <v>74</v>
      </c>
      <c r="AK7" s="18"/>
      <c r="AL7" s="18"/>
      <c r="AM7" s="18"/>
      <c r="AN7" s="18"/>
      <c r="AO7"/>
      <c r="AP7"/>
      <c r="AQ7"/>
    </row>
    <row r="8" spans="2:43">
      <c r="B8" t="s">
        <v>23</v>
      </c>
      <c r="C8"/>
      <c r="D8"/>
      <c r="E8">
        <v>4.7</v>
      </c>
      <c r="F8" s="1">
        <v>6.9</v>
      </c>
      <c r="G8"/>
      <c r="H8"/>
      <c r="I8"/>
      <c r="J8"/>
      <c r="K8"/>
      <c r="R8" s="2" t="s">
        <v>108</v>
      </c>
      <c r="S8" s="9">
        <f>-(E14+E16)/(E13+E15)</f>
        <v>9.5238095238095247E-2</v>
      </c>
      <c r="X8" s="2" t="s">
        <v>148</v>
      </c>
      <c r="AJ8" s="18" t="s">
        <v>75</v>
      </c>
      <c r="AK8" s="18"/>
      <c r="AL8" s="18"/>
      <c r="AM8" s="18"/>
      <c r="AN8" s="18"/>
      <c r="AO8"/>
      <c r="AP8"/>
      <c r="AQ8"/>
    </row>
    <row r="9" spans="2:43" ht="15" thickBot="1">
      <c r="B9" t="s">
        <v>22</v>
      </c>
      <c r="C9"/>
      <c r="D9"/>
      <c r="E9">
        <v>0</v>
      </c>
      <c r="G9"/>
      <c r="H9"/>
      <c r="I9"/>
      <c r="J9"/>
      <c r="K9"/>
      <c r="S9" s="59">
        <f>(S7+S8)/2</f>
        <v>0.10808518658122879</v>
      </c>
      <c r="X9" s="2" t="s">
        <v>149</v>
      </c>
      <c r="AJ9" s="18" t="s">
        <v>76</v>
      </c>
      <c r="AK9" s="18"/>
      <c r="AL9" s="18"/>
      <c r="AM9" s="18"/>
      <c r="AN9" s="18"/>
      <c r="AO9"/>
      <c r="AP9"/>
      <c r="AQ9"/>
    </row>
    <row r="10" spans="2:43" ht="15" thickTop="1">
      <c r="B10" t="s">
        <v>21</v>
      </c>
      <c r="C10"/>
      <c r="D10"/>
      <c r="E10">
        <v>0.3</v>
      </c>
      <c r="F10" s="1">
        <v>0.6</v>
      </c>
      <c r="G10"/>
      <c r="H10"/>
      <c r="I10"/>
      <c r="J10"/>
      <c r="K10"/>
      <c r="X10" s="2" t="s">
        <v>150</v>
      </c>
      <c r="AJ10" s="18" t="s">
        <v>77</v>
      </c>
      <c r="AK10" s="18"/>
      <c r="AL10" s="18"/>
      <c r="AM10" s="18"/>
      <c r="AN10" s="18"/>
      <c r="AO10"/>
      <c r="AP10"/>
      <c r="AQ10"/>
    </row>
    <row r="11" spans="2:43" ht="15" thickBot="1">
      <c r="B11" s="47" t="s">
        <v>20</v>
      </c>
      <c r="C11" s="48"/>
      <c r="D11" s="48"/>
      <c r="E11" s="52">
        <f>SUM(E6:E10)</f>
        <v>52.7</v>
      </c>
      <c r="F11" s="52">
        <f>SUM(F6:F10)</f>
        <v>90.2</v>
      </c>
      <c r="G11" s="48"/>
      <c r="H11" s="48"/>
      <c r="I11" s="48"/>
      <c r="J11" s="48"/>
      <c r="K11" s="48"/>
      <c r="R11" s="3" t="s">
        <v>2</v>
      </c>
      <c r="X11" s="2" t="s">
        <v>151</v>
      </c>
      <c r="AJ11" s="18" t="s">
        <v>78</v>
      </c>
      <c r="AK11" s="18"/>
      <c r="AL11" s="18"/>
      <c r="AM11" s="18"/>
      <c r="AN11" s="18"/>
      <c r="AO11"/>
      <c r="AP11"/>
      <c r="AQ11"/>
    </row>
    <row r="12" spans="2:43" ht="15" thickTop="1">
      <c r="B12" t="s">
        <v>91</v>
      </c>
      <c r="C12"/>
      <c r="D12"/>
      <c r="E12">
        <v>2.5</v>
      </c>
      <c r="F12" s="1">
        <v>2.5</v>
      </c>
      <c r="G12" s="63">
        <f>F12</f>
        <v>2.5</v>
      </c>
      <c r="H12" s="63">
        <f t="shared" ref="H12:K12" si="0">G12</f>
        <v>2.5</v>
      </c>
      <c r="I12" s="63">
        <f t="shared" si="0"/>
        <v>2.5</v>
      </c>
      <c r="J12" s="63">
        <f t="shared" si="0"/>
        <v>2.5</v>
      </c>
      <c r="K12" s="63">
        <f t="shared" si="0"/>
        <v>2.5</v>
      </c>
      <c r="R12" s="2" t="s">
        <v>114</v>
      </c>
      <c r="X12" s="2" t="s">
        <v>152</v>
      </c>
      <c r="AJ12" s="18" t="s">
        <v>82</v>
      </c>
      <c r="AK12" s="18"/>
      <c r="AL12" s="18"/>
      <c r="AM12" s="18"/>
      <c r="AN12" s="18"/>
      <c r="AO12"/>
      <c r="AP12"/>
      <c r="AQ12"/>
    </row>
    <row r="13" spans="2:43">
      <c r="B13" t="s">
        <v>93</v>
      </c>
      <c r="C13"/>
      <c r="D13"/>
      <c r="E13">
        <v>15.2</v>
      </c>
      <c r="F13" s="53">
        <v>21.28</v>
      </c>
      <c r="G13" s="64"/>
      <c r="H13" s="64"/>
      <c r="I13" s="64"/>
      <c r="J13" s="64"/>
      <c r="K13" s="64"/>
      <c r="X13" s="2" t="s">
        <v>153</v>
      </c>
      <c r="AJ13" s="18" t="s">
        <v>81</v>
      </c>
      <c r="AK13" s="18"/>
      <c r="AL13" s="18"/>
      <c r="AM13" s="18"/>
      <c r="AN13" s="18"/>
      <c r="AO13"/>
      <c r="AP13"/>
      <c r="AQ13"/>
    </row>
    <row r="14" spans="2:43">
      <c r="B14" t="s">
        <v>19</v>
      </c>
      <c r="C14"/>
      <c r="D14"/>
      <c r="E14">
        <v>-1.6</v>
      </c>
      <c r="F14" s="1">
        <v>-3.3</v>
      </c>
      <c r="G14" s="64"/>
      <c r="H14" s="64"/>
      <c r="I14" s="64"/>
      <c r="J14" s="64"/>
      <c r="K14" s="64"/>
      <c r="R14" s="3" t="s">
        <v>115</v>
      </c>
      <c r="V14" s="10"/>
      <c r="X14" s="2" t="s">
        <v>154</v>
      </c>
      <c r="AJ14" s="18"/>
      <c r="AK14" s="18"/>
      <c r="AL14" s="18"/>
      <c r="AM14" s="18"/>
      <c r="AN14" s="18"/>
      <c r="AO14"/>
      <c r="AP14"/>
      <c r="AQ14"/>
    </row>
    <row r="15" spans="2:43">
      <c r="B15" t="s">
        <v>94</v>
      </c>
      <c r="C15"/>
      <c r="D15"/>
      <c r="E15">
        <v>12.1</v>
      </c>
      <c r="F15" s="53">
        <f>11.1+13.1</f>
        <v>24.2</v>
      </c>
      <c r="G15" s="64"/>
      <c r="H15" s="64"/>
      <c r="I15" s="64"/>
      <c r="J15" s="64"/>
      <c r="K15" s="64"/>
      <c r="R15" s="2" t="s">
        <v>116</v>
      </c>
      <c r="T15" s="2" t="s">
        <v>184</v>
      </c>
      <c r="X15" s="2" t="s">
        <v>155</v>
      </c>
      <c r="AJ15" s="18"/>
      <c r="AK15" s="18"/>
      <c r="AL15" s="18"/>
      <c r="AM15" s="18"/>
      <c r="AN15" s="18"/>
      <c r="AO15"/>
      <c r="AP15"/>
      <c r="AQ15"/>
    </row>
    <row r="16" spans="2:43">
      <c r="B16" t="s">
        <v>19</v>
      </c>
      <c r="C16"/>
      <c r="D16"/>
      <c r="E16">
        <v>-1</v>
      </c>
      <c r="F16" s="1">
        <v>-2.2000000000000002</v>
      </c>
      <c r="G16" s="64"/>
      <c r="H16" s="64"/>
      <c r="I16" s="64"/>
      <c r="J16" s="64"/>
      <c r="K16" s="64"/>
      <c r="R16" s="2" t="s">
        <v>117</v>
      </c>
      <c r="S16" s="10">
        <f>(F7+F8)-F24</f>
        <v>-30.27</v>
      </c>
      <c r="T16" s="9">
        <f>S17/'Model 7%'!F27</f>
        <v>-8.1170802099340578E-2</v>
      </c>
      <c r="U16" s="8"/>
      <c r="X16" s="2" t="s">
        <v>156</v>
      </c>
      <c r="AJ16" s="18" t="s">
        <v>83</v>
      </c>
      <c r="AK16" s="18"/>
      <c r="AL16" s="18"/>
      <c r="AM16" s="18"/>
      <c r="AN16" s="18"/>
      <c r="AO16"/>
      <c r="AP16"/>
      <c r="AQ16"/>
    </row>
    <row r="17" spans="2:45">
      <c r="B17" s="61" t="s">
        <v>18</v>
      </c>
      <c r="C17" s="61"/>
      <c r="D17" s="61"/>
      <c r="E17" s="65">
        <f>11.1+13.6</f>
        <v>24.7</v>
      </c>
      <c r="F17" s="65">
        <f>SUM(F13:F16)</f>
        <v>39.979999999999997</v>
      </c>
      <c r="G17" s="62">
        <f>$S$5*'Model 7%'!G25*(1-$S$9)</f>
        <v>50.579643410388464</v>
      </c>
      <c r="H17" s="62">
        <f>$S$5*'Model 7%'!H25*(1-$S$9)</f>
        <v>69.709869247003539</v>
      </c>
      <c r="I17" s="62">
        <f>$S$5*'Model 7%'!I25*(1-$S$9)</f>
        <v>96.444064936468976</v>
      </c>
      <c r="J17" s="62">
        <f>$S$5*'Model 7%'!J25*(1-$S$9)</f>
        <v>134.00154203405444</v>
      </c>
      <c r="K17" s="62">
        <f>$S$5*'Model 7%'!K25*(1-$S$9)</f>
        <v>153.05297766850566</v>
      </c>
      <c r="R17" s="2" t="s">
        <v>118</v>
      </c>
      <c r="S17" s="10">
        <f>(E7+E8)-E24</f>
        <v>-23.4</v>
      </c>
      <c r="T17" s="9">
        <f>S17/'Model 7%'!E27</f>
        <v>-0.14504162198682227</v>
      </c>
      <c r="U17" s="8"/>
      <c r="X17" s="2" t="s">
        <v>157</v>
      </c>
      <c r="AJ17" s="18" t="s">
        <v>84</v>
      </c>
      <c r="AK17" s="18"/>
      <c r="AL17" s="18"/>
      <c r="AM17" s="18"/>
      <c r="AN17" s="18"/>
      <c r="AO17"/>
      <c r="AP17"/>
      <c r="AQ17"/>
    </row>
    <row r="18" spans="2:45" ht="15" thickBot="1">
      <c r="B18" t="s">
        <v>17</v>
      </c>
      <c r="C18"/>
      <c r="D18"/>
      <c r="E18">
        <v>0.5</v>
      </c>
      <c r="F18" s="1">
        <v>1.5</v>
      </c>
      <c r="G18"/>
      <c r="H18"/>
      <c r="I18"/>
      <c r="J18"/>
      <c r="K18"/>
      <c r="S18" s="67">
        <f>AVERAGE(S17:S17)</f>
        <v>-23.4</v>
      </c>
      <c r="T18" s="70">
        <f>AVERAGE(T16:T17)</f>
        <v>-0.11310621204308142</v>
      </c>
      <c r="X18" s="2" t="s">
        <v>158</v>
      </c>
      <c r="AJ18" s="18" t="s">
        <v>85</v>
      </c>
      <c r="AK18" s="18"/>
      <c r="AL18" s="18"/>
      <c r="AM18" s="18"/>
      <c r="AN18" s="18"/>
      <c r="AO18"/>
      <c r="AP18"/>
      <c r="AQ18"/>
    </row>
    <row r="19" spans="2:45" ht="15" thickTop="1">
      <c r="B19" t="s">
        <v>92</v>
      </c>
      <c r="C19"/>
      <c r="D19"/>
      <c r="E19">
        <v>0.4</v>
      </c>
      <c r="F19" s="1">
        <v>1.9</v>
      </c>
      <c r="G19"/>
      <c r="H19"/>
      <c r="I19"/>
      <c r="J19"/>
      <c r="K19"/>
      <c r="X19" s="2" t="s">
        <v>159</v>
      </c>
      <c r="AJ19" s="18"/>
      <c r="AK19" s="18"/>
      <c r="AL19" s="18"/>
      <c r="AM19" s="18"/>
      <c r="AN19" s="18"/>
      <c r="AO19"/>
      <c r="AP19"/>
      <c r="AQ19"/>
    </row>
    <row r="20" spans="2:45" ht="15" thickBot="1">
      <c r="B20" s="47" t="s">
        <v>16</v>
      </c>
      <c r="C20" s="48"/>
      <c r="D20" s="48"/>
      <c r="E20" s="52">
        <f>E12+E17+E18+E19</f>
        <v>28.099999999999998</v>
      </c>
      <c r="F20" s="52">
        <f>F12+F17+F18+F19</f>
        <v>45.879999999999995</v>
      </c>
      <c r="G20" s="48"/>
      <c r="H20" s="48"/>
      <c r="I20" s="48"/>
      <c r="J20" s="48"/>
      <c r="K20" s="48"/>
      <c r="R20" s="2" t="s">
        <v>119</v>
      </c>
      <c r="S20" s="8">
        <f>(S18*365)/'Model 7%'!F27</f>
        <v>-29.627342766259314</v>
      </c>
      <c r="X20" s="2" t="s">
        <v>160</v>
      </c>
      <c r="AJ20" s="18"/>
      <c r="AK20" s="18"/>
      <c r="AL20" s="18"/>
      <c r="AM20" s="18"/>
      <c r="AN20" s="18"/>
      <c r="AO20"/>
      <c r="AP20"/>
      <c r="AQ20"/>
    </row>
    <row r="21" spans="2:45" ht="15.5" thickTop="1" thickBot="1">
      <c r="B21" s="49" t="s">
        <v>0</v>
      </c>
      <c r="C21" s="50"/>
      <c r="D21" s="50"/>
      <c r="E21" s="54">
        <f>E20+E11</f>
        <v>80.8</v>
      </c>
      <c r="F21" s="54">
        <f>F20+F11</f>
        <v>136.07999999999998</v>
      </c>
      <c r="G21" s="54"/>
      <c r="H21" s="54"/>
      <c r="I21" s="54"/>
      <c r="J21" s="54"/>
      <c r="K21" s="54"/>
      <c r="U21" s="8"/>
      <c r="X21" s="2" t="s">
        <v>161</v>
      </c>
      <c r="AJ21" s="18"/>
      <c r="AK21" s="18"/>
      <c r="AL21" s="18"/>
      <c r="AM21" s="18"/>
      <c r="AN21" s="18"/>
      <c r="AO21"/>
      <c r="AP21"/>
      <c r="AQ21"/>
    </row>
    <row r="22" spans="2:45" ht="15" thickTop="1">
      <c r="B22" t="s">
        <v>15</v>
      </c>
      <c r="C22"/>
      <c r="D22"/>
      <c r="E22"/>
      <c r="G22"/>
      <c r="H22"/>
      <c r="I22"/>
      <c r="J22"/>
      <c r="K22"/>
      <c r="R22" s="3" t="s">
        <v>120</v>
      </c>
      <c r="X22" s="2" t="s">
        <v>162</v>
      </c>
      <c r="AJ22" s="91">
        <f>('Model 7%'!K27/'Model 7%'!G27)^0.25-1</f>
        <v>0.39616549806361312</v>
      </c>
      <c r="AK22" s="18"/>
      <c r="AL22" s="18"/>
      <c r="AM22" s="18"/>
      <c r="AN22" s="18"/>
      <c r="AO22"/>
      <c r="AP22"/>
      <c r="AQ22"/>
    </row>
    <row r="23" spans="2:45">
      <c r="B23" t="s">
        <v>14</v>
      </c>
      <c r="C23"/>
      <c r="D23"/>
      <c r="E23"/>
      <c r="G23"/>
      <c r="H23"/>
      <c r="I23"/>
      <c r="J23"/>
      <c r="K23"/>
      <c r="R23" s="2" t="s">
        <v>126</v>
      </c>
      <c r="X23" s="2" t="s">
        <v>163</v>
      </c>
      <c r="AJ23" s="18"/>
      <c r="AK23" s="18"/>
      <c r="AL23" s="18"/>
      <c r="AM23" s="18"/>
      <c r="AN23" s="18"/>
      <c r="AO23"/>
      <c r="AP23"/>
      <c r="AQ23"/>
    </row>
    <row r="24" spans="2:45">
      <c r="B24" t="s">
        <v>95</v>
      </c>
      <c r="C24"/>
      <c r="D24"/>
      <c r="E24">
        <v>30.7</v>
      </c>
      <c r="F24" s="1">
        <v>41.97</v>
      </c>
      <c r="G24"/>
      <c r="H24"/>
      <c r="I24"/>
      <c r="J24"/>
      <c r="K24"/>
      <c r="X24" s="2" t="s">
        <v>164</v>
      </c>
    </row>
    <row r="25" spans="2:45">
      <c r="B25" t="s">
        <v>96</v>
      </c>
      <c r="C25"/>
      <c r="D25"/>
      <c r="E25">
        <v>1.5</v>
      </c>
      <c r="F25" s="1">
        <v>9.1</v>
      </c>
      <c r="G25"/>
      <c r="H25"/>
      <c r="I25"/>
      <c r="J25"/>
      <c r="K25"/>
      <c r="R25" s="3" t="s">
        <v>121</v>
      </c>
      <c r="X25" s="2" t="s">
        <v>165</v>
      </c>
    </row>
    <row r="26" spans="2:45">
      <c r="B26" t="s">
        <v>31</v>
      </c>
      <c r="C26"/>
      <c r="D26"/>
      <c r="E26">
        <v>5.9</v>
      </c>
      <c r="F26" s="1">
        <v>8</v>
      </c>
      <c r="G26"/>
      <c r="H26"/>
      <c r="I26"/>
      <c r="J26"/>
      <c r="K26"/>
      <c r="R26" s="2" t="s">
        <v>122</v>
      </c>
      <c r="S26" s="68">
        <v>0.26600000000000001</v>
      </c>
      <c r="X26" s="2" t="s">
        <v>166</v>
      </c>
      <c r="AJ26" t="s">
        <v>54</v>
      </c>
      <c r="AK26"/>
      <c r="AL26"/>
      <c r="AM26"/>
      <c r="AN26"/>
      <c r="AO26"/>
      <c r="AP26"/>
      <c r="AQ26"/>
      <c r="AR26" t="s">
        <v>57</v>
      </c>
      <c r="AS26" s="12">
        <f>('Model 7%'!K6/'Model 7%'!F6)^0.2-1</f>
        <v>0.36229009628736719</v>
      </c>
    </row>
    <row r="27" spans="2:45">
      <c r="B27" t="s">
        <v>97</v>
      </c>
      <c r="C27"/>
      <c r="D27"/>
      <c r="E27">
        <v>0.03</v>
      </c>
      <c r="F27" s="1">
        <v>0.5</v>
      </c>
      <c r="G27"/>
      <c r="H27"/>
      <c r="I27"/>
      <c r="J27"/>
      <c r="K27"/>
      <c r="R27" s="2" t="s">
        <v>123</v>
      </c>
      <c r="S27" s="9">
        <v>0</v>
      </c>
      <c r="AJ27" t="s">
        <v>55</v>
      </c>
      <c r="AK27"/>
      <c r="AL27"/>
      <c r="AM27"/>
      <c r="AN27"/>
      <c r="AO27"/>
      <c r="AP27"/>
      <c r="AQ27"/>
      <c r="AR27" t="s">
        <v>57</v>
      </c>
      <c r="AS27" s="12">
        <f>('Model 7%'!K7/'Model 7%'!F7)^0.2-1</f>
        <v>0.31324709199358858</v>
      </c>
    </row>
    <row r="28" spans="2:45">
      <c r="B28" t="s">
        <v>98</v>
      </c>
      <c r="C28"/>
      <c r="D28"/>
      <c r="E28">
        <v>1.3</v>
      </c>
      <c r="F28" s="1">
        <v>3.1</v>
      </c>
      <c r="G28"/>
      <c r="H28"/>
      <c r="I28"/>
      <c r="J28"/>
      <c r="K28"/>
      <c r="AJ28" t="s">
        <v>56</v>
      </c>
      <c r="AK28"/>
      <c r="AP28" s="4"/>
      <c r="AQ28"/>
      <c r="AR28"/>
      <c r="AS28"/>
    </row>
    <row r="29" spans="2:45">
      <c r="B29" t="s">
        <v>13</v>
      </c>
      <c r="C29"/>
      <c r="D29"/>
      <c r="E29">
        <v>0</v>
      </c>
      <c r="F29" s="1">
        <v>0</v>
      </c>
      <c r="G29"/>
      <c r="H29"/>
      <c r="I29"/>
      <c r="J29"/>
      <c r="K29"/>
      <c r="R29" s="3" t="s">
        <v>124</v>
      </c>
      <c r="AJ29"/>
      <c r="AK29"/>
      <c r="AM29" s="9"/>
      <c r="AP29" s="9"/>
      <c r="AQ29"/>
      <c r="AR29"/>
      <c r="AS29"/>
    </row>
    <row r="30" spans="2:45" ht="15" thickBot="1">
      <c r="B30" s="47" t="s">
        <v>12</v>
      </c>
      <c r="C30" s="48"/>
      <c r="D30" s="48"/>
      <c r="E30" s="52">
        <f>SUM(E24:E29)</f>
        <v>39.43</v>
      </c>
      <c r="F30" s="52">
        <f>SUM(F24:F29)</f>
        <v>62.67</v>
      </c>
      <c r="G30" s="48"/>
      <c r="H30" s="48"/>
      <c r="I30" s="48"/>
      <c r="J30" s="48"/>
      <c r="K30" s="48"/>
      <c r="AJ30"/>
      <c r="AK30"/>
      <c r="AM30" s="10"/>
      <c r="AP30" s="4"/>
      <c r="AQ30"/>
      <c r="AR30"/>
      <c r="AS30"/>
    </row>
    <row r="31" spans="2:45" ht="15" thickTop="1">
      <c r="B31" t="s">
        <v>11</v>
      </c>
      <c r="C31"/>
      <c r="D31"/>
      <c r="E31"/>
      <c r="G31"/>
      <c r="H31"/>
      <c r="I31"/>
      <c r="J31"/>
      <c r="K31"/>
      <c r="AJ31" t="s">
        <v>58</v>
      </c>
      <c r="AK31"/>
      <c r="AM31" s="9"/>
      <c r="AP31" s="19"/>
      <c r="AQ31"/>
      <c r="AR31" t="s">
        <v>57</v>
      </c>
      <c r="AS31" s="12">
        <f>('Model 7%'!K18/'Model 7%'!F18)^0.2-1</f>
        <v>0.31306772144413064</v>
      </c>
    </row>
    <row r="32" spans="2:45">
      <c r="B32" t="s">
        <v>10</v>
      </c>
      <c r="C32"/>
      <c r="D32"/>
      <c r="E32">
        <v>12.5</v>
      </c>
      <c r="F32" s="1">
        <v>12.1</v>
      </c>
      <c r="G32"/>
      <c r="H32"/>
      <c r="I32"/>
      <c r="J32"/>
      <c r="K32"/>
      <c r="R32" s="20" t="s">
        <v>61</v>
      </c>
      <c r="S32" s="21"/>
      <c r="AJ32"/>
      <c r="AK32"/>
      <c r="AM32" s="9"/>
      <c r="AP32" s="19"/>
      <c r="AQ32"/>
      <c r="AR32" t="s">
        <v>57</v>
      </c>
      <c r="AS32" s="12">
        <f>('Model 7%'!K20/'Model 7%'!F20)^0.2-1</f>
        <v>0.61331336524398483</v>
      </c>
    </row>
    <row r="33" spans="2:44">
      <c r="B33" t="s">
        <v>99</v>
      </c>
      <c r="C33"/>
      <c r="D33"/>
      <c r="E33">
        <v>0</v>
      </c>
      <c r="F33" s="1">
        <v>23.2</v>
      </c>
      <c r="G33"/>
      <c r="H33"/>
      <c r="I33"/>
      <c r="J33"/>
      <c r="K33"/>
      <c r="R33" s="21" t="s">
        <v>62</v>
      </c>
      <c r="S33" s="22">
        <v>1</v>
      </c>
    </row>
    <row r="34" spans="2:44">
      <c r="B34" t="s">
        <v>100</v>
      </c>
      <c r="C34"/>
      <c r="D34"/>
      <c r="E34">
        <v>11.45</v>
      </c>
      <c r="F34" s="1">
        <v>20.9</v>
      </c>
      <c r="G34"/>
      <c r="H34"/>
      <c r="I34"/>
      <c r="J34"/>
      <c r="K34"/>
      <c r="M34">
        <f>F28+F34</f>
        <v>24</v>
      </c>
      <c r="R34" s="21" t="s">
        <v>63</v>
      </c>
      <c r="S34" s="23">
        <v>5.0000000000000001E-3</v>
      </c>
      <c r="T34" s="2" t="s">
        <v>136</v>
      </c>
    </row>
    <row r="35" spans="2:44" ht="15" thickBot="1">
      <c r="B35" s="47" t="s">
        <v>9</v>
      </c>
      <c r="C35" s="48"/>
      <c r="D35" s="48"/>
      <c r="E35" s="52">
        <f>SUM(E32:E34)</f>
        <v>23.95</v>
      </c>
      <c r="F35" s="52">
        <f>SUM(F32:F34)</f>
        <v>56.199999999999996</v>
      </c>
      <c r="G35" s="48"/>
      <c r="H35" s="48"/>
      <c r="I35" s="48"/>
      <c r="J35" s="48"/>
      <c r="K35" s="48"/>
      <c r="R35" s="21" t="s">
        <v>64</v>
      </c>
      <c r="S35" s="23">
        <v>5.2299999999999999E-2</v>
      </c>
      <c r="T35" s="2" t="s">
        <v>135</v>
      </c>
    </row>
    <row r="36" spans="2:44" ht="15.5" thickTop="1" thickBot="1">
      <c r="B36" s="49" t="s">
        <v>8</v>
      </c>
      <c r="C36" s="54"/>
      <c r="D36" s="54"/>
      <c r="E36" s="54">
        <f>E35+E30</f>
        <v>63.379999999999995</v>
      </c>
      <c r="F36" s="54">
        <f>F35+F30</f>
        <v>118.87</v>
      </c>
      <c r="G36" s="54"/>
      <c r="H36" s="54"/>
      <c r="I36" s="54"/>
      <c r="J36" s="54"/>
      <c r="K36" s="54"/>
      <c r="AJ36"/>
      <c r="AK36"/>
      <c r="AL36"/>
      <c r="AN36" s="9"/>
      <c r="AQ36" s="19"/>
      <c r="AR36"/>
    </row>
    <row r="37" spans="2:44" ht="15" thickTop="1">
      <c r="B37" s="6" t="s">
        <v>7</v>
      </c>
      <c r="C37"/>
      <c r="D37"/>
      <c r="E37"/>
      <c r="G37"/>
      <c r="H37"/>
      <c r="I37"/>
      <c r="J37"/>
      <c r="K37"/>
      <c r="AJ37"/>
      <c r="AK37"/>
      <c r="AL37"/>
      <c r="AN37" s="9"/>
      <c r="AQ37" s="19"/>
      <c r="AR37"/>
    </row>
    <row r="38" spans="2:44">
      <c r="B38" t="s">
        <v>6</v>
      </c>
      <c r="C38"/>
      <c r="D38"/>
      <c r="E38" s="1">
        <v>56.6</v>
      </c>
      <c r="F38" s="1">
        <v>57</v>
      </c>
      <c r="G38"/>
      <c r="H38"/>
      <c r="I38"/>
      <c r="J38"/>
      <c r="K38"/>
      <c r="AJ38"/>
      <c r="AK38"/>
      <c r="AL38"/>
      <c r="AN38" s="9"/>
      <c r="AQ38" s="19"/>
      <c r="AR38"/>
    </row>
    <row r="39" spans="2:44">
      <c r="B39" t="s">
        <v>101</v>
      </c>
      <c r="C39"/>
      <c r="D39"/>
      <c r="E39">
        <v>2.35</v>
      </c>
      <c r="F39" s="1">
        <v>3.6</v>
      </c>
      <c r="G39"/>
      <c r="H39"/>
      <c r="I39"/>
      <c r="J39"/>
      <c r="K39"/>
      <c r="AJ39"/>
      <c r="AK39"/>
      <c r="AL39"/>
      <c r="AN39" s="9"/>
      <c r="AQ39" s="19"/>
      <c r="AR39"/>
    </row>
    <row r="40" spans="2:44">
      <c r="B40" t="s">
        <v>99</v>
      </c>
      <c r="C40"/>
      <c r="D40"/>
      <c r="E40">
        <v>0</v>
      </c>
      <c r="F40" s="1">
        <v>3.7</v>
      </c>
      <c r="G40"/>
      <c r="H40"/>
      <c r="I40"/>
      <c r="J40"/>
      <c r="K40"/>
      <c r="AJ40"/>
      <c r="AK40"/>
      <c r="AL40"/>
      <c r="AM40"/>
      <c r="AN40"/>
      <c r="AO40"/>
      <c r="AP40"/>
      <c r="AQ40"/>
      <c r="AR40"/>
    </row>
    <row r="41" spans="2:44">
      <c r="B41" s="1" t="s">
        <v>102</v>
      </c>
      <c r="E41" s="1">
        <f>-(41.5)</f>
        <v>-41.5</v>
      </c>
      <c r="F41" s="1">
        <f>-(47.3)</f>
        <v>-47.3</v>
      </c>
      <c r="AJ41" t="s">
        <v>60</v>
      </c>
      <c r="AK41"/>
      <c r="AL41"/>
      <c r="AM41"/>
      <c r="AN41"/>
      <c r="AO41"/>
      <c r="AP41"/>
      <c r="AQ41"/>
      <c r="AR41"/>
    </row>
    <row r="42" spans="2:44" ht="15" thickBot="1">
      <c r="B42" s="49" t="s">
        <v>5</v>
      </c>
      <c r="C42" s="50"/>
      <c r="D42" s="50"/>
      <c r="E42" s="55">
        <f>SUM(E38:E41)</f>
        <v>17.450000000000003</v>
      </c>
      <c r="F42" s="50">
        <f>SUM(F38:F41)</f>
        <v>17</v>
      </c>
      <c r="G42" s="50"/>
      <c r="H42" s="50"/>
      <c r="I42" s="50"/>
      <c r="J42" s="50"/>
      <c r="K42" s="50"/>
      <c r="AJ42"/>
      <c r="AK42"/>
      <c r="AL42"/>
      <c r="AM42"/>
      <c r="AN42"/>
      <c r="AO42"/>
      <c r="AP42"/>
      <c r="AQ42"/>
      <c r="AR42"/>
    </row>
    <row r="43" spans="2:44" ht="15" thickTop="1">
      <c r="B43" t="s">
        <v>4</v>
      </c>
      <c r="C43"/>
      <c r="D43"/>
      <c r="E43" s="56">
        <f>E36+E42</f>
        <v>80.83</v>
      </c>
      <c r="F43" s="56">
        <f>F36+F42</f>
        <v>135.87</v>
      </c>
      <c r="G43"/>
      <c r="H43"/>
      <c r="I43"/>
      <c r="J43"/>
      <c r="K43"/>
      <c r="AJ43"/>
      <c r="AK43"/>
      <c r="AL43"/>
      <c r="AM43"/>
      <c r="AN43"/>
      <c r="AO43"/>
      <c r="AP43"/>
      <c r="AQ43"/>
      <c r="AR43"/>
    </row>
    <row r="44" spans="2:44">
      <c r="AJ44"/>
      <c r="AK44"/>
      <c r="AL44"/>
      <c r="AM44" t="s">
        <v>48</v>
      </c>
      <c r="AN44" s="6"/>
      <c r="AO44" s="6"/>
      <c r="AP44" s="6"/>
      <c r="AQ44" s="14">
        <v>272</v>
      </c>
      <c r="AR44" s="6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CE93B-0B95-490A-8925-BA6B03396BD4}">
  <dimension ref="A1:Z25"/>
  <sheetViews>
    <sheetView showGridLines="0" zoomScale="80" zoomScaleNormal="80" workbookViewId="0">
      <selection activeCell="P57" sqref="P57"/>
    </sheetView>
  </sheetViews>
  <sheetFormatPr defaultRowHeight="14.5"/>
  <cols>
    <col min="1" max="1" width="18" style="2" customWidth="1"/>
    <col min="2" max="2" width="8.90625" style="2" customWidth="1"/>
    <col min="3" max="3" width="9.08984375" style="2" customWidth="1"/>
    <col min="4" max="4" width="9.36328125" style="2" customWidth="1"/>
  </cols>
  <sheetData>
    <row r="1" spans="1:5" ht="15" thickBot="1"/>
    <row r="2" spans="1:5">
      <c r="B2" s="185" t="s">
        <v>189</v>
      </c>
      <c r="C2" s="186" t="s">
        <v>188</v>
      </c>
      <c r="D2" s="186" t="s">
        <v>187</v>
      </c>
    </row>
    <row r="3" spans="1:5">
      <c r="A3" s="2" t="s">
        <v>192</v>
      </c>
      <c r="B3" s="2">
        <v>0.38</v>
      </c>
      <c r="C3" s="2">
        <v>0.32</v>
      </c>
      <c r="D3" s="2">
        <v>-5.5</v>
      </c>
    </row>
    <row r="4" spans="1:5">
      <c r="A4" s="2" t="s">
        <v>190</v>
      </c>
      <c r="B4" s="7">
        <v>7.0497427101200687</v>
      </c>
      <c r="C4" s="7">
        <v>46.137598068799036</v>
      </c>
      <c r="D4" s="7">
        <v>8.6285714285714281</v>
      </c>
    </row>
    <row r="5" spans="1:5">
      <c r="A5" s="2" t="s">
        <v>191</v>
      </c>
      <c r="B5" s="2">
        <v>411</v>
      </c>
      <c r="C5" s="4">
        <v>7645</v>
      </c>
      <c r="D5" s="2">
        <v>151</v>
      </c>
    </row>
    <row r="6" spans="1:5">
      <c r="A6" s="2" t="s">
        <v>197</v>
      </c>
      <c r="B6" s="9">
        <v>0.27</v>
      </c>
      <c r="C6" s="9">
        <v>0.26200000000000001</v>
      </c>
      <c r="D6" s="9">
        <v>0.31900000000000001</v>
      </c>
    </row>
    <row r="7" spans="1:5">
      <c r="A7" s="2" t="s">
        <v>204</v>
      </c>
      <c r="B7" s="184">
        <v>-4.5999999999999999E-2</v>
      </c>
      <c r="C7" s="184">
        <v>7.5999999999999998E-2</v>
      </c>
      <c r="D7" s="184">
        <v>-0.12180000000000001</v>
      </c>
    </row>
    <row r="8" spans="1:5">
      <c r="A8" s="2" t="s">
        <v>196</v>
      </c>
      <c r="B8" s="2">
        <v>37.700000000000003</v>
      </c>
      <c r="C8" s="2">
        <v>1129</v>
      </c>
      <c r="D8" s="2">
        <v>144.5</v>
      </c>
      <c r="E8" s="11"/>
    </row>
    <row r="9" spans="1:5">
      <c r="A9" s="2" t="s">
        <v>203</v>
      </c>
      <c r="B9" s="4">
        <v>139.62962962962962</v>
      </c>
      <c r="C9" s="4">
        <v>4309.160305343511</v>
      </c>
      <c r="D9" s="4">
        <v>452.97805642633227</v>
      </c>
    </row>
    <row r="10" spans="1:5">
      <c r="A10" s="2" t="s">
        <v>195</v>
      </c>
      <c r="B10" s="16">
        <v>-6.976</v>
      </c>
      <c r="C10" s="2">
        <v>243</v>
      </c>
      <c r="D10" s="2">
        <v>-24.8</v>
      </c>
    </row>
    <row r="11" spans="1:5">
      <c r="A11" s="2" t="s">
        <v>194</v>
      </c>
      <c r="B11" s="2">
        <v>-6.2</v>
      </c>
      <c r="C11" s="2">
        <v>282</v>
      </c>
      <c r="D11" s="2">
        <v>-22</v>
      </c>
    </row>
    <row r="12" spans="1:5">
      <c r="A12" s="2" t="s">
        <v>198</v>
      </c>
      <c r="B12" s="2">
        <v>68.900000000000006</v>
      </c>
      <c r="C12" s="2">
        <v>270</v>
      </c>
      <c r="D12" s="2">
        <v>90</v>
      </c>
    </row>
    <row r="13" spans="1:5">
      <c r="A13" s="2" t="s">
        <v>199</v>
      </c>
      <c r="B13" s="2">
        <v>4.03</v>
      </c>
      <c r="C13" s="2">
        <v>0.62</v>
      </c>
      <c r="D13" s="2">
        <v>1.67</v>
      </c>
    </row>
    <row r="14" spans="1:5">
      <c r="A14" s="2" t="s">
        <v>200</v>
      </c>
      <c r="B14" s="2">
        <v>1.44</v>
      </c>
      <c r="C14" s="2">
        <v>2.12</v>
      </c>
      <c r="D14" s="2">
        <v>1.3</v>
      </c>
    </row>
    <row r="15" spans="1:5">
      <c r="A15" s="2" t="s">
        <v>201</v>
      </c>
      <c r="B15" s="2">
        <v>2.4</v>
      </c>
      <c r="C15" s="2">
        <v>4.2</v>
      </c>
      <c r="D15" s="2">
        <v>0.24</v>
      </c>
    </row>
    <row r="16" spans="1:5">
      <c r="A16" s="2" t="s">
        <v>202</v>
      </c>
      <c r="B16" s="2">
        <v>23.5</v>
      </c>
      <c r="C16" s="2">
        <v>30.8</v>
      </c>
      <c r="D16" s="16">
        <v>1.62</v>
      </c>
    </row>
    <row r="17" spans="1:26">
      <c r="A17" s="2" t="s">
        <v>193</v>
      </c>
      <c r="B17" s="4">
        <v>1800</v>
      </c>
      <c r="C17" s="4">
        <v>4477</v>
      </c>
      <c r="D17" s="4">
        <v>1612</v>
      </c>
      <c r="Z17">
        <f>150+90</f>
        <v>240</v>
      </c>
    </row>
    <row r="18" spans="1:26">
      <c r="A18" s="2" t="s">
        <v>1</v>
      </c>
      <c r="B18" s="2">
        <v>-39</v>
      </c>
      <c r="C18" s="2">
        <v>-122</v>
      </c>
    </row>
    <row r="21" spans="1:26">
      <c r="A21" s="187" t="s">
        <v>209</v>
      </c>
    </row>
    <row r="22" spans="1:26">
      <c r="A22" s="2" t="s">
        <v>205</v>
      </c>
      <c r="E22" s="2"/>
      <c r="F22" s="2"/>
      <c r="G22" s="2"/>
      <c r="H22" s="2"/>
    </row>
    <row r="23" spans="1:26">
      <c r="A23" s="2" t="s">
        <v>206</v>
      </c>
      <c r="E23" s="2"/>
      <c r="F23" s="2"/>
      <c r="G23" s="2"/>
      <c r="H23" s="2"/>
    </row>
    <row r="24" spans="1:26">
      <c r="A24" s="2" t="s">
        <v>207</v>
      </c>
      <c r="E24" s="2"/>
      <c r="F24" s="2"/>
      <c r="G24" s="2"/>
      <c r="H24" s="2"/>
    </row>
    <row r="25" spans="1:26">
      <c r="A25" s="2" t="s">
        <v>208</v>
      </c>
      <c r="E25" s="2"/>
      <c r="F25" s="2"/>
      <c r="G25" s="2"/>
      <c r="H2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Bull-Bear</vt:lpstr>
      <vt:lpstr>Model 7%</vt:lpstr>
      <vt:lpstr>Model 10%</vt:lpstr>
      <vt:lpstr>Model 13%</vt:lpstr>
      <vt:lpstr>BS</vt:lpstr>
      <vt:lpstr>Comparable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Loutrel</dc:creator>
  <cp:lastModifiedBy>Martin Loutrel</cp:lastModifiedBy>
  <cp:lastPrinted>2020-08-09T19:01:12Z</cp:lastPrinted>
  <dcterms:created xsi:type="dcterms:W3CDTF">2020-05-27T00:31:12Z</dcterms:created>
  <dcterms:modified xsi:type="dcterms:W3CDTF">2020-08-18T14:13:41Z</dcterms:modified>
</cp:coreProperties>
</file>