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kw2_wtorek_11_30\"/>
    </mc:Choice>
  </mc:AlternateContent>
  <bookViews>
    <workbookView xWindow="0" yWindow="0" windowWidth="28800" windowHeight="11805"/>
  </bookViews>
  <sheets>
    <sheet name="zad 1" sheetId="1" r:id="rId1"/>
    <sheet name="zad 2 - SPS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16" i="1" l="1"/>
  <c r="Q116" i="1"/>
  <c r="Q109" i="1"/>
  <c r="Q104" i="1"/>
  <c r="Q101" i="1"/>
  <c r="G29" i="1" l="1"/>
  <c r="S66" i="1" s="1"/>
  <c r="Q69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Q57" i="1"/>
  <c r="Q50" i="1"/>
  <c r="Q48" i="1"/>
  <c r="K29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4" i="1"/>
  <c r="S27" i="1" a="1"/>
  <c r="S27" i="1" s="1"/>
  <c r="Q27" i="1"/>
  <c r="Q26" i="1"/>
  <c r="E4" i="1"/>
  <c r="Q64" i="1" l="1"/>
  <c r="T27" i="1"/>
  <c r="G4" i="1"/>
  <c r="E7" i="1"/>
  <c r="E8" i="1"/>
  <c r="E11" i="1"/>
  <c r="E12" i="1"/>
  <c r="E15" i="1"/>
  <c r="E16" i="1"/>
  <c r="E19" i="1"/>
  <c r="E20" i="1"/>
  <c r="E23" i="1"/>
  <c r="E24" i="1"/>
  <c r="E27" i="1"/>
  <c r="E28" i="1"/>
  <c r="D8" i="1"/>
  <c r="H8" i="1" s="1"/>
  <c r="D12" i="1"/>
  <c r="H12" i="1" s="1"/>
  <c r="D16" i="1"/>
  <c r="H16" i="1" s="1"/>
  <c r="D20" i="1"/>
  <c r="H20" i="1" s="1"/>
  <c r="D24" i="1"/>
  <c r="H24" i="1" s="1"/>
  <c r="D28" i="1"/>
  <c r="H28" i="1" s="1"/>
  <c r="C30" i="1"/>
  <c r="B30" i="1"/>
  <c r="D19" i="1" s="1"/>
  <c r="C29" i="1"/>
  <c r="B29" i="1"/>
  <c r="H19" i="1" l="1"/>
  <c r="F19" i="1"/>
  <c r="D23" i="1"/>
  <c r="D15" i="1"/>
  <c r="D11" i="1"/>
  <c r="D7" i="1"/>
  <c r="F28" i="1"/>
  <c r="F24" i="1"/>
  <c r="F20" i="1"/>
  <c r="F16" i="1"/>
  <c r="F12" i="1"/>
  <c r="F8" i="1"/>
  <c r="D26" i="1"/>
  <c r="D22" i="1"/>
  <c r="D18" i="1"/>
  <c r="D14" i="1"/>
  <c r="D10" i="1"/>
  <c r="D6" i="1"/>
  <c r="E26" i="1"/>
  <c r="E22" i="1"/>
  <c r="E18" i="1"/>
  <c r="E14" i="1"/>
  <c r="E10" i="1"/>
  <c r="E6" i="1"/>
  <c r="D4" i="1"/>
  <c r="D25" i="1"/>
  <c r="D21" i="1"/>
  <c r="D17" i="1"/>
  <c r="D13" i="1"/>
  <c r="D9" i="1"/>
  <c r="D5" i="1"/>
  <c r="E25" i="1"/>
  <c r="E21" i="1"/>
  <c r="E17" i="1"/>
  <c r="E13" i="1"/>
  <c r="E9" i="1"/>
  <c r="E5" i="1"/>
  <c r="D27" i="1"/>
  <c r="F5" i="1" l="1"/>
  <c r="H5" i="1"/>
  <c r="F21" i="1"/>
  <c r="H21" i="1"/>
  <c r="H18" i="1"/>
  <c r="F18" i="1"/>
  <c r="H15" i="1"/>
  <c r="F15" i="1"/>
  <c r="F27" i="1"/>
  <c r="H27" i="1"/>
  <c r="H9" i="1"/>
  <c r="F9" i="1"/>
  <c r="H25" i="1"/>
  <c r="F25" i="1"/>
  <c r="H6" i="1"/>
  <c r="F6" i="1"/>
  <c r="H22" i="1"/>
  <c r="F22" i="1"/>
  <c r="H23" i="1"/>
  <c r="F23" i="1"/>
  <c r="F13" i="1"/>
  <c r="H13" i="1"/>
  <c r="F4" i="1"/>
  <c r="H4" i="1"/>
  <c r="H10" i="1"/>
  <c r="F10" i="1"/>
  <c r="H26" i="1"/>
  <c r="F26" i="1"/>
  <c r="F7" i="1"/>
  <c r="H7" i="1"/>
  <c r="H17" i="1"/>
  <c r="F17" i="1"/>
  <c r="H14" i="1"/>
  <c r="F14" i="1"/>
  <c r="H11" i="1"/>
  <c r="F11" i="1"/>
  <c r="H29" i="1" l="1"/>
  <c r="F29" i="1"/>
  <c r="Q18" i="1" l="1"/>
  <c r="Q19" i="1" s="1"/>
</calcChain>
</file>

<file path=xl/sharedStrings.xml><?xml version="1.0" encoding="utf-8"?>
<sst xmlns="http://schemas.openxmlformats.org/spreadsheetml/2006/main" count="100" uniqueCount="92">
  <si>
    <t>Rok</t>
  </si>
  <si>
    <t>SUMA</t>
  </si>
  <si>
    <t>Zaprezentowane zostały dane GUS dotyczące przeciętnego dochodu rozporządzalnego oraz przeciętnych miesięcznych wydatków na hotele i restauracje per capita (PLN) w latach 1999-2023</t>
  </si>
  <si>
    <t>ŚREDNIA</t>
  </si>
  <si>
    <r>
      <t xml:space="preserve">Przeciętne miesięczne wydatki na hotele i restaurance na 1 osobę w PLN </t>
    </r>
    <r>
      <rPr>
        <sz val="16"/>
        <color theme="1"/>
        <rFont val="Aptos Narrow"/>
        <family val="2"/>
        <scheme val="minor"/>
      </rPr>
      <t>[</t>
    </r>
    <r>
      <rPr>
        <b/>
        <sz val="16"/>
        <color theme="1"/>
        <rFont val="Aptos Narrow"/>
        <family val="2"/>
        <scheme val="minor"/>
      </rPr>
      <t>yi</t>
    </r>
    <r>
      <rPr>
        <sz val="16"/>
        <color theme="1"/>
        <rFont val="Aptos Narrow"/>
        <family val="2"/>
        <scheme val="minor"/>
      </rPr>
      <t>]</t>
    </r>
  </si>
  <si>
    <r>
      <t xml:space="preserve">Przeciętny dochód rozporządzalny na 1 osobę w PLN       </t>
    </r>
    <r>
      <rPr>
        <sz val="16"/>
        <color theme="1"/>
        <rFont val="Aptos Narrow"/>
        <family val="2"/>
        <scheme val="minor"/>
      </rPr>
      <t xml:space="preserve">   [</t>
    </r>
    <r>
      <rPr>
        <b/>
        <sz val="16"/>
        <color theme="1"/>
        <rFont val="Aptos Narrow"/>
        <family val="2"/>
        <scheme val="minor"/>
      </rPr>
      <t>xi</t>
    </r>
    <r>
      <rPr>
        <sz val="16"/>
        <color theme="1"/>
        <rFont val="Aptos Narrow"/>
        <family val="2"/>
        <scheme val="minor"/>
      </rPr>
      <t>]</t>
    </r>
  </si>
  <si>
    <t>xi- x śr.</t>
  </si>
  <si>
    <t>yi - y śr.</t>
  </si>
  <si>
    <t>(xi- x śr.)^2</t>
  </si>
  <si>
    <t>(yi - y śr.)^2</t>
  </si>
  <si>
    <t>(xi- x śr.)(yi - y śr.)</t>
  </si>
  <si>
    <t>Na podstawie danych:</t>
  </si>
  <si>
    <t>a) oszacuj parametry strukturalne, a następnie zapisz równanie liniowej funkcji regresji</t>
  </si>
  <si>
    <t xml:space="preserve">b) zinterpretuj współczynnik kierunkowy funkcji regresji. Wyznacz b0 i b1 przy zastosowaniu odpowiednich funkcji </t>
  </si>
  <si>
    <t xml:space="preserve">c) oblicz wariancję odchyleń losowych, średni błąd szacunku oraz współczynnik zmienności losowej - zinterpretuj otrzymane wielkości </t>
  </si>
  <si>
    <t>d) oblicz współczynnik determinacji i współczynnik zbieżności - zinerpretuj otrzymane wartości</t>
  </si>
  <si>
    <t>f) wyznacz i zinterpretuj standardowe błędy szacunku parametrów strukturalnych</t>
  </si>
  <si>
    <t>h) wyznacz prognozowaną kwotę wydatków na restauracje i hotele przy dochodzie rozporządzalnym wynoszącym 3000 zł</t>
  </si>
  <si>
    <t>i) oblicz bezwzględny i względny błąd prognozy, oceń dopuszczalność prognozy i podaj przedział kształtowania się prognozy</t>
  </si>
  <si>
    <t>Na podstawie pliku regresja.sav wyznacz równanie regresji oraz sprawdź istotność regresji</t>
  </si>
  <si>
    <t>g) sprawdź odpowiednim testem czy otrzymane parametry strukturalne są istotne statystycznie (alfa=0,05)</t>
  </si>
  <si>
    <t>e) wygeneruj za pomocą odpowiedniej funkcji tablicę ANOVA, a następnie zbadaj istotność statystyczną regresji (alfa=0,05)</t>
  </si>
  <si>
    <t>a)</t>
  </si>
  <si>
    <t>b1=</t>
  </si>
  <si>
    <t>b0=</t>
  </si>
  <si>
    <t>b)</t>
  </si>
  <si>
    <t>b1 wskazuje na wystepowanie funkcji rosnacej i oznacza ze wzrost x o jednostce spowoduje sredni wzrost y o 0,037 jednostki</t>
  </si>
  <si>
    <t>oszacowana funkcja regresji y^= -15,1313+0,037*xi</t>
  </si>
  <si>
    <t xml:space="preserve">wzrost przecietnego dochodu rozporzadzalnego o 1zl spowoduje wzrost przecietnych miesiecznych wydatkow na hotele i restauracje o 0,03zl </t>
  </si>
  <si>
    <t>b1</t>
  </si>
  <si>
    <t>b0</t>
  </si>
  <si>
    <t>ctrl shift enter( 2 komorki)</t>
  </si>
  <si>
    <t>wyraz wolny na ogół nie posiada interpretacji ekonomicznej</t>
  </si>
  <si>
    <t>c)</t>
  </si>
  <si>
    <t>^yi (wartosci teoretyczne)</t>
  </si>
  <si>
    <t>yi-^yi=ei</t>
  </si>
  <si>
    <t>(yi-^yi)^2=(ei)^2</t>
  </si>
  <si>
    <t>Se^2</t>
  </si>
  <si>
    <t>brak interpretacji</t>
  </si>
  <si>
    <t>Se</t>
  </si>
  <si>
    <t>obliczajac wartosci teoretyczne (yt^) dla wydatkow popelniamy sredni blad względem wartosci empirycznych czyli wartosci yt wynoszacy +/- 6,28zl</t>
  </si>
  <si>
    <t>Ve</t>
  </si>
  <si>
    <t>poziom zmiennosci dla reszt wynosi 19% i przekracza pozadana wartosc tj 10%.</t>
  </si>
  <si>
    <t xml:space="preserve">19% ma być </t>
  </si>
  <si>
    <t>d)</t>
  </si>
  <si>
    <t>R^2=</t>
  </si>
  <si>
    <t>zmiennosc zjawiska (wydatki na restauracje i hotele) zostala wyjasniona przez funkcje regresji w 92%</t>
  </si>
  <si>
    <t>wspolczynnik zbieznosci fi^2</t>
  </si>
  <si>
    <t>zmiennosc zjawiska (wydatki na restauracje i hotele) nie zostala wyjasniona przez funkcje regresji w około 8%</t>
  </si>
  <si>
    <t>R^2</t>
  </si>
  <si>
    <t>PODSUMOWANIE - WYJŚCIE</t>
  </si>
  <si>
    <t>Statystyki regresji</t>
  </si>
  <si>
    <t>Wielokrotność R</t>
  </si>
  <si>
    <t>R kwadrat</t>
  </si>
  <si>
    <t>Dopasowany R kwadrat</t>
  </si>
  <si>
    <t>Błąd standardowy</t>
  </si>
  <si>
    <t>Obserwacje</t>
  </si>
  <si>
    <t>ANALIZA WARIANCJI</t>
  </si>
  <si>
    <t>Regresja</t>
  </si>
  <si>
    <t>Resztkowy</t>
  </si>
  <si>
    <t>Razem</t>
  </si>
  <si>
    <t>Przecięcie</t>
  </si>
  <si>
    <t>df</t>
  </si>
  <si>
    <t>SS</t>
  </si>
  <si>
    <t>MS</t>
  </si>
  <si>
    <t>F</t>
  </si>
  <si>
    <t>Istotność F</t>
  </si>
  <si>
    <t>Współczynniki</t>
  </si>
  <si>
    <t>t Stat</t>
  </si>
  <si>
    <t>Wartość-p</t>
  </si>
  <si>
    <t>Dolne 95%</t>
  </si>
  <si>
    <t>Górne 95%</t>
  </si>
  <si>
    <t>Dolne 95,0%</t>
  </si>
  <si>
    <t>Górne 95,0%</t>
  </si>
  <si>
    <t>Zmienna X 1</t>
  </si>
  <si>
    <t>rxy</t>
  </si>
  <si>
    <t>N</t>
  </si>
  <si>
    <t>S(b0)</t>
  </si>
  <si>
    <t>S(b1)</t>
  </si>
  <si>
    <t>Gdy R^2 wynosi wiecej niż 0,9 oraz fi^2 wynosi wiecej niż 0,1 to oznacza ze funkcja regresji jest dobrze dopasowana do danych</t>
  </si>
  <si>
    <t>h)</t>
  </si>
  <si>
    <t>yT</t>
  </si>
  <si>
    <t>Prognoza punktowa tj. teoretyczny poziom wydatków na restauracje i hotele przy dochodzie 3000</t>
  </si>
  <si>
    <t>xT</t>
  </si>
  <si>
    <t>D(yT)</t>
  </si>
  <si>
    <t>wyznaczajac prognoze dla xT=3000 popelniamy blad wynoszacy +/-6,4zl</t>
  </si>
  <si>
    <t>V(yT)</t>
  </si>
  <si>
    <t xml:space="preserve"> mniejsze niż 10%</t>
  </si>
  <si>
    <t xml:space="preserve">uzyskana prognoza jest dopuszczalna </t>
  </si>
  <si>
    <t>od</t>
  </si>
  <si>
    <t>do</t>
  </si>
  <si>
    <t>wartosc empiryczna dla wydatkow dla hoteli i restauracji przy dochodzie rownym 3000zl powinna się zawierac w przedzialach od 90,56zl do 103,37zl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</si>
</sst>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0"/>
    <numFmt numFmtId="167" formatCode="0.000"/>
  </numFmts>
  <fonts count="9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charset val="238"/>
    </font>
    <font>
      <sz val="11"/>
      <color theme="1"/>
      <name val="Aptos Narrow"/>
      <family val="2"/>
      <charset val="238"/>
      <scheme val="minor"/>
    </font>
    <font>
      <i/>
      <sz val="11"/>
      <color theme="1"/>
      <name val="Aptos Narrow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9" fontId="7" fillId="0" borderId="0" applyFont="0" applyFill="0" applyBorder="0" applyAlignment="0" applyProtection="0"/>
  </cellStyleXfs>
  <cellXfs count="3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4" fontId="0" fillId="0" borderId="6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4" fontId="0" fillId="0" borderId="8" xfId="0" applyNumberFormat="1" applyBorder="1" applyAlignment="1">
      <alignment horizontal="center"/>
    </xf>
    <xf numFmtId="4" fontId="2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6" fillId="0" borderId="0" xfId="1" applyFont="1"/>
    <xf numFmtId="0" fontId="6" fillId="4" borderId="0" xfId="1" applyFont="1" applyFill="1"/>
    <xf numFmtId="0" fontId="0" fillId="4" borderId="0" xfId="0" applyFill="1"/>
    <xf numFmtId="166" fontId="0" fillId="0" borderId="0" xfId="0" applyNumberFormat="1"/>
    <xf numFmtId="0" fontId="0" fillId="5" borderId="0" xfId="0" applyFill="1"/>
    <xf numFmtId="167" fontId="0" fillId="6" borderId="0" xfId="0" applyNumberFormat="1" applyFill="1"/>
    <xf numFmtId="4" fontId="0" fillId="6" borderId="0" xfId="0" applyNumberFormat="1" applyFill="1"/>
    <xf numFmtId="9" fontId="0" fillId="0" borderId="0" xfId="0" applyNumberFormat="1"/>
    <xf numFmtId="0" fontId="1" fillId="0" borderId="0" xfId="0" applyFont="1" applyFill="1" applyBorder="1" applyAlignment="1">
      <alignment horizontal="center" vertical="center" wrapText="1"/>
    </xf>
    <xf numFmtId="4" fontId="0" fillId="0" borderId="0" xfId="0" applyNumberForma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8" fillId="0" borderId="12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Continuous"/>
    </xf>
    <xf numFmtId="0" fontId="0" fillId="7" borderId="0" xfId="0" applyFill="1" applyBorder="1" applyAlignment="1"/>
    <xf numFmtId="0" fontId="0" fillId="7" borderId="0" xfId="0" applyFill="1"/>
    <xf numFmtId="0" fontId="0" fillId="8" borderId="11" xfId="0" applyFill="1" applyBorder="1" applyAlignment="1"/>
    <xf numFmtId="0" fontId="0" fillId="8" borderId="0" xfId="0" applyFill="1"/>
    <xf numFmtId="9" fontId="0" fillId="0" borderId="0" xfId="2" applyFont="1"/>
  </cellXfs>
  <cellStyles count="3">
    <cellStyle name="Normalny" xfId="0" builtinId="0"/>
    <cellStyle name="Normalny 2" xfId="1"/>
    <cellStyle name="Procentowy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Wartosci empiryczne i teoretyczne wydatkow na hotele i restauracje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wartosci empiryczne yi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'zad 1'!$C$4:$C$28</c:f>
              <c:numCache>
                <c:formatCode>#,##0.00</c:formatCode>
                <c:ptCount val="25"/>
                <c:pt idx="0">
                  <c:v>7.43</c:v>
                </c:pt>
                <c:pt idx="1">
                  <c:v>8.41</c:v>
                </c:pt>
                <c:pt idx="2">
                  <c:v>8.48</c:v>
                </c:pt>
                <c:pt idx="3">
                  <c:v>10.119999999999999</c:v>
                </c:pt>
                <c:pt idx="4">
                  <c:v>11.71</c:v>
                </c:pt>
                <c:pt idx="5">
                  <c:v>12.26</c:v>
                </c:pt>
                <c:pt idx="6">
                  <c:v>12.8</c:v>
                </c:pt>
                <c:pt idx="7">
                  <c:v>14.63</c:v>
                </c:pt>
                <c:pt idx="8">
                  <c:v>15.39</c:v>
                </c:pt>
                <c:pt idx="9">
                  <c:v>18.079999999999998</c:v>
                </c:pt>
                <c:pt idx="10">
                  <c:v>20.72</c:v>
                </c:pt>
                <c:pt idx="11">
                  <c:v>22.93</c:v>
                </c:pt>
                <c:pt idx="12">
                  <c:v>24.82</c:v>
                </c:pt>
                <c:pt idx="13">
                  <c:v>29.25</c:v>
                </c:pt>
                <c:pt idx="14">
                  <c:v>30.64</c:v>
                </c:pt>
                <c:pt idx="15">
                  <c:v>45.09</c:v>
                </c:pt>
                <c:pt idx="16">
                  <c:v>45.36</c:v>
                </c:pt>
                <c:pt idx="17">
                  <c:v>49.31</c:v>
                </c:pt>
                <c:pt idx="18">
                  <c:v>53.69</c:v>
                </c:pt>
                <c:pt idx="19">
                  <c:v>58.9</c:v>
                </c:pt>
                <c:pt idx="20">
                  <c:v>61.41</c:v>
                </c:pt>
                <c:pt idx="21">
                  <c:v>46.48</c:v>
                </c:pt>
                <c:pt idx="22">
                  <c:v>54.13</c:v>
                </c:pt>
                <c:pt idx="23">
                  <c:v>68.5</c:v>
                </c:pt>
                <c:pt idx="24" formatCode="General">
                  <c:v>80.52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19-4539-BD34-3BD09AEEFABA}"/>
            </c:ext>
          </c:extLst>
        </c:ser>
        <c:ser>
          <c:idx val="1"/>
          <c:order val="1"/>
          <c:tx>
            <c:v>wartosci teoretyczne ^yi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'zad 1'!$I$4:$I$28</c:f>
              <c:numCache>
                <c:formatCode>#,##0.00</c:formatCode>
                <c:ptCount val="25"/>
                <c:pt idx="0">
                  <c:v>5.8091642827628185</c:v>
                </c:pt>
                <c:pt idx="1">
                  <c:v>7.680402557250865</c:v>
                </c:pt>
                <c:pt idx="2">
                  <c:v>8.9496909794625097</c:v>
                </c:pt>
                <c:pt idx="3">
                  <c:v>9.6869020648388897</c:v>
                </c:pt>
                <c:pt idx="4">
                  <c:v>11.4710799323869</c:v>
                </c:pt>
                <c:pt idx="5">
                  <c:v>12.346915099199993</c:v>
                </c:pt>
                <c:pt idx="6">
                  <c:v>13.320646517593737</c:v>
                </c:pt>
                <c:pt idx="7">
                  <c:v>16.056510464439079</c:v>
                </c:pt>
                <c:pt idx="8">
                  <c:v>19.575918073744781</c:v>
                </c:pt>
                <c:pt idx="9">
                  <c:v>23.934543167974624</c:v>
                </c:pt>
                <c:pt idx="10">
                  <c:v>26.511605943362817</c:v>
                </c:pt>
                <c:pt idx="11">
                  <c:v>29.438404945771936</c:v>
                </c:pt>
                <c:pt idx="12">
                  <c:v>30.713671765026675</c:v>
                </c:pt>
                <c:pt idx="13">
                  <c:v>32.637221013641785</c:v>
                </c:pt>
                <c:pt idx="14">
                  <c:v>33.408434232200754</c:v>
                </c:pt>
                <c:pt idx="15">
                  <c:v>34.954223517655443</c:v>
                </c:pt>
                <c:pt idx="16">
                  <c:v>36.662550472719211</c:v>
                </c:pt>
                <c:pt idx="17">
                  <c:v>39.965614839027985</c:v>
                </c:pt>
                <c:pt idx="18">
                  <c:v>44.582805605371604</c:v>
                </c:pt>
                <c:pt idx="19">
                  <c:v>48.144809293609327</c:v>
                </c:pt>
                <c:pt idx="20">
                  <c:v>52.840840170958728</c:v>
                </c:pt>
                <c:pt idx="21">
                  <c:v>56.579953871598093</c:v>
                </c:pt>
                <c:pt idx="22">
                  <c:v>61.912684034036857</c:v>
                </c:pt>
                <c:pt idx="23">
                  <c:v>68.932069462258212</c:v>
                </c:pt>
                <c:pt idx="24">
                  <c:v>84.943337693106329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19-4539-BD34-3BD09AEEF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8432384"/>
        <c:axId val="1577141312"/>
      </c:lineChart>
      <c:catAx>
        <c:axId val="1568432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77141312"/>
        <c:crosses val="autoZero"/>
        <c:auto val="1"/>
        <c:lblAlgn val="ctr"/>
        <c:lblOffset val="100"/>
        <c:noMultiLvlLbl val="0"/>
      </c:catAx>
      <c:valAx>
        <c:axId val="157714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6843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2</xdr:row>
      <xdr:rowOff>0</xdr:rowOff>
    </xdr:from>
    <xdr:to>
      <xdr:col>19</xdr:col>
      <xdr:colOff>600653</xdr:colOff>
      <xdr:row>7</xdr:row>
      <xdr:rowOff>19267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77575" y="371475"/>
          <a:ext cx="4143953" cy="155279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20</xdr:col>
      <xdr:colOff>591223</xdr:colOff>
      <xdr:row>14</xdr:row>
      <xdr:rowOff>123969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77575" y="2266950"/>
          <a:ext cx="4820323" cy="102884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9525</xdr:rowOff>
    </xdr:from>
    <xdr:to>
      <xdr:col>26</xdr:col>
      <xdr:colOff>181479</xdr:colOff>
      <xdr:row>7</xdr:row>
      <xdr:rowOff>57371</xdr:rowOff>
    </xdr:to>
    <xdr:pic>
      <xdr:nvPicPr>
        <xdr:cNvPr id="4" name="Obraz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78175" y="381000"/>
          <a:ext cx="3610479" cy="1581371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31</xdr:row>
      <xdr:rowOff>4762</xdr:rowOff>
    </xdr:from>
    <xdr:to>
      <xdr:col>21</xdr:col>
      <xdr:colOff>342900</xdr:colOff>
      <xdr:row>45</xdr:row>
      <xdr:rowOff>171450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29</xdr:col>
      <xdr:colOff>180975</xdr:colOff>
      <xdr:row>42</xdr:row>
      <xdr:rowOff>47625</xdr:rowOff>
    </xdr:from>
    <xdr:to>
      <xdr:col>36</xdr:col>
      <xdr:colOff>353119</xdr:colOff>
      <xdr:row>60</xdr:row>
      <xdr:rowOff>162396</xdr:rowOff>
    </xdr:to>
    <xdr:pic>
      <xdr:nvPicPr>
        <xdr:cNvPr id="7" name="Obraz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631525" y="8334375"/>
          <a:ext cx="4972744" cy="3372321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63</xdr:row>
      <xdr:rowOff>0</xdr:rowOff>
    </xdr:from>
    <xdr:to>
      <xdr:col>35</xdr:col>
      <xdr:colOff>572154</xdr:colOff>
      <xdr:row>75</xdr:row>
      <xdr:rowOff>9829</xdr:rowOff>
    </xdr:to>
    <xdr:pic>
      <xdr:nvPicPr>
        <xdr:cNvPr id="8" name="Obraz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450550" y="12087225"/>
          <a:ext cx="4686954" cy="2181529"/>
        </a:xfrm>
        <a:prstGeom prst="rect">
          <a:avLst/>
        </a:prstGeom>
      </xdr:spPr>
    </xdr:pic>
    <xdr:clientData/>
  </xdr:twoCellAnchor>
  <xdr:twoCellAnchor editAs="oneCell">
    <xdr:from>
      <xdr:col>28</xdr:col>
      <xdr:colOff>314325</xdr:colOff>
      <xdr:row>98</xdr:row>
      <xdr:rowOff>85725</xdr:rowOff>
    </xdr:from>
    <xdr:to>
      <xdr:col>35</xdr:col>
      <xdr:colOff>181626</xdr:colOff>
      <xdr:row>123</xdr:row>
      <xdr:rowOff>48251</xdr:rowOff>
    </xdr:to>
    <xdr:pic>
      <xdr:nvPicPr>
        <xdr:cNvPr id="9" name="Obraz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536400" y="18564225"/>
          <a:ext cx="4667901" cy="4486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17"/>
  <sheetViews>
    <sheetView tabSelected="1" topLeftCell="L43" zoomScaleNormal="100" workbookViewId="0">
      <selection activeCell="V110" sqref="V110"/>
    </sheetView>
  </sheetViews>
  <sheetFormatPr defaultRowHeight="14.25"/>
  <cols>
    <col min="2" max="2" width="17.125" customWidth="1"/>
    <col min="3" max="3" width="25" customWidth="1"/>
    <col min="6" max="6" width="13" customWidth="1"/>
    <col min="7" max="7" width="11.5" customWidth="1"/>
    <col min="8" max="9" width="15.75" customWidth="1"/>
    <col min="11" max="12" width="19.125" customWidth="1"/>
    <col min="17" max="17" width="10.5" bestFit="1" customWidth="1"/>
  </cols>
  <sheetData>
    <row r="1" spans="1:12">
      <c r="A1" t="s">
        <v>2</v>
      </c>
    </row>
    <row r="2" spans="1:12" ht="15" thickBot="1"/>
    <row r="3" spans="1:12" ht="64.150000000000006" customHeight="1" thickBot="1">
      <c r="A3" s="1" t="s">
        <v>0</v>
      </c>
      <c r="B3" s="5" t="s">
        <v>5</v>
      </c>
      <c r="C3" s="2" t="s">
        <v>4</v>
      </c>
      <c r="D3" s="17" t="s">
        <v>6</v>
      </c>
      <c r="E3" s="17" t="s">
        <v>7</v>
      </c>
      <c r="F3" s="17" t="s">
        <v>8</v>
      </c>
      <c r="G3" s="17" t="s">
        <v>9</v>
      </c>
      <c r="H3" s="17" t="s">
        <v>10</v>
      </c>
      <c r="I3" s="17" t="s">
        <v>34</v>
      </c>
      <c r="J3" s="17" t="s">
        <v>35</v>
      </c>
      <c r="K3" s="17" t="s">
        <v>36</v>
      </c>
      <c r="L3" s="27"/>
    </row>
    <row r="4" spans="1:12">
      <c r="A4" s="3">
        <v>1999</v>
      </c>
      <c r="B4" s="6">
        <v>560.42999999999995</v>
      </c>
      <c r="C4" s="7">
        <v>7.43</v>
      </c>
      <c r="D4" s="7">
        <f>B4-$B$30</f>
        <v>-712.78600000000017</v>
      </c>
      <c r="E4" s="7">
        <f>C4-$C$301</f>
        <v>7.43</v>
      </c>
      <c r="F4" s="7">
        <f>D4^2</f>
        <v>508063.88179600023</v>
      </c>
      <c r="G4" s="7">
        <f>E4^2</f>
        <v>55.204899999999995</v>
      </c>
      <c r="H4" s="7">
        <f>D4*E4</f>
        <v>-5295.9999800000014</v>
      </c>
      <c r="I4" s="7">
        <f>$Q$27+$Q$26*B4</f>
        <v>5.8091642827628185</v>
      </c>
      <c r="J4" s="7">
        <f>C4-I4</f>
        <v>1.6208357172371812</v>
      </c>
      <c r="K4" s="7">
        <f>J4^2</f>
        <v>2.6271084222717676</v>
      </c>
      <c r="L4" s="28"/>
    </row>
    <row r="5" spans="1:12">
      <c r="A5" s="3">
        <v>2000</v>
      </c>
      <c r="B5" s="6">
        <v>610.51</v>
      </c>
      <c r="C5" s="7">
        <v>8.41</v>
      </c>
      <c r="D5" s="7">
        <f t="shared" ref="D5:D28" si="0">B5-$B$30</f>
        <v>-662.70600000000013</v>
      </c>
      <c r="E5" s="7">
        <f t="shared" ref="E5:E28" si="1">C5-$C$30</f>
        <v>-24.032399999999999</v>
      </c>
      <c r="F5" s="7">
        <f t="shared" ref="F5:F28" si="2">D5^2</f>
        <v>439179.24243600015</v>
      </c>
      <c r="G5" s="7">
        <f t="shared" ref="G5:G28" si="3">E5^2</f>
        <v>577.5562497599999</v>
      </c>
      <c r="H5" s="7">
        <f t="shared" ref="H5:H28" si="4">D5*E5</f>
        <v>15926.415674400003</v>
      </c>
      <c r="I5" s="7">
        <f t="shared" ref="I5:I28" si="5">$Q$27+$Q$26*B5</f>
        <v>7.680402557250865</v>
      </c>
      <c r="J5" s="7">
        <f t="shared" ref="J5:J28" si="6">C5-I5</f>
        <v>0.72959744274913518</v>
      </c>
      <c r="K5" s="7">
        <f t="shared" ref="K5:K28" si="7">J5^2</f>
        <v>0.53231242846607763</v>
      </c>
      <c r="L5" s="28"/>
    </row>
    <row r="6" spans="1:12">
      <c r="A6" s="3">
        <v>2001</v>
      </c>
      <c r="B6" s="6">
        <v>644.48</v>
      </c>
      <c r="C6" s="7">
        <v>8.48</v>
      </c>
      <c r="D6" s="7">
        <f t="shared" si="0"/>
        <v>-628.7360000000001</v>
      </c>
      <c r="E6" s="7">
        <f t="shared" si="1"/>
        <v>-23.962399999999999</v>
      </c>
      <c r="F6" s="7">
        <f t="shared" si="2"/>
        <v>395308.95769600011</v>
      </c>
      <c r="G6" s="7">
        <f t="shared" si="3"/>
        <v>574.19661375999999</v>
      </c>
      <c r="H6" s="7">
        <f t="shared" si="4"/>
        <v>15066.023526400002</v>
      </c>
      <c r="I6" s="7">
        <f t="shared" si="5"/>
        <v>8.9496909794625097</v>
      </c>
      <c r="J6" s="7">
        <f t="shared" si="6"/>
        <v>-0.46969097946250926</v>
      </c>
      <c r="K6" s="7">
        <f t="shared" si="7"/>
        <v>0.22060961618845129</v>
      </c>
      <c r="L6" s="28"/>
    </row>
    <row r="7" spans="1:12">
      <c r="A7" s="3">
        <v>2002</v>
      </c>
      <c r="B7" s="6">
        <v>664.21</v>
      </c>
      <c r="C7" s="7">
        <v>10.119999999999999</v>
      </c>
      <c r="D7" s="7">
        <f t="shared" si="0"/>
        <v>-609.00600000000009</v>
      </c>
      <c r="E7" s="7">
        <f t="shared" si="1"/>
        <v>-22.322400000000002</v>
      </c>
      <c r="F7" s="7">
        <f t="shared" si="2"/>
        <v>370888.30803600012</v>
      </c>
      <c r="G7" s="7">
        <f t="shared" si="3"/>
        <v>498.28954176000008</v>
      </c>
      <c r="H7" s="7">
        <f t="shared" si="4"/>
        <v>13594.475534400002</v>
      </c>
      <c r="I7" s="7">
        <f t="shared" si="5"/>
        <v>9.6869020648388897</v>
      </c>
      <c r="J7" s="7">
        <f t="shared" si="6"/>
        <v>0.4330979351611095</v>
      </c>
      <c r="K7" s="7">
        <f t="shared" si="7"/>
        <v>0.18757382144081661</v>
      </c>
      <c r="L7" s="28"/>
    </row>
    <row r="8" spans="1:12">
      <c r="A8" s="3">
        <v>2003</v>
      </c>
      <c r="B8" s="6">
        <v>711.96</v>
      </c>
      <c r="C8" s="7">
        <v>11.71</v>
      </c>
      <c r="D8" s="7">
        <f t="shared" si="0"/>
        <v>-561.25600000000009</v>
      </c>
      <c r="E8" s="7">
        <f t="shared" si="1"/>
        <v>-20.732399999999998</v>
      </c>
      <c r="F8" s="7">
        <f t="shared" si="2"/>
        <v>315008.29753600009</v>
      </c>
      <c r="G8" s="7">
        <f t="shared" si="3"/>
        <v>429.8324097599999</v>
      </c>
      <c r="H8" s="7">
        <f t="shared" si="4"/>
        <v>11636.183894400001</v>
      </c>
      <c r="I8" s="7">
        <f t="shared" si="5"/>
        <v>11.4710799323869</v>
      </c>
      <c r="J8" s="7">
        <f t="shared" si="6"/>
        <v>0.23892006761310114</v>
      </c>
      <c r="K8" s="7">
        <f t="shared" si="7"/>
        <v>5.7082798708248818E-2</v>
      </c>
      <c r="L8" s="28"/>
    </row>
    <row r="9" spans="1:12">
      <c r="A9" s="3">
        <v>2004</v>
      </c>
      <c r="B9" s="6">
        <v>735.4</v>
      </c>
      <c r="C9" s="7">
        <v>12.26</v>
      </c>
      <c r="D9" s="7">
        <f t="shared" si="0"/>
        <v>-537.81600000000014</v>
      </c>
      <c r="E9" s="7">
        <f t="shared" si="1"/>
        <v>-20.182400000000001</v>
      </c>
      <c r="F9" s="7">
        <f t="shared" si="2"/>
        <v>289246.04985600017</v>
      </c>
      <c r="G9" s="7">
        <f t="shared" si="3"/>
        <v>407.32926976000005</v>
      </c>
      <c r="H9" s="7">
        <f t="shared" si="4"/>
        <v>10854.417638400004</v>
      </c>
      <c r="I9" s="7">
        <f t="shared" si="5"/>
        <v>12.346915099199993</v>
      </c>
      <c r="J9" s="7">
        <f t="shared" si="6"/>
        <v>-8.6915099199993406E-2</v>
      </c>
      <c r="K9" s="7">
        <f t="shared" si="7"/>
        <v>7.5542344689446947E-3</v>
      </c>
      <c r="L9" s="28"/>
    </row>
    <row r="10" spans="1:12">
      <c r="A10" s="3">
        <v>2005</v>
      </c>
      <c r="B10" s="6">
        <v>761.46</v>
      </c>
      <c r="C10" s="7">
        <v>12.8</v>
      </c>
      <c r="D10" s="7">
        <f t="shared" si="0"/>
        <v>-511.75600000000009</v>
      </c>
      <c r="E10" s="7">
        <f t="shared" si="1"/>
        <v>-19.642399999999999</v>
      </c>
      <c r="F10" s="7">
        <f t="shared" si="2"/>
        <v>261894.20353600007</v>
      </c>
      <c r="G10" s="7">
        <f t="shared" si="3"/>
        <v>385.82387775999996</v>
      </c>
      <c r="H10" s="7">
        <f t="shared" si="4"/>
        <v>10052.116054400001</v>
      </c>
      <c r="I10" s="7">
        <f t="shared" si="5"/>
        <v>13.320646517593737</v>
      </c>
      <c r="J10" s="7">
        <f t="shared" si="6"/>
        <v>-0.52064651759373604</v>
      </c>
      <c r="K10" s="7">
        <f t="shared" si="7"/>
        <v>0.27107279628248448</v>
      </c>
      <c r="L10" s="28"/>
    </row>
    <row r="11" spans="1:12">
      <c r="A11" s="3">
        <v>2006</v>
      </c>
      <c r="B11" s="6">
        <v>834.68</v>
      </c>
      <c r="C11" s="7">
        <v>14.63</v>
      </c>
      <c r="D11" s="7">
        <f t="shared" si="0"/>
        <v>-438.53600000000017</v>
      </c>
      <c r="E11" s="7">
        <f t="shared" si="1"/>
        <v>-17.812399999999997</v>
      </c>
      <c r="F11" s="7">
        <f t="shared" si="2"/>
        <v>192313.82329600016</v>
      </c>
      <c r="G11" s="7">
        <f t="shared" si="3"/>
        <v>317.28159375999991</v>
      </c>
      <c r="H11" s="7">
        <f t="shared" si="4"/>
        <v>7811.3786464000013</v>
      </c>
      <c r="I11" s="7">
        <f t="shared" si="5"/>
        <v>16.056510464439079</v>
      </c>
      <c r="J11" s="7">
        <f t="shared" si="6"/>
        <v>-1.4265104644390778</v>
      </c>
      <c r="K11" s="7">
        <f t="shared" si="7"/>
        <v>2.0349321051541933</v>
      </c>
      <c r="L11" s="28"/>
    </row>
    <row r="12" spans="1:12">
      <c r="A12" s="3">
        <v>2007</v>
      </c>
      <c r="B12" s="6">
        <v>928.87</v>
      </c>
      <c r="C12" s="7">
        <v>15.39</v>
      </c>
      <c r="D12" s="7">
        <f t="shared" si="0"/>
        <v>-344.34600000000012</v>
      </c>
      <c r="E12" s="7">
        <f t="shared" si="1"/>
        <v>-17.052399999999999</v>
      </c>
      <c r="F12" s="7">
        <f t="shared" si="2"/>
        <v>118574.16771600008</v>
      </c>
      <c r="G12" s="7">
        <f t="shared" si="3"/>
        <v>290.78434575999995</v>
      </c>
      <c r="H12" s="7">
        <f t="shared" si="4"/>
        <v>5871.9257304000012</v>
      </c>
      <c r="I12" s="7">
        <f t="shared" si="5"/>
        <v>19.575918073744781</v>
      </c>
      <c r="J12" s="7">
        <f t="shared" si="6"/>
        <v>-4.1859180737447801</v>
      </c>
      <c r="K12" s="7">
        <f t="shared" si="7"/>
        <v>17.521910120103211</v>
      </c>
      <c r="L12" s="28"/>
    </row>
    <row r="13" spans="1:12">
      <c r="A13" s="3">
        <v>2008</v>
      </c>
      <c r="B13" s="6">
        <v>1045.52</v>
      </c>
      <c r="C13" s="7">
        <v>18.079999999999998</v>
      </c>
      <c r="D13" s="7">
        <f t="shared" si="0"/>
        <v>-227.69600000000014</v>
      </c>
      <c r="E13" s="7">
        <f t="shared" si="1"/>
        <v>-14.362400000000001</v>
      </c>
      <c r="F13" s="7">
        <f t="shared" si="2"/>
        <v>51845.468416000062</v>
      </c>
      <c r="G13" s="7">
        <f t="shared" si="3"/>
        <v>206.27853376000002</v>
      </c>
      <c r="H13" s="7">
        <f t="shared" si="4"/>
        <v>3270.2610304000023</v>
      </c>
      <c r="I13" s="7">
        <f t="shared" si="5"/>
        <v>23.934543167974624</v>
      </c>
      <c r="J13" s="7">
        <f t="shared" si="6"/>
        <v>-5.8545431679746258</v>
      </c>
      <c r="K13" s="7">
        <f t="shared" si="7"/>
        <v>34.275675705678367</v>
      </c>
      <c r="L13" s="28"/>
    </row>
    <row r="14" spans="1:12">
      <c r="A14" s="3">
        <v>2009</v>
      </c>
      <c r="B14" s="6">
        <v>1114.49</v>
      </c>
      <c r="C14" s="7">
        <v>20.72</v>
      </c>
      <c r="D14" s="7">
        <f t="shared" si="0"/>
        <v>-158.72600000000011</v>
      </c>
      <c r="E14" s="7">
        <f t="shared" si="1"/>
        <v>-11.7224</v>
      </c>
      <c r="F14" s="7">
        <f t="shared" si="2"/>
        <v>25193.943076000036</v>
      </c>
      <c r="G14" s="7">
        <f t="shared" si="3"/>
        <v>137.41466176</v>
      </c>
      <c r="H14" s="7">
        <f t="shared" si="4"/>
        <v>1860.6496624000015</v>
      </c>
      <c r="I14" s="7">
        <f t="shared" si="5"/>
        <v>26.511605943362817</v>
      </c>
      <c r="J14" s="7">
        <f t="shared" si="6"/>
        <v>-5.7916059433628178</v>
      </c>
      <c r="K14" s="7">
        <f t="shared" si="7"/>
        <v>33.542699403195513</v>
      </c>
      <c r="L14" s="28"/>
    </row>
    <row r="15" spans="1:12">
      <c r="A15" s="3">
        <v>2010</v>
      </c>
      <c r="B15" s="6">
        <v>1192.82</v>
      </c>
      <c r="C15" s="7">
        <v>22.93</v>
      </c>
      <c r="D15" s="7">
        <f t="shared" si="0"/>
        <v>-80.396000000000186</v>
      </c>
      <c r="E15" s="7">
        <f t="shared" si="1"/>
        <v>-9.5123999999999995</v>
      </c>
      <c r="F15" s="7">
        <f t="shared" si="2"/>
        <v>6463.5168160000294</v>
      </c>
      <c r="G15" s="7">
        <f t="shared" si="3"/>
        <v>90.485753759999994</v>
      </c>
      <c r="H15" s="7">
        <f t="shared" si="4"/>
        <v>764.7589104000017</v>
      </c>
      <c r="I15" s="7">
        <f t="shared" si="5"/>
        <v>29.438404945771936</v>
      </c>
      <c r="J15" s="7">
        <f t="shared" si="6"/>
        <v>-6.508404945771936</v>
      </c>
      <c r="K15" s="7">
        <f t="shared" si="7"/>
        <v>42.359334938148599</v>
      </c>
      <c r="L15" s="28"/>
    </row>
    <row r="16" spans="1:12">
      <c r="A16" s="3">
        <v>2011</v>
      </c>
      <c r="B16" s="6">
        <v>1226.95</v>
      </c>
      <c r="C16" s="7">
        <v>24.82</v>
      </c>
      <c r="D16" s="7">
        <f t="shared" si="0"/>
        <v>-46.266000000000076</v>
      </c>
      <c r="E16" s="7">
        <f t="shared" si="1"/>
        <v>-7.622399999999999</v>
      </c>
      <c r="F16" s="7">
        <f t="shared" si="2"/>
        <v>2140.5427560000071</v>
      </c>
      <c r="G16" s="7">
        <f t="shared" si="3"/>
        <v>58.100981759999982</v>
      </c>
      <c r="H16" s="7">
        <f t="shared" si="4"/>
        <v>352.65795840000055</v>
      </c>
      <c r="I16" s="7">
        <f t="shared" si="5"/>
        <v>30.713671765026675</v>
      </c>
      <c r="J16" s="7">
        <f t="shared" si="6"/>
        <v>-5.8936717650266743</v>
      </c>
      <c r="K16" s="7">
        <f t="shared" si="7"/>
        <v>34.735366873872636</v>
      </c>
      <c r="L16" s="28"/>
    </row>
    <row r="17" spans="1:21">
      <c r="A17" s="3">
        <v>2012</v>
      </c>
      <c r="B17" s="6">
        <v>1278.43</v>
      </c>
      <c r="C17" s="7">
        <v>29.25</v>
      </c>
      <c r="D17" s="7">
        <f t="shared" si="0"/>
        <v>5.2139999999999418</v>
      </c>
      <c r="E17" s="7">
        <f t="shared" si="1"/>
        <v>-3.1923999999999992</v>
      </c>
      <c r="F17" s="7">
        <f t="shared" si="2"/>
        <v>27.185795999999392</v>
      </c>
      <c r="G17" s="7">
        <f t="shared" si="3"/>
        <v>10.191417759999995</v>
      </c>
      <c r="H17" s="7">
        <f t="shared" si="4"/>
        <v>-16.645173599999811</v>
      </c>
      <c r="I17" s="7">
        <f t="shared" si="5"/>
        <v>32.637221013641785</v>
      </c>
      <c r="J17" s="7">
        <f t="shared" si="6"/>
        <v>-3.3872210136417849</v>
      </c>
      <c r="K17" s="7">
        <f t="shared" si="7"/>
        <v>11.47326619525648</v>
      </c>
      <c r="L17" s="28"/>
      <c r="N17" t="s">
        <v>22</v>
      </c>
      <c r="O17" t="s">
        <v>25</v>
      </c>
    </row>
    <row r="18" spans="1:21">
      <c r="A18" s="3">
        <v>2013</v>
      </c>
      <c r="B18" s="6">
        <v>1299.07</v>
      </c>
      <c r="C18" s="7">
        <v>30.64</v>
      </c>
      <c r="D18" s="7">
        <f t="shared" si="0"/>
        <v>25.853999999999814</v>
      </c>
      <c r="E18" s="7">
        <f t="shared" si="1"/>
        <v>-1.8023999999999987</v>
      </c>
      <c r="F18" s="7">
        <f t="shared" si="2"/>
        <v>668.42931599999042</v>
      </c>
      <c r="G18" s="7">
        <f t="shared" si="3"/>
        <v>3.2486457599999952</v>
      </c>
      <c r="H18" s="7">
        <f t="shared" si="4"/>
        <v>-46.599249599999631</v>
      </c>
      <c r="I18" s="7">
        <f t="shared" si="5"/>
        <v>33.408434232200754</v>
      </c>
      <c r="J18" s="7">
        <f t="shared" si="6"/>
        <v>-2.7684342322007538</v>
      </c>
      <c r="K18" s="7">
        <f t="shared" si="7"/>
        <v>7.6642280980209776</v>
      </c>
      <c r="L18" s="28"/>
      <c r="P18" t="s">
        <v>23</v>
      </c>
      <c r="Q18" s="24">
        <f>H29/F29</f>
        <v>3.4315132088186193E-2</v>
      </c>
    </row>
    <row r="19" spans="1:21">
      <c r="A19" s="3">
        <v>2014</v>
      </c>
      <c r="B19" s="6">
        <v>1340.44</v>
      </c>
      <c r="C19" s="7">
        <v>45.09</v>
      </c>
      <c r="D19" s="7">
        <f t="shared" si="0"/>
        <v>67.223999999999933</v>
      </c>
      <c r="E19" s="7">
        <f t="shared" si="1"/>
        <v>12.647600000000004</v>
      </c>
      <c r="F19" s="7">
        <f t="shared" si="2"/>
        <v>4519.0661759999912</v>
      </c>
      <c r="G19" s="7">
        <f t="shared" si="3"/>
        <v>159.96178576000011</v>
      </c>
      <c r="H19" s="7">
        <f t="shared" si="4"/>
        <v>850.22226239999941</v>
      </c>
      <c r="I19" s="7">
        <f t="shared" si="5"/>
        <v>34.954223517655443</v>
      </c>
      <c r="J19" s="7">
        <f t="shared" si="6"/>
        <v>10.135776482344561</v>
      </c>
      <c r="K19" s="7">
        <f t="shared" si="7"/>
        <v>102.73396490004907</v>
      </c>
      <c r="L19" s="28"/>
      <c r="P19" t="s">
        <v>24</v>
      </c>
      <c r="Q19" s="25">
        <f>C30-Q18*B30</f>
        <v>-11.248175216792077</v>
      </c>
    </row>
    <row r="20" spans="1:21">
      <c r="A20" s="3">
        <v>2015</v>
      </c>
      <c r="B20" s="6">
        <v>1386.16</v>
      </c>
      <c r="C20" s="7">
        <v>45.36</v>
      </c>
      <c r="D20" s="7">
        <f t="shared" si="0"/>
        <v>112.94399999999996</v>
      </c>
      <c r="E20" s="7">
        <f t="shared" si="1"/>
        <v>12.9176</v>
      </c>
      <c r="F20" s="7">
        <f t="shared" si="2"/>
        <v>12756.347135999991</v>
      </c>
      <c r="G20" s="7">
        <f t="shared" si="3"/>
        <v>166.86438975999999</v>
      </c>
      <c r="H20" s="7">
        <f t="shared" si="4"/>
        <v>1458.9654143999994</v>
      </c>
      <c r="I20" s="7">
        <f t="shared" si="5"/>
        <v>36.662550472719211</v>
      </c>
      <c r="J20" s="7">
        <f t="shared" si="6"/>
        <v>8.6974495272807886</v>
      </c>
      <c r="K20" s="7">
        <f t="shared" si="7"/>
        <v>75.645628279596806</v>
      </c>
      <c r="L20" s="28"/>
    </row>
    <row r="21" spans="1:21">
      <c r="A21" s="3">
        <v>2016</v>
      </c>
      <c r="B21" s="6">
        <v>1474.56</v>
      </c>
      <c r="C21" s="7">
        <v>49.31</v>
      </c>
      <c r="D21" s="7">
        <f t="shared" si="0"/>
        <v>201.34399999999982</v>
      </c>
      <c r="E21" s="7">
        <f t="shared" si="1"/>
        <v>16.867600000000003</v>
      </c>
      <c r="F21" s="7">
        <f t="shared" si="2"/>
        <v>40539.406335999927</v>
      </c>
      <c r="G21" s="7">
        <f t="shared" si="3"/>
        <v>284.51592976000012</v>
      </c>
      <c r="H21" s="7">
        <f t="shared" si="4"/>
        <v>3396.1900543999977</v>
      </c>
      <c r="I21" s="7">
        <f t="shared" si="5"/>
        <v>39.965614839027985</v>
      </c>
      <c r="J21" s="7">
        <f t="shared" si="6"/>
        <v>9.344385160972017</v>
      </c>
      <c r="K21" s="7">
        <f t="shared" si="7"/>
        <v>87.317534036594026</v>
      </c>
      <c r="L21" s="28"/>
      <c r="P21" t="s">
        <v>27</v>
      </c>
    </row>
    <row r="22" spans="1:21">
      <c r="A22" s="3">
        <v>2017</v>
      </c>
      <c r="B22" s="6">
        <v>1598.13</v>
      </c>
      <c r="C22" s="7">
        <v>53.69</v>
      </c>
      <c r="D22" s="7">
        <f t="shared" si="0"/>
        <v>324.91399999999999</v>
      </c>
      <c r="E22" s="7">
        <f t="shared" si="1"/>
        <v>21.247599999999998</v>
      </c>
      <c r="F22" s="7">
        <f t="shared" si="2"/>
        <v>105569.10739599999</v>
      </c>
      <c r="G22" s="7">
        <f t="shared" si="3"/>
        <v>451.46050575999993</v>
      </c>
      <c r="H22" s="7">
        <f t="shared" si="4"/>
        <v>6903.642706399999</v>
      </c>
      <c r="I22" s="7">
        <f t="shared" si="5"/>
        <v>44.582805605371604</v>
      </c>
      <c r="J22" s="7">
        <f t="shared" si="6"/>
        <v>9.1071943946283938</v>
      </c>
      <c r="K22" s="7">
        <f t="shared" si="7"/>
        <v>82.940989741550837</v>
      </c>
      <c r="L22" s="28"/>
      <c r="P22" t="s">
        <v>26</v>
      </c>
    </row>
    <row r="23" spans="1:21">
      <c r="A23" s="3">
        <v>2018</v>
      </c>
      <c r="B23" s="6">
        <v>1693.46</v>
      </c>
      <c r="C23" s="7">
        <v>58.9</v>
      </c>
      <c r="D23" s="7">
        <f t="shared" si="0"/>
        <v>420.24399999999991</v>
      </c>
      <c r="E23" s="7">
        <f t="shared" si="1"/>
        <v>26.457599999999999</v>
      </c>
      <c r="F23" s="7">
        <f t="shared" si="2"/>
        <v>176605.01953599992</v>
      </c>
      <c r="G23" s="7">
        <f t="shared" si="3"/>
        <v>700.00459775999991</v>
      </c>
      <c r="H23" s="7">
        <f t="shared" si="4"/>
        <v>11118.647654399998</v>
      </c>
      <c r="I23" s="7">
        <f t="shared" si="5"/>
        <v>48.144809293609327</v>
      </c>
      <c r="J23" s="7">
        <f t="shared" si="6"/>
        <v>10.755190706390671</v>
      </c>
      <c r="K23" s="7">
        <f t="shared" si="7"/>
        <v>115.67412713083226</v>
      </c>
      <c r="L23" s="28"/>
    </row>
    <row r="24" spans="1:21">
      <c r="A24" s="3">
        <v>2019</v>
      </c>
      <c r="B24" s="6">
        <v>1819.14</v>
      </c>
      <c r="C24" s="7">
        <v>61.41</v>
      </c>
      <c r="D24" s="7">
        <f t="shared" si="0"/>
        <v>545.92399999999998</v>
      </c>
      <c r="E24" s="7">
        <f t="shared" si="1"/>
        <v>28.967599999999997</v>
      </c>
      <c r="F24" s="7">
        <f t="shared" si="2"/>
        <v>298033.01377599995</v>
      </c>
      <c r="G24" s="7">
        <f t="shared" si="3"/>
        <v>839.1218497599998</v>
      </c>
      <c r="H24" s="7">
        <f t="shared" si="4"/>
        <v>15814.108062399999</v>
      </c>
      <c r="I24" s="7">
        <f t="shared" si="5"/>
        <v>52.840840170958728</v>
      </c>
      <c r="J24" s="7">
        <f t="shared" si="6"/>
        <v>8.5691598290412685</v>
      </c>
      <c r="K24" s="7">
        <f t="shared" si="7"/>
        <v>73.430500175654586</v>
      </c>
      <c r="L24" s="28"/>
      <c r="P24" t="s">
        <v>28</v>
      </c>
    </row>
    <row r="25" spans="1:21">
      <c r="A25" s="3">
        <v>2020</v>
      </c>
      <c r="B25" s="6">
        <v>1919.21</v>
      </c>
      <c r="C25" s="7">
        <v>46.48</v>
      </c>
      <c r="D25" s="7">
        <f t="shared" si="0"/>
        <v>645.99399999999991</v>
      </c>
      <c r="E25" s="7">
        <f t="shared" si="1"/>
        <v>14.037599999999998</v>
      </c>
      <c r="F25" s="7">
        <f t="shared" si="2"/>
        <v>417308.24803599989</v>
      </c>
      <c r="G25" s="7">
        <f t="shared" si="3"/>
        <v>197.05421375999993</v>
      </c>
      <c r="H25" s="7">
        <f t="shared" si="4"/>
        <v>9068.2053743999968</v>
      </c>
      <c r="I25" s="7">
        <f t="shared" si="5"/>
        <v>56.579953871598093</v>
      </c>
      <c r="J25" s="7">
        <f t="shared" si="6"/>
        <v>-10.099953871598096</v>
      </c>
      <c r="K25" s="7">
        <f t="shared" si="7"/>
        <v>102.00906820840937</v>
      </c>
      <c r="L25" s="28"/>
    </row>
    <row r="26" spans="1:21">
      <c r="A26" s="3">
        <v>2021</v>
      </c>
      <c r="B26" s="6">
        <v>2061.9299999999998</v>
      </c>
      <c r="C26" s="7">
        <v>54.13</v>
      </c>
      <c r="D26" s="7">
        <f t="shared" si="0"/>
        <v>788.71399999999971</v>
      </c>
      <c r="E26" s="7">
        <f t="shared" si="1"/>
        <v>21.687600000000003</v>
      </c>
      <c r="F26" s="7">
        <f t="shared" si="2"/>
        <v>622069.77379599959</v>
      </c>
      <c r="G26" s="7">
        <f t="shared" si="3"/>
        <v>470.35199376000014</v>
      </c>
      <c r="H26" s="7">
        <f t="shared" si="4"/>
        <v>17105.313746399996</v>
      </c>
      <c r="I26" s="7">
        <f t="shared" si="5"/>
        <v>61.912684034036857</v>
      </c>
      <c r="J26" s="7">
        <f t="shared" si="6"/>
        <v>-7.7826840340368548</v>
      </c>
      <c r="K26" s="7">
        <f t="shared" si="7"/>
        <v>60.570170773652173</v>
      </c>
      <c r="L26" s="28"/>
      <c r="P26" t="s">
        <v>29</v>
      </c>
      <c r="Q26">
        <f>SLOPE(C4:C28,B4:B28)</f>
        <v>3.7364981519330036E-2</v>
      </c>
      <c r="S26" t="s">
        <v>29</v>
      </c>
      <c r="T26" t="s">
        <v>30</v>
      </c>
      <c r="U26" t="s">
        <v>31</v>
      </c>
    </row>
    <row r="27" spans="1:21">
      <c r="A27" s="3">
        <v>2022</v>
      </c>
      <c r="B27" s="6">
        <v>2249.79</v>
      </c>
      <c r="C27" s="7">
        <v>68.5</v>
      </c>
      <c r="D27" s="7">
        <f t="shared" si="0"/>
        <v>976.57399999999984</v>
      </c>
      <c r="E27" s="7">
        <f t="shared" si="1"/>
        <v>36.057600000000001</v>
      </c>
      <c r="F27" s="7">
        <f t="shared" si="2"/>
        <v>953696.77747599967</v>
      </c>
      <c r="G27" s="7">
        <f t="shared" si="3"/>
        <v>1300.15051776</v>
      </c>
      <c r="H27" s="7">
        <f t="shared" si="4"/>
        <v>35212.914662399999</v>
      </c>
      <c r="I27" s="7">
        <f t="shared" si="5"/>
        <v>68.932069462258212</v>
      </c>
      <c r="J27" s="7">
        <f t="shared" si="6"/>
        <v>-0.43206946225821241</v>
      </c>
      <c r="K27" s="7">
        <f t="shared" si="7"/>
        <v>0.18668402021610084</v>
      </c>
      <c r="L27" s="28"/>
      <c r="P27" t="s">
        <v>30</v>
      </c>
      <c r="Q27" s="22">
        <f>INTERCEPT(C4:C28,B4:B28)</f>
        <v>-15.131292310115313</v>
      </c>
      <c r="S27">
        <f t="array" ref="S27:T27">LINEST(C4:C28,B4:B28)</f>
        <v>3.7364981519330029E-2</v>
      </c>
      <c r="T27">
        <v>-15.131292310115306</v>
      </c>
    </row>
    <row r="28" spans="1:21" ht="15" thickBot="1">
      <c r="A28" s="4">
        <v>2023</v>
      </c>
      <c r="B28" s="8">
        <v>2678.3</v>
      </c>
      <c r="C28" s="9">
        <v>80.52</v>
      </c>
      <c r="D28" s="15">
        <f t="shared" si="0"/>
        <v>1405.0840000000001</v>
      </c>
      <c r="E28" s="15">
        <f t="shared" si="1"/>
        <v>48.077599999999997</v>
      </c>
      <c r="F28" s="15">
        <f t="shared" si="2"/>
        <v>1974261.0470560002</v>
      </c>
      <c r="G28" s="7">
        <f t="shared" si="3"/>
        <v>2311.4556217599998</v>
      </c>
      <c r="H28" s="15">
        <f t="shared" si="4"/>
        <v>67553.066518399995</v>
      </c>
      <c r="I28" s="7">
        <f t="shared" si="5"/>
        <v>84.943337693106329</v>
      </c>
      <c r="J28" s="7">
        <f t="shared" si="6"/>
        <v>-4.4233376931063333</v>
      </c>
      <c r="K28" s="7">
        <f t="shared" si="7"/>
        <v>19.565916347255257</v>
      </c>
      <c r="L28" s="28"/>
    </row>
    <row r="29" spans="1:21" ht="15.75" thickBot="1">
      <c r="A29" s="10" t="s">
        <v>1</v>
      </c>
      <c r="B29" s="11">
        <f>SUM(B4:B28)</f>
        <v>31830.400000000001</v>
      </c>
      <c r="C29" s="10">
        <f>SUM(C4:C28)</f>
        <v>811.06</v>
      </c>
      <c r="D29" s="10"/>
      <c r="E29" s="10"/>
      <c r="F29" s="16">
        <f>SUM(F4:F28)</f>
        <v>7582173.8248000015</v>
      </c>
      <c r="G29" s="16">
        <f>SUM(G4:G28)</f>
        <v>10922.960202239999</v>
      </c>
      <c r="H29" s="16">
        <f>SUM(H4:H28)</f>
        <v>260183.29631359997</v>
      </c>
      <c r="I29" s="16"/>
      <c r="J29" s="16"/>
      <c r="K29" s="16">
        <f>SUM(K3:K28)</f>
        <v>907.58531117106747</v>
      </c>
      <c r="L29" s="29"/>
      <c r="P29" t="s">
        <v>32</v>
      </c>
    </row>
    <row r="30" spans="1:21" ht="15" thickBot="1">
      <c r="A30" s="12" t="s">
        <v>3</v>
      </c>
      <c r="B30" s="14">
        <f>AVERAGE(B4:B28)</f>
        <v>1273.2160000000001</v>
      </c>
      <c r="C30" s="13">
        <f>AVERAGE(C4:C28)</f>
        <v>32.442399999999999</v>
      </c>
    </row>
    <row r="32" spans="1:21" ht="15">
      <c r="A32" s="18" t="s">
        <v>11</v>
      </c>
    </row>
    <row r="33" spans="1:82">
      <c r="A33" s="19" t="s">
        <v>12</v>
      </c>
    </row>
    <row r="34" spans="1:82">
      <c r="A34" s="19" t="s">
        <v>13</v>
      </c>
    </row>
    <row r="35" spans="1:82">
      <c r="A35" s="19" t="s">
        <v>14</v>
      </c>
    </row>
    <row r="36" spans="1:82">
      <c r="A36" s="19" t="s">
        <v>15</v>
      </c>
    </row>
    <row r="37" spans="1:82" s="23" customFormat="1">
      <c r="A37" s="20" t="s">
        <v>21</v>
      </c>
      <c r="B37" s="21"/>
      <c r="C37" s="21"/>
      <c r="D37" s="21"/>
      <c r="E37" s="21"/>
      <c r="F37" s="21"/>
      <c r="G37" s="21"/>
      <c r="H37" s="21"/>
      <c r="I37" s="21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</row>
    <row r="38" spans="1:82" s="23" customFormat="1">
      <c r="A38" s="19" t="s">
        <v>16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</row>
    <row r="39" spans="1:82" s="23" customFormat="1">
      <c r="A39" s="20" t="s">
        <v>20</v>
      </c>
      <c r="B39" s="21"/>
      <c r="C39" s="21"/>
      <c r="D39" s="21"/>
      <c r="E39" s="21"/>
      <c r="F39" s="21"/>
      <c r="G39" s="21"/>
      <c r="H39" s="21"/>
      <c r="I39" s="21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</row>
    <row r="40" spans="1:82">
      <c r="A40" s="19" t="s">
        <v>17</v>
      </c>
    </row>
    <row r="41" spans="1:82">
      <c r="A41" s="19" t="s">
        <v>18</v>
      </c>
    </row>
    <row r="48" spans="1:82">
      <c r="O48" t="s">
        <v>33</v>
      </c>
      <c r="P48" t="s">
        <v>37</v>
      </c>
      <c r="Q48">
        <f>K29/(COUNT(A4:A28)-2)</f>
        <v>39.460230920481195</v>
      </c>
    </row>
    <row r="49" spans="15:18">
      <c r="Q49" t="s">
        <v>38</v>
      </c>
    </row>
    <row r="50" spans="15:18">
      <c r="P50" t="s">
        <v>39</v>
      </c>
      <c r="Q50">
        <f>SQRT(Q48)</f>
        <v>6.2817378901448278</v>
      </c>
    </row>
    <row r="51" spans="15:18">
      <c r="Q51" t="s">
        <v>40</v>
      </c>
    </row>
    <row r="53" spans="15:18">
      <c r="P53" t="s">
        <v>41</v>
      </c>
      <c r="R53" s="26" t="s">
        <v>43</v>
      </c>
    </row>
    <row r="54" spans="15:18">
      <c r="P54" t="s">
        <v>42</v>
      </c>
    </row>
    <row r="57" spans="15:18">
      <c r="P57" t="s">
        <v>39</v>
      </c>
      <c r="Q57">
        <f>STEYX(C4:C28,B4:B28)</f>
        <v>6.2817378901448411</v>
      </c>
    </row>
    <row r="64" spans="15:18">
      <c r="O64" t="s">
        <v>44</v>
      </c>
      <c r="P64" t="s">
        <v>45</v>
      </c>
      <c r="Q64">
        <f>1-(K29/G29)</f>
        <v>0.91691031603457218</v>
      </c>
    </row>
    <row r="65" spans="16:19">
      <c r="P65" t="s">
        <v>46</v>
      </c>
    </row>
    <row r="66" spans="16:19">
      <c r="P66" t="s">
        <v>47</v>
      </c>
      <c r="S66">
        <f>(K29/G29)</f>
        <v>8.308968396542786E-2</v>
      </c>
    </row>
    <row r="67" spans="16:19">
      <c r="P67" t="s">
        <v>48</v>
      </c>
    </row>
    <row r="69" spans="16:19">
      <c r="P69" t="s">
        <v>49</v>
      </c>
      <c r="Q69">
        <f>RSQ(C4:C28,B4:B28)</f>
        <v>0.92103405003642547</v>
      </c>
    </row>
    <row r="72" spans="16:19">
      <c r="P72" t="s">
        <v>79</v>
      </c>
    </row>
    <row r="76" spans="16:19">
      <c r="P76" t="s">
        <v>50</v>
      </c>
    </row>
    <row r="77" spans="16:19" ht="15" thickBot="1"/>
    <row r="78" spans="16:19">
      <c r="P78" s="33" t="s">
        <v>51</v>
      </c>
      <c r="Q78" s="33"/>
    </row>
    <row r="79" spans="16:19">
      <c r="P79" s="30" t="s">
        <v>52</v>
      </c>
      <c r="Q79" s="30">
        <v>0.95970518912654934</v>
      </c>
      <c r="R79" t="s">
        <v>75</v>
      </c>
    </row>
    <row r="80" spans="16:19">
      <c r="P80" s="30" t="s">
        <v>53</v>
      </c>
      <c r="Q80" s="30">
        <v>0.9210340500364258</v>
      </c>
      <c r="R80" t="s">
        <v>49</v>
      </c>
    </row>
    <row r="81" spans="16:24">
      <c r="P81" s="30" t="s">
        <v>54</v>
      </c>
      <c r="Q81" s="30">
        <v>0.91760074786409651</v>
      </c>
    </row>
    <row r="82" spans="16:24">
      <c r="P82" s="30" t="s">
        <v>55</v>
      </c>
      <c r="Q82" s="30">
        <v>6.2817378901448278</v>
      </c>
      <c r="R82" t="s">
        <v>39</v>
      </c>
    </row>
    <row r="83" spans="16:24" ht="15" thickBot="1">
      <c r="P83" s="31" t="s">
        <v>56</v>
      </c>
      <c r="Q83" s="31">
        <v>25</v>
      </c>
      <c r="R83" t="s">
        <v>76</v>
      </c>
    </row>
    <row r="85" spans="16:24" ht="15" thickBot="1">
      <c r="P85" t="s">
        <v>57</v>
      </c>
    </row>
    <row r="86" spans="16:24">
      <c r="P86" s="32"/>
      <c r="Q86" s="32" t="s">
        <v>62</v>
      </c>
      <c r="R86" s="32" t="s">
        <v>63</v>
      </c>
      <c r="S86" s="32" t="s">
        <v>64</v>
      </c>
      <c r="T86" s="32" t="s">
        <v>65</v>
      </c>
      <c r="U86" s="32" t="s">
        <v>66</v>
      </c>
    </row>
    <row r="87" spans="16:24">
      <c r="P87" s="30" t="s">
        <v>58</v>
      </c>
      <c r="Q87" s="30">
        <v>1</v>
      </c>
      <c r="R87" s="30">
        <v>10585.790144828932</v>
      </c>
      <c r="S87" s="30">
        <v>10585.790144828932</v>
      </c>
      <c r="T87" s="30">
        <v>268.26477944746517</v>
      </c>
      <c r="U87" s="30">
        <v>3.5751948193800697E-14</v>
      </c>
    </row>
    <row r="88" spans="16:24">
      <c r="P88" s="30" t="s">
        <v>59</v>
      </c>
      <c r="Q88" s="30">
        <v>23</v>
      </c>
      <c r="R88" s="30">
        <v>907.58531117106725</v>
      </c>
      <c r="S88" s="30">
        <v>39.460230920481187</v>
      </c>
      <c r="T88" s="30"/>
      <c r="U88" s="30"/>
    </row>
    <row r="89" spans="16:24" ht="15" thickBot="1">
      <c r="P89" s="31" t="s">
        <v>60</v>
      </c>
      <c r="Q89" s="31">
        <v>24</v>
      </c>
      <c r="R89" s="31">
        <v>11493.375456</v>
      </c>
      <c r="S89" s="31"/>
      <c r="T89" s="31"/>
      <c r="U89" s="31"/>
    </row>
    <row r="90" spans="16:24" ht="15" thickBot="1"/>
    <row r="91" spans="16:24">
      <c r="P91" s="32"/>
      <c r="Q91" s="32" t="s">
        <v>67</v>
      </c>
      <c r="R91" s="32" t="s">
        <v>55</v>
      </c>
      <c r="S91" s="32" t="s">
        <v>68</v>
      </c>
      <c r="T91" s="32" t="s">
        <v>69</v>
      </c>
      <c r="U91" s="32" t="s">
        <v>70</v>
      </c>
      <c r="V91" s="32" t="s">
        <v>71</v>
      </c>
      <c r="W91" s="32" t="s">
        <v>72</v>
      </c>
      <c r="X91" s="32" t="s">
        <v>73</v>
      </c>
    </row>
    <row r="92" spans="16:24">
      <c r="P92" s="30" t="s">
        <v>61</v>
      </c>
      <c r="Q92" s="34">
        <v>-15.131292310115306</v>
      </c>
      <c r="R92" s="30">
        <v>3.1646579262769068</v>
      </c>
      <c r="S92" s="30">
        <v>-4.7813358228946612</v>
      </c>
      <c r="T92" s="30">
        <v>8.0294348205070152E-5</v>
      </c>
      <c r="U92" s="30">
        <v>-21.677886013680997</v>
      </c>
      <c r="V92" s="30">
        <v>-8.5846986065496171</v>
      </c>
      <c r="W92" s="30">
        <v>-21.677886013680997</v>
      </c>
      <c r="X92" s="30">
        <v>-8.5846986065496171</v>
      </c>
    </row>
    <row r="93" spans="16:24" ht="15" thickBot="1">
      <c r="P93" s="31" t="s">
        <v>74</v>
      </c>
      <c r="Q93" s="36">
        <v>3.7364981519330029E-2</v>
      </c>
      <c r="R93" s="31">
        <v>2.2813028492818842E-3</v>
      </c>
      <c r="S93" s="31">
        <v>16.378790536772396</v>
      </c>
      <c r="T93" s="31">
        <v>3.575194819380083E-14</v>
      </c>
      <c r="U93" s="31">
        <v>3.2645747018492398E-2</v>
      </c>
      <c r="V93" s="31">
        <v>4.208421602016766E-2</v>
      </c>
      <c r="W93" s="31">
        <v>3.2645747018492398E-2</v>
      </c>
      <c r="X93" s="31">
        <v>4.208421602016766E-2</v>
      </c>
    </row>
    <row r="95" spans="16:24">
      <c r="Q95" s="35" t="s">
        <v>30</v>
      </c>
      <c r="R95" t="s">
        <v>77</v>
      </c>
    </row>
    <row r="96" spans="16:24">
      <c r="Q96" s="37" t="s">
        <v>29</v>
      </c>
      <c r="R96" t="s">
        <v>78</v>
      </c>
    </row>
    <row r="100" spans="15:18">
      <c r="O100" t="s">
        <v>80</v>
      </c>
      <c r="P100" t="s">
        <v>83</v>
      </c>
      <c r="Q100">
        <v>3000</v>
      </c>
    </row>
    <row r="101" spans="15:18">
      <c r="P101" t="s">
        <v>81</v>
      </c>
      <c r="Q101">
        <f>Q92+Q93*Q100</f>
        <v>96.963652247874791</v>
      </c>
    </row>
    <row r="102" spans="15:18">
      <c r="Q102" t="s">
        <v>82</v>
      </c>
    </row>
    <row r="104" spans="15:18">
      <c r="P104" t="s">
        <v>84</v>
      </c>
      <c r="Q104">
        <f>Q82*SQRT(1+(1/25))</f>
        <v>6.4061408162247293</v>
      </c>
    </row>
    <row r="106" spans="15:18">
      <c r="Q106" t="s">
        <v>85</v>
      </c>
    </row>
    <row r="109" spans="15:18">
      <c r="P109" t="s">
        <v>86</v>
      </c>
      <c r="Q109" s="38">
        <f>Q104/Q101</f>
        <v>6.6067445560407265E-2</v>
      </c>
      <c r="R109" t="s">
        <v>87</v>
      </c>
    </row>
    <row r="110" spans="15:18">
      <c r="Q110" t="s">
        <v>88</v>
      </c>
    </row>
    <row r="116" spans="16:20">
      <c r="P116" t="s">
        <v>89</v>
      </c>
      <c r="Q116">
        <f>Q101-Q104</f>
        <v>90.557511431650056</v>
      </c>
      <c r="R116" t="s">
        <v>90</v>
      </c>
      <c r="T116">
        <f>Q101+Q104</f>
        <v>103.36979306409953</v>
      </c>
    </row>
    <row r="117" spans="16:20">
      <c r="P117" t="s">
        <v>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25"/>
  <sheetData>
    <row r="1" spans="1:1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 1</vt:lpstr>
      <vt:lpstr>zad 2 - SPSS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Hałka</dc:creator>
  <cp:lastModifiedBy>Student</cp:lastModifiedBy>
  <dcterms:created xsi:type="dcterms:W3CDTF">2024-05-15T22:55:32Z</dcterms:created>
  <dcterms:modified xsi:type="dcterms:W3CDTF">2024-12-17T11:49:37Z</dcterms:modified>
</cp:coreProperties>
</file>