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5e8460a63b5fdb/Online Documents/Spring 2020/"/>
    </mc:Choice>
  </mc:AlternateContent>
  <xr:revisionPtr revIDLastSave="419" documentId="8_{E5727968-FE45-4DDE-8D3A-B2F8AA96FE39}" xr6:coauthVersionLast="45" xr6:coauthVersionMax="45" xr10:uidLastSave="{F7E577FC-06D3-4A8F-B730-81D69C37F178}"/>
  <bookViews>
    <workbookView xWindow="-120" yWindow="-120" windowWidth="29040" windowHeight="15840" xr2:uid="{63B80949-664B-4A7F-B034-8283B41C7B8B}"/>
  </bookViews>
  <sheets>
    <sheet name="Main parameters and conversions" sheetId="1" r:id="rId1"/>
    <sheet name="n = 1.5" sheetId="4" r:id="rId2"/>
    <sheet name="n = 0.71" sheetId="2" r:id="rId3"/>
    <sheet name="n = 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B29" i="1"/>
  <c r="L2" i="1"/>
  <c r="E3" i="4"/>
  <c r="E4" i="4"/>
  <c r="E5" i="4"/>
  <c r="E6" i="4"/>
  <c r="E7" i="4"/>
  <c r="E8" i="4"/>
  <c r="E2" i="4"/>
  <c r="B28" i="1"/>
  <c r="B27" i="1"/>
  <c r="G15" i="1" l="1"/>
  <c r="H15" i="1" s="1"/>
  <c r="G12" i="1"/>
  <c r="G3" i="1"/>
  <c r="G4" i="1"/>
  <c r="G5" i="1"/>
  <c r="G6" i="1"/>
  <c r="G7" i="1"/>
  <c r="G8" i="1"/>
  <c r="G2" i="1"/>
  <c r="B33" i="1"/>
  <c r="B34" i="1" s="1"/>
  <c r="C30" i="1" l="1"/>
  <c r="B30" i="1"/>
  <c r="B8" i="4"/>
  <c r="C8" i="4" s="1"/>
  <c r="D8" i="4" s="1"/>
  <c r="B7" i="4"/>
  <c r="C7" i="4" s="1"/>
  <c r="D7" i="4" s="1"/>
  <c r="B6" i="4"/>
  <c r="C6" i="4" s="1"/>
  <c r="D6" i="4" s="1"/>
  <c r="B5" i="4"/>
  <c r="C5" i="4" s="1"/>
  <c r="D5" i="4" s="1"/>
  <c r="B4" i="4"/>
  <c r="C4" i="4" s="1"/>
  <c r="D4" i="4" s="1"/>
  <c r="B3" i="4"/>
  <c r="C3" i="4" s="1"/>
  <c r="D3" i="4" s="1"/>
  <c r="B2" i="4"/>
  <c r="C2" i="4" s="1"/>
  <c r="D2" i="4" s="1"/>
  <c r="B3" i="3"/>
  <c r="B4" i="3"/>
  <c r="B5" i="3"/>
  <c r="C5" i="3" s="1"/>
  <c r="D5" i="3" s="1"/>
  <c r="B6" i="3"/>
  <c r="B7" i="3"/>
  <c r="B8" i="3"/>
  <c r="C8" i="3" s="1"/>
  <c r="D8" i="3" s="1"/>
  <c r="B2" i="3"/>
  <c r="C2" i="3" s="1"/>
  <c r="D2" i="3" s="1"/>
  <c r="B3" i="2"/>
  <c r="C3" i="2" s="1"/>
  <c r="D3" i="2" s="1"/>
  <c r="B4" i="2"/>
  <c r="C4" i="2" s="1"/>
  <c r="D4" i="2" s="1"/>
  <c r="B5" i="2"/>
  <c r="B6" i="2"/>
  <c r="B7" i="2"/>
  <c r="B8" i="2"/>
  <c r="C8" i="2" s="1"/>
  <c r="D8" i="2" s="1"/>
  <c r="B2" i="2"/>
  <c r="C2" i="2" s="1"/>
  <c r="D2" i="2" s="1"/>
  <c r="C7" i="3"/>
  <c r="D7" i="3" s="1"/>
  <c r="D10" i="3"/>
  <c r="C10" i="3"/>
  <c r="C6" i="3"/>
  <c r="D6" i="3" s="1"/>
  <c r="C4" i="3"/>
  <c r="D4" i="3" s="1"/>
  <c r="C3" i="3"/>
  <c r="D3" i="3" s="1"/>
  <c r="C5" i="2"/>
  <c r="D5" i="2" s="1"/>
  <c r="D10" i="2"/>
  <c r="C10" i="2"/>
  <c r="C6" i="2"/>
  <c r="D6" i="2" s="1"/>
  <c r="C7" i="2"/>
  <c r="D7" i="2" s="1"/>
  <c r="I15" i="1"/>
  <c r="H8" i="1"/>
  <c r="I8" i="1" s="1"/>
  <c r="H12" i="1"/>
  <c r="I12" i="1" s="1"/>
  <c r="J12" i="1" s="1"/>
  <c r="B14" i="1"/>
  <c r="B13" i="1"/>
  <c r="B12" i="1" s="1"/>
  <c r="B10" i="1"/>
  <c r="B11" i="1"/>
  <c r="I4" i="1"/>
  <c r="I2" i="1"/>
  <c r="H4" i="1"/>
  <c r="H5" i="1"/>
  <c r="I5" i="1" s="1"/>
  <c r="H2" i="1"/>
  <c r="H3" i="1"/>
  <c r="I3" i="1" s="1"/>
  <c r="H6" i="1"/>
  <c r="I6" i="1" s="1"/>
  <c r="H7" i="1"/>
  <c r="I7" i="1" s="1"/>
  <c r="B4" i="1"/>
  <c r="B7" i="1" s="1"/>
  <c r="B25" i="1" l="1"/>
  <c r="B15" i="1"/>
  <c r="J4" i="1"/>
  <c r="J8" i="1"/>
  <c r="J6" i="1"/>
  <c r="L6" i="1" s="1"/>
  <c r="J5" i="1"/>
  <c r="J2" i="1"/>
  <c r="J7" i="1"/>
  <c r="L7" i="1" s="1"/>
  <c r="J15" i="1"/>
  <c r="J3" i="1"/>
  <c r="D30" i="1"/>
  <c r="B24" i="1" s="1"/>
  <c r="L3" i="1"/>
  <c r="E3" i="2"/>
  <c r="E6" i="2"/>
  <c r="E2" i="3"/>
  <c r="L5" i="1"/>
  <c r="E2" i="2"/>
  <c r="E8" i="3"/>
  <c r="E8" i="2"/>
  <c r="E4" i="3"/>
  <c r="E5" i="3"/>
  <c r="E7" i="2"/>
  <c r="E4" i="2"/>
  <c r="C15" i="1"/>
  <c r="J18" i="1" l="1"/>
  <c r="J19" i="1" s="1"/>
  <c r="B23" i="1"/>
  <c r="L8" i="1"/>
  <c r="E6" i="3"/>
  <c r="E5" i="2"/>
  <c r="L4" i="1"/>
  <c r="B26" i="1"/>
  <c r="E3" i="3"/>
  <c r="E7" i="3"/>
  <c r="D25" i="1"/>
</calcChain>
</file>

<file path=xl/sharedStrings.xml><?xml version="1.0" encoding="utf-8"?>
<sst xmlns="http://schemas.openxmlformats.org/spreadsheetml/2006/main" count="77" uniqueCount="59">
  <si>
    <t>gDW/cell</t>
  </si>
  <si>
    <t>Bionumber</t>
  </si>
  <si>
    <t>Value</t>
  </si>
  <si>
    <t>IPTG (mM)</t>
  </si>
  <si>
    <t>mRNA/cell</t>
  </si>
  <si>
    <t>moles/cell</t>
  </si>
  <si>
    <t>nmoles/cell</t>
  </si>
  <si>
    <t>nmoles/gDW</t>
  </si>
  <si>
    <t># cells/ml in sample</t>
  </si>
  <si>
    <t>volume in sample (mL)</t>
  </si>
  <si>
    <t>Volume basis (gDW of  sample)</t>
  </si>
  <si>
    <t>nmoles/gDW of sample</t>
  </si>
  <si>
    <t>nmoles/sample</t>
  </si>
  <si>
    <t>mass per cell (g/cell) A</t>
  </si>
  <si>
    <t>Water fraction in cell B</t>
  </si>
  <si>
    <t>A*(1-B)</t>
  </si>
  <si>
    <t>Parameter</t>
  </si>
  <si>
    <t>specific growth rate</t>
  </si>
  <si>
    <t>doubling time in hr</t>
  </si>
  <si>
    <t>degradation rate</t>
  </si>
  <si>
    <t>half life in hr</t>
  </si>
  <si>
    <t>Gene/cell</t>
  </si>
  <si>
    <t>nmoles/mL</t>
  </si>
  <si>
    <t>nmoles/L = nM</t>
  </si>
  <si>
    <t>Gene</t>
  </si>
  <si>
    <t>K IPTG</t>
  </si>
  <si>
    <t>W2</t>
  </si>
  <si>
    <t>F_I</t>
  </si>
  <si>
    <t>F_I*W2</t>
  </si>
  <si>
    <t>u</t>
  </si>
  <si>
    <t>Wolframalpha input for W2</t>
  </si>
  <si>
    <t>2.81E-04 = 3.90E-04*((0.257 + x*(0.012^1.5/(0.0496^1.5 + 0.012^1.5)))/(1+0.257+x*(0.012^1.5/(0.0496^1.5 + 0.012^1.5))))</t>
  </si>
  <si>
    <t>RNApol/cell</t>
  </si>
  <si>
    <t>W1</t>
  </si>
  <si>
    <t>n</t>
  </si>
  <si>
    <t>K IPTG (mM)</t>
  </si>
  <si>
    <t>Inducer</t>
  </si>
  <si>
    <t>mRNA (nmol/gDW)</t>
  </si>
  <si>
    <t>Saturation term</t>
  </si>
  <si>
    <t>Vmax (nmol/gDW-hr)</t>
  </si>
  <si>
    <t>Degradation + dilution (hr-1)</t>
  </si>
  <si>
    <t>Gain function (nmol/gDW)</t>
  </si>
  <si>
    <t>Tau (calculated)</t>
  </si>
  <si>
    <t>L (lacZ length) (nt)</t>
  </si>
  <si>
    <t>elongation rate (nt/sec)</t>
  </si>
  <si>
    <t>K_EX (sec-1)</t>
  </si>
  <si>
    <t>K_EX (hr-1)</t>
  </si>
  <si>
    <t>K_X (nM)</t>
  </si>
  <si>
    <t>K (IPTG) (mM)</t>
  </si>
  <si>
    <t>Tau (KEX/KI) (RANGE)</t>
  </si>
  <si>
    <t>Vmax/deg and dilution</t>
  </si>
  <si>
    <t>KI (sec-1) (range)</t>
  </si>
  <si>
    <t>Tau (Avg.)</t>
  </si>
  <si>
    <t>Corrected gain function</t>
  </si>
  <si>
    <t>Correction factor</t>
  </si>
  <si>
    <t>is equal to corrected gain function*u</t>
  </si>
  <si>
    <t>Gene conv.</t>
  </si>
  <si>
    <t>RNApol con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</si>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</sst>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695A-B910-4EB5-8C59-0ADA67EC2DBC}">
  <dimension ref="A1:O42"/>
  <sheetViews>
    <sheetView tabSelected="1" topLeftCell="A17" workbookViewId="0">
      <selection activeCell="E40" sqref="E40"/>
    </sheetView>
  </sheetViews>
  <sheetFormatPr defaultRowHeight="15" x14ac:dyDescent="0.25"/>
  <cols>
    <col min="1" max="1" width="35.42578125" bestFit="1" customWidth="1"/>
    <col min="5" max="5" width="10.28515625" bestFit="1" customWidth="1"/>
    <col min="6" max="6" width="10.5703125" bestFit="1" customWidth="1"/>
    <col min="7" max="8" width="12" bestFit="1" customWidth="1"/>
    <col min="9" max="9" width="15" bestFit="1" customWidth="1"/>
    <col min="10" max="10" width="26.5703125" bestFit="1" customWidth="1"/>
  </cols>
  <sheetData>
    <row r="1" spans="1:15" x14ac:dyDescent="0.25">
      <c r="B1" t="s">
        <v>2</v>
      </c>
      <c r="C1" t="s">
        <v>1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11</v>
      </c>
    </row>
    <row r="2" spans="1:15" x14ac:dyDescent="0.25">
      <c r="A2" t="s">
        <v>13</v>
      </c>
      <c r="B2" s="1">
        <v>1.0000000000000001E-9</v>
      </c>
      <c r="C2">
        <v>111609</v>
      </c>
      <c r="E2">
        <v>0</v>
      </c>
      <c r="F2">
        <v>19</v>
      </c>
      <c r="G2">
        <f>F2/(6.022*10^23)</f>
        <v>3.1550979740949853E-23</v>
      </c>
      <c r="H2">
        <f>G2*10^9</f>
        <v>3.1550979740949851E-14</v>
      </c>
      <c r="I2" s="1">
        <f>H2*$B$5</f>
        <v>3.1550979740949851E-6</v>
      </c>
      <c r="J2" s="1">
        <f>I2/$B$7</f>
        <v>7.9674191265024865E-5</v>
      </c>
      <c r="L2" s="1">
        <f>J2/$J$8</f>
        <v>0.20430107526881713</v>
      </c>
      <c r="M2">
        <v>7.9721001351172407E-5</v>
      </c>
      <c r="O2" t="s">
        <v>38</v>
      </c>
    </row>
    <row r="3" spans="1:15" x14ac:dyDescent="0.25">
      <c r="A3" t="s">
        <v>14</v>
      </c>
      <c r="B3" s="1">
        <v>0.60399999999999998</v>
      </c>
      <c r="C3">
        <v>103689</v>
      </c>
      <c r="E3" s="1">
        <v>5.0000000000000001E-4</v>
      </c>
      <c r="F3">
        <v>21</v>
      </c>
      <c r="G3">
        <f t="shared" ref="G3:G8" si="0">F3/(6.022*10^23)</f>
        <v>3.4872135503155098E-23</v>
      </c>
      <c r="H3">
        <f t="shared" ref="H3:H8" si="1">G3*10^9</f>
        <v>3.4872135503155101E-14</v>
      </c>
      <c r="I3" s="1">
        <f t="shared" ref="I3:I8" si="2">H3*$B$5</f>
        <v>3.4872135503155101E-6</v>
      </c>
      <c r="J3" s="1">
        <f t="shared" ref="J3:J8" si="3">I3/$B$7</f>
        <v>8.8060948240290657E-5</v>
      </c>
      <c r="L3" s="1">
        <f t="shared" ref="L3:L8" si="4">J3/$J$8</f>
        <v>0.22580645161290319</v>
      </c>
      <c r="M3">
        <v>1.4260132640226409E-4</v>
      </c>
    </row>
    <row r="4" spans="1:15" x14ac:dyDescent="0.25">
      <c r="A4" t="s">
        <v>0</v>
      </c>
      <c r="B4" s="1">
        <f>B2*(1-B3)</f>
        <v>3.9600000000000003E-10</v>
      </c>
      <c r="C4" t="s">
        <v>15</v>
      </c>
      <c r="E4">
        <v>5.0000000000000001E-3</v>
      </c>
      <c r="F4">
        <v>41</v>
      </c>
      <c r="G4">
        <f t="shared" si="0"/>
        <v>6.8083693125207576E-23</v>
      </c>
      <c r="H4">
        <f t="shared" si="1"/>
        <v>6.808369312520757E-14</v>
      </c>
      <c r="I4" s="1">
        <f t="shared" si="2"/>
        <v>6.8083693125207571E-6</v>
      </c>
      <c r="J4" s="1">
        <f t="shared" si="3"/>
        <v>1.719285179929484E-4</v>
      </c>
      <c r="L4" s="1">
        <f t="shared" si="4"/>
        <v>0.44086021505376333</v>
      </c>
      <c r="M4">
        <v>2.4441255086181179E-4</v>
      </c>
    </row>
    <row r="5" spans="1:15" x14ac:dyDescent="0.25">
      <c r="A5" t="s">
        <v>8</v>
      </c>
      <c r="B5" s="1">
        <v>100000000</v>
      </c>
      <c r="E5">
        <v>1.2E-2</v>
      </c>
      <c r="F5">
        <v>67</v>
      </c>
      <c r="G5">
        <f t="shared" si="0"/>
        <v>1.1125871803387581E-22</v>
      </c>
      <c r="H5">
        <f t="shared" si="1"/>
        <v>1.1125871803387581E-13</v>
      </c>
      <c r="I5" s="1">
        <f t="shared" si="2"/>
        <v>1.1125871803387581E-5</v>
      </c>
      <c r="J5" s="1">
        <f t="shared" si="3"/>
        <v>2.8095635867140352E-4</v>
      </c>
      <c r="L5" s="1">
        <f t="shared" si="4"/>
        <v>0.72043010752688164</v>
      </c>
      <c r="M5">
        <v>2.8094199312134871E-4</v>
      </c>
    </row>
    <row r="6" spans="1:15" x14ac:dyDescent="0.25">
      <c r="A6" t="s">
        <v>9</v>
      </c>
      <c r="B6" s="1">
        <v>1</v>
      </c>
      <c r="E6">
        <v>5.2999999999999999E-2</v>
      </c>
      <c r="F6">
        <v>86</v>
      </c>
      <c r="G6">
        <f t="shared" si="0"/>
        <v>1.4280969777482565E-22</v>
      </c>
      <c r="H6">
        <f t="shared" si="1"/>
        <v>1.4280969777482564E-13</v>
      </c>
      <c r="I6" s="1">
        <f t="shared" si="2"/>
        <v>1.4280969777482563E-5</v>
      </c>
      <c r="J6" s="1">
        <f t="shared" si="3"/>
        <v>3.6063054993642834E-4</v>
      </c>
      <c r="L6" s="1">
        <f t="shared" si="4"/>
        <v>0.92473118279569866</v>
      </c>
      <c r="M6">
        <v>3.2148907393302653E-4</v>
      </c>
    </row>
    <row r="7" spans="1:15" x14ac:dyDescent="0.25">
      <c r="A7" t="s">
        <v>10</v>
      </c>
      <c r="B7" s="1">
        <f>B4*B5*B6</f>
        <v>3.9600000000000003E-2</v>
      </c>
      <c r="E7">
        <v>0.216</v>
      </c>
      <c r="F7">
        <v>93</v>
      </c>
      <c r="G7">
        <f t="shared" si="0"/>
        <v>1.5443374294254402E-22</v>
      </c>
      <c r="H7">
        <f t="shared" si="1"/>
        <v>1.5443374294254403E-13</v>
      </c>
      <c r="I7" s="1">
        <f t="shared" si="2"/>
        <v>1.5443374294254405E-5</v>
      </c>
      <c r="J7" s="1">
        <f t="shared" si="3"/>
        <v>3.8998419934985868E-4</v>
      </c>
      <c r="L7" s="1">
        <f t="shared" si="4"/>
        <v>1</v>
      </c>
      <c r="M7">
        <v>3.3912467444401854E-4</v>
      </c>
    </row>
    <row r="8" spans="1:15" x14ac:dyDescent="0.25">
      <c r="E8">
        <v>1</v>
      </c>
      <c r="F8">
        <v>93</v>
      </c>
      <c r="G8">
        <f t="shared" si="0"/>
        <v>1.5443374294254402E-22</v>
      </c>
      <c r="H8">
        <f t="shared" si="1"/>
        <v>1.5443374294254403E-13</v>
      </c>
      <c r="I8" s="1">
        <f t="shared" si="2"/>
        <v>1.5443374294254405E-5</v>
      </c>
      <c r="J8" s="1">
        <f t="shared" si="3"/>
        <v>3.8998419934985868E-4</v>
      </c>
      <c r="L8" s="1">
        <f t="shared" si="4"/>
        <v>1</v>
      </c>
      <c r="M8">
        <v>3.4666887443501616E-4</v>
      </c>
    </row>
    <row r="9" spans="1:15" x14ac:dyDescent="0.25">
      <c r="A9" t="s">
        <v>16</v>
      </c>
    </row>
    <row r="10" spans="1:15" x14ac:dyDescent="0.25">
      <c r="A10" t="s">
        <v>17</v>
      </c>
      <c r="B10">
        <f>(1/(40/60))*LN(2)</f>
        <v>1.0397207708399179</v>
      </c>
    </row>
    <row r="11" spans="1:15" x14ac:dyDescent="0.25">
      <c r="A11" t="s">
        <v>18</v>
      </c>
      <c r="B11">
        <f>40/60</f>
        <v>0.66666666666666663</v>
      </c>
      <c r="E11" t="s">
        <v>56</v>
      </c>
      <c r="F11" t="s">
        <v>21</v>
      </c>
      <c r="G11" t="s">
        <v>5</v>
      </c>
      <c r="H11" t="s">
        <v>6</v>
      </c>
      <c r="I11" t="s">
        <v>22</v>
      </c>
      <c r="J11" t="s">
        <v>23</v>
      </c>
    </row>
    <row r="12" spans="1:15" x14ac:dyDescent="0.25">
      <c r="A12" t="s">
        <v>19</v>
      </c>
      <c r="B12">
        <f>LN(2)/B13</f>
        <v>8.3177661667193448</v>
      </c>
      <c r="F12">
        <v>2</v>
      </c>
      <c r="G12">
        <f t="shared" ref="G12" si="5">F12/(6.022*10^23)</f>
        <v>3.321155762205248E-24</v>
      </c>
      <c r="H12">
        <f t="shared" ref="H12" si="6">G12*10^9</f>
        <v>3.3211557622052481E-15</v>
      </c>
      <c r="I12" s="1">
        <f>H12*B5</f>
        <v>3.3211557622052479E-7</v>
      </c>
      <c r="J12" s="1">
        <f>I12*1000</f>
        <v>3.3211557622052481E-4</v>
      </c>
    </row>
    <row r="13" spans="1:15" x14ac:dyDescent="0.25">
      <c r="A13" t="s">
        <v>20</v>
      </c>
      <c r="B13">
        <f>5/60</f>
        <v>8.3333333333333329E-2</v>
      </c>
    </row>
    <row r="14" spans="1:15" x14ac:dyDescent="0.25">
      <c r="B14">
        <f>(0.0416+0.02496)/2</f>
        <v>3.3279999999999997E-2</v>
      </c>
      <c r="E14" t="s">
        <v>57</v>
      </c>
      <c r="F14" t="s">
        <v>32</v>
      </c>
      <c r="G14" t="s">
        <v>5</v>
      </c>
      <c r="H14" t="s">
        <v>6</v>
      </c>
      <c r="I14" t="s">
        <v>12</v>
      </c>
      <c r="J14" t="s">
        <v>7</v>
      </c>
    </row>
    <row r="15" spans="1:15" x14ac:dyDescent="0.25">
      <c r="B15">
        <f>B10+B12</f>
        <v>9.357486937559262</v>
      </c>
      <c r="C15" s="1">
        <f>B15*J8</f>
        <v>3.6492720512708099E-3</v>
      </c>
      <c r="F15">
        <v>5000</v>
      </c>
      <c r="G15">
        <f t="shared" ref="G15" si="7">F15/(6.022*10^23)</f>
        <v>8.3028894055131184E-21</v>
      </c>
      <c r="H15">
        <f>G15*10^9</f>
        <v>8.3028894055131188E-12</v>
      </c>
      <c r="I15" s="1">
        <f>H15*$B$5</f>
        <v>8.3028894055131185E-4</v>
      </c>
      <c r="J15" s="1">
        <f>I15/$B$7</f>
        <v>2.096689243816444E-2</v>
      </c>
    </row>
    <row r="16" spans="1:15" x14ac:dyDescent="0.25">
      <c r="H16" s="1"/>
    </row>
    <row r="18" spans="1:12" x14ac:dyDescent="0.25">
      <c r="I18" s="1">
        <f>J2/J8</f>
        <v>0.20430107526881713</v>
      </c>
      <c r="J18" s="1">
        <f>1-I18</f>
        <v>0.79569892473118287</v>
      </c>
      <c r="L18" s="1"/>
    </row>
    <row r="19" spans="1:12" x14ac:dyDescent="0.25">
      <c r="I19" t="s">
        <v>33</v>
      </c>
      <c r="J19" s="1">
        <f>I18/J18</f>
        <v>0.25675675675675663</v>
      </c>
    </row>
    <row r="20" spans="1:12" x14ac:dyDescent="0.25">
      <c r="F20" s="1"/>
    </row>
    <row r="21" spans="1:12" x14ac:dyDescent="0.25">
      <c r="A21" t="s">
        <v>24</v>
      </c>
      <c r="B21" s="1">
        <v>3.32E-3</v>
      </c>
    </row>
    <row r="22" spans="1:12" x14ac:dyDescent="0.25">
      <c r="A22" t="s">
        <v>47</v>
      </c>
      <c r="B22">
        <v>33.28</v>
      </c>
      <c r="D22" s="1"/>
    </row>
    <row r="23" spans="1:12" x14ac:dyDescent="0.25">
      <c r="A23" t="s">
        <v>39</v>
      </c>
      <c r="B23" s="1">
        <f>J15*B34</f>
        <v>1.0567313788834878</v>
      </c>
    </row>
    <row r="24" spans="1:12" x14ac:dyDescent="0.25">
      <c r="A24" t="s">
        <v>38</v>
      </c>
      <c r="B24" s="1">
        <f>(J12/((B29*B22)+(B29+1)*J12))</f>
        <v>2.1277713361485466E-5</v>
      </c>
      <c r="D24" t="s">
        <v>50</v>
      </c>
    </row>
    <row r="25" spans="1:12" x14ac:dyDescent="0.25">
      <c r="A25" t="s">
        <v>40</v>
      </c>
      <c r="B25">
        <f>B12+B10</f>
        <v>9.357486937559262</v>
      </c>
      <c r="D25" s="1">
        <f>B23/B25</f>
        <v>0.11292897184199734</v>
      </c>
    </row>
    <row r="26" spans="1:12" x14ac:dyDescent="0.25">
      <c r="A26" t="s">
        <v>41</v>
      </c>
      <c r="B26" s="1">
        <f>B23*B24/B25</f>
        <v>2.4028702930612829E-6</v>
      </c>
    </row>
    <row r="27" spans="1:12" x14ac:dyDescent="0.25">
      <c r="A27" t="s">
        <v>54</v>
      </c>
      <c r="B27" s="1">
        <f>J8/B26</f>
        <v>162.29931364835119</v>
      </c>
    </row>
    <row r="28" spans="1:12" x14ac:dyDescent="0.25">
      <c r="A28" t="s">
        <v>53</v>
      </c>
      <c r="B28" s="1">
        <f>B26*B27</f>
        <v>3.8998419934985868E-4</v>
      </c>
    </row>
    <row r="29" spans="1:12" x14ac:dyDescent="0.25">
      <c r="A29" t="s">
        <v>52</v>
      </c>
      <c r="B29">
        <f>D30</f>
        <v>0.46899412011759761</v>
      </c>
      <c r="D29" t="s">
        <v>58</v>
      </c>
    </row>
    <row r="30" spans="1:12" x14ac:dyDescent="0.25">
      <c r="A30" t="s">
        <v>49</v>
      </c>
      <c r="B30">
        <f>B33/0.02381</f>
        <v>0.58798824023519525</v>
      </c>
      <c r="C30">
        <f>B33/0.04</f>
        <v>0.35</v>
      </c>
      <c r="D30">
        <f>(B30+C30)/2</f>
        <v>0.46899412011759761</v>
      </c>
    </row>
    <row r="31" spans="1:12" x14ac:dyDescent="0.25">
      <c r="A31" t="s">
        <v>43</v>
      </c>
      <c r="B31">
        <v>3000</v>
      </c>
    </row>
    <row r="32" spans="1:12" x14ac:dyDescent="0.25">
      <c r="A32" t="s">
        <v>44</v>
      </c>
      <c r="B32">
        <v>42</v>
      </c>
    </row>
    <row r="33" spans="1:3" x14ac:dyDescent="0.25">
      <c r="A33" t="s">
        <v>45</v>
      </c>
      <c r="B33">
        <f>B32/B31</f>
        <v>1.4E-2</v>
      </c>
    </row>
    <row r="34" spans="1:3" x14ac:dyDescent="0.25">
      <c r="A34" t="s">
        <v>46</v>
      </c>
      <c r="B34">
        <f>B33*3600</f>
        <v>50.4</v>
      </c>
    </row>
    <row r="35" spans="1:3" x14ac:dyDescent="0.25">
      <c r="A35" t="s">
        <v>42</v>
      </c>
      <c r="B35">
        <v>2.8869999999999998E-3</v>
      </c>
    </row>
    <row r="36" spans="1:3" x14ac:dyDescent="0.25">
      <c r="A36" t="s">
        <v>33</v>
      </c>
      <c r="B36">
        <v>0.25700000000000001</v>
      </c>
    </row>
    <row r="37" spans="1:3" x14ac:dyDescent="0.25">
      <c r="A37" t="s">
        <v>26</v>
      </c>
      <c r="B37">
        <v>21.8249</v>
      </c>
    </row>
    <row r="38" spans="1:3" x14ac:dyDescent="0.25">
      <c r="A38" t="s">
        <v>34</v>
      </c>
      <c r="B38">
        <v>1.5</v>
      </c>
    </row>
    <row r="39" spans="1:3" x14ac:dyDescent="0.25">
      <c r="A39" t="s">
        <v>51</v>
      </c>
      <c r="B39">
        <v>2.3800000000000002E-2</v>
      </c>
      <c r="C39">
        <v>0.04</v>
      </c>
    </row>
    <row r="40" spans="1:3" x14ac:dyDescent="0.25">
      <c r="A40" t="s">
        <v>48</v>
      </c>
      <c r="B40">
        <v>4.9599999999999998E-2</v>
      </c>
    </row>
    <row r="41" spans="1:3" x14ac:dyDescent="0.25">
      <c r="A41" t="s">
        <v>30</v>
      </c>
    </row>
    <row r="42" spans="1:3" x14ac:dyDescent="0.25">
      <c r="A42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69E3-22A9-411F-B161-9E6173DBDDC1}">
  <dimension ref="A1:G12"/>
  <sheetViews>
    <sheetView workbookViewId="0">
      <selection activeCell="F14" sqref="F14"/>
    </sheetView>
  </sheetViews>
  <sheetFormatPr defaultRowHeight="15" x14ac:dyDescent="0.25"/>
  <cols>
    <col min="1" max="1" width="11.85546875" bestFit="1" customWidth="1"/>
  </cols>
  <sheetData>
    <row r="1" spans="1:7" x14ac:dyDescent="0.25">
      <c r="A1" t="s">
        <v>36</v>
      </c>
      <c r="B1" t="s">
        <v>27</v>
      </c>
      <c r="C1" t="s">
        <v>28</v>
      </c>
      <c r="D1" t="s">
        <v>29</v>
      </c>
      <c r="E1" t="s">
        <v>37</v>
      </c>
      <c r="G1" t="s">
        <v>55</v>
      </c>
    </row>
    <row r="2" spans="1:7" x14ac:dyDescent="0.25">
      <c r="A2">
        <v>0</v>
      </c>
      <c r="B2">
        <f t="shared" ref="B2:B8" si="0">(A2^$B$12)/($B$10^$B$12+A2^$B$12)</f>
        <v>0</v>
      </c>
      <c r="C2">
        <f>B2*$B$11</f>
        <v>0</v>
      </c>
      <c r="D2">
        <f>(0.257+C2)/(1+0.257+C2)</f>
        <v>0.20445505171042164</v>
      </c>
      <c r="E2" s="1">
        <f>D2*'Main parameters and conversions'!$B$28</f>
        <v>7.9734239644322743E-5</v>
      </c>
    </row>
    <row r="3" spans="1:7" x14ac:dyDescent="0.25">
      <c r="A3" s="1">
        <v>5.0000000000000001E-4</v>
      </c>
      <c r="B3">
        <f t="shared" si="0"/>
        <v>1.0110977767449696E-3</v>
      </c>
      <c r="C3">
        <f>B3*$B$11</f>
        <v>2.2067107867681287E-2</v>
      </c>
      <c r="D3">
        <f t="shared" ref="D3:D8" si="1">(0.257+C3)/(1+0.257+C3)</f>
        <v>0.21818019254119589</v>
      </c>
      <c r="E3" s="1">
        <f>D3*'Main parameters and conversions'!$B$28</f>
        <v>8.5086827702176294E-5</v>
      </c>
    </row>
    <row r="4" spans="1:7" x14ac:dyDescent="0.25">
      <c r="A4">
        <v>5.0000000000000001E-3</v>
      </c>
      <c r="B4">
        <f t="shared" si="0"/>
        <v>3.1013461065073307E-2</v>
      </c>
      <c r="C4">
        <f t="shared" ref="C4:C8" si="2">B4*$B$11</f>
        <v>0.67686568639911837</v>
      </c>
      <c r="D4">
        <f t="shared" si="1"/>
        <v>0.48290100650060541</v>
      </c>
      <c r="E4" s="1">
        <f>D4*'Main parameters and conversions'!$B$28</f>
        <v>1.883237623853795E-4</v>
      </c>
    </row>
    <row r="5" spans="1:7" x14ac:dyDescent="0.25">
      <c r="A5">
        <v>1.2E-2</v>
      </c>
      <c r="B5">
        <f t="shared" si="0"/>
        <v>0.1063454744926732</v>
      </c>
      <c r="C5">
        <f>B5*$B$11</f>
        <v>2.3209793462551431</v>
      </c>
      <c r="D5">
        <f t="shared" si="1"/>
        <v>0.72051264045259511</v>
      </c>
      <c r="E5" s="1">
        <f>D5*'Main parameters and conversions'!$B$28</f>
        <v>2.8098854520835793E-4</v>
      </c>
    </row>
    <row r="6" spans="1:7" x14ac:dyDescent="0.25">
      <c r="A6">
        <v>5.2999999999999999E-2</v>
      </c>
      <c r="B6">
        <f t="shared" si="0"/>
        <v>0.52484243270929898</v>
      </c>
      <c r="C6">
        <f t="shared" si="2"/>
        <v>11.454633609637179</v>
      </c>
      <c r="D6">
        <f t="shared" si="1"/>
        <v>0.92133190503210682</v>
      </c>
      <c r="E6" s="1">
        <f>D6*'Main parameters and conversions'!$B$28</f>
        <v>3.5930488531942624E-4</v>
      </c>
    </row>
    <row r="7" spans="1:7" x14ac:dyDescent="0.25">
      <c r="A7">
        <v>0.216</v>
      </c>
      <c r="B7">
        <f t="shared" si="0"/>
        <v>0.90087022485686385</v>
      </c>
      <c r="C7">
        <f t="shared" si="2"/>
        <v>19.661402570478568</v>
      </c>
      <c r="D7">
        <f t="shared" si="1"/>
        <v>0.95219520244766365</v>
      </c>
      <c r="E7" s="1">
        <f>D7*'Main parameters and conversions'!$B$28</f>
        <v>3.7134108365132872E-4</v>
      </c>
    </row>
    <row r="8" spans="1:7" x14ac:dyDescent="0.25">
      <c r="A8">
        <v>1</v>
      </c>
      <c r="B8">
        <f t="shared" si="0"/>
        <v>0.9890742462366674</v>
      </c>
      <c r="C8">
        <f t="shared" si="2"/>
        <v>21.586446516690643</v>
      </c>
      <c r="D8">
        <f t="shared" si="1"/>
        <v>0.95622376863012559</v>
      </c>
      <c r="E8" s="1">
        <f>D8*'Main parameters and conversions'!$B$28</f>
        <v>3.7291216080852403E-4</v>
      </c>
    </row>
    <row r="10" spans="1:7" x14ac:dyDescent="0.25">
      <c r="A10" t="s">
        <v>35</v>
      </c>
      <c r="B10">
        <v>4.9599999999999998E-2</v>
      </c>
    </row>
    <row r="11" spans="1:7" x14ac:dyDescent="0.25">
      <c r="A11" t="s">
        <v>26</v>
      </c>
      <c r="B11">
        <v>21.8249</v>
      </c>
    </row>
    <row r="12" spans="1:7" x14ac:dyDescent="0.25">
      <c r="A12" t="s">
        <v>34</v>
      </c>
      <c r="B12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9327F-90C0-41AF-B72C-6F52B4C80DAF}">
  <dimension ref="A1:E14"/>
  <sheetViews>
    <sheetView workbookViewId="0">
      <selection activeCell="E7" sqref="E7"/>
    </sheetView>
  </sheetViews>
  <sheetFormatPr defaultRowHeight="15" x14ac:dyDescent="0.25"/>
  <sheetData>
    <row r="1" spans="1:5" x14ac:dyDescent="0.25">
      <c r="B1" t="s">
        <v>27</v>
      </c>
      <c r="C1" t="s">
        <v>28</v>
      </c>
      <c r="D1" t="s">
        <v>29</v>
      </c>
    </row>
    <row r="2" spans="1:5" x14ac:dyDescent="0.25">
      <c r="A2">
        <v>0</v>
      </c>
      <c r="B2">
        <f>(A2^$A$14)/($B$10^$A$14+A2^$A$14)</f>
        <v>0</v>
      </c>
      <c r="C2">
        <f>B2*$B$11</f>
        <v>0</v>
      </c>
      <c r="D2">
        <f>(0.257+C2)/(1+0.257+C2)</f>
        <v>0.20445505171042164</v>
      </c>
      <c r="E2" s="1">
        <f>D2*'Main parameters and conversions'!$J$8</f>
        <v>7.9734239644322743E-5</v>
      </c>
    </row>
    <row r="3" spans="1:5" x14ac:dyDescent="0.25">
      <c r="A3" s="1">
        <v>5.0000000000000001E-4</v>
      </c>
      <c r="B3">
        <f t="shared" ref="B3:B8" si="0">(A3^$A$14)/($B$10^$A$14+A3^$A$14)</f>
        <v>3.6828198244475058E-2</v>
      </c>
      <c r="C3">
        <f>B3*$B$11</f>
        <v>0.31959068498176524</v>
      </c>
      <c r="D3">
        <f t="shared" ref="D3:D8" si="1">(0.257+C3)/(1+0.257+C3)</f>
        <v>0.36571996173403371</v>
      </c>
      <c r="E3" s="1">
        <f>D3*'Main parameters and conversions'!$J$8</f>
        <v>1.4262500646310808E-4</v>
      </c>
    </row>
    <row r="4" spans="1:5" x14ac:dyDescent="0.25">
      <c r="A4">
        <v>5.0000000000000001E-3</v>
      </c>
      <c r="B4">
        <f t="shared" si="0"/>
        <v>0.16394922452533128</v>
      </c>
      <c r="C4">
        <f t="shared" ref="C4:C8" si="2">B4*$B$11</f>
        <v>1.4227316965238819</v>
      </c>
      <c r="D4">
        <f t="shared" si="1"/>
        <v>0.62682831221603685</v>
      </c>
      <c r="E4" s="1">
        <f>D4*'Main parameters and conversions'!$J$8</f>
        <v>2.4445313746939437E-4</v>
      </c>
    </row>
    <row r="5" spans="1:5" x14ac:dyDescent="0.25">
      <c r="A5">
        <v>1.2E-2</v>
      </c>
      <c r="B5">
        <f t="shared" si="0"/>
        <v>0.26745963829582714</v>
      </c>
      <c r="C5">
        <f>B5*$B$11</f>
        <v>2.3209826459745924</v>
      </c>
      <c r="D5">
        <f t="shared" si="1"/>
        <v>0.72051289820395037</v>
      </c>
      <c r="E5" s="1">
        <f>D5*'Main parameters and conversions'!$J$8</f>
        <v>2.8098864572731382E-4</v>
      </c>
    </row>
    <row r="6" spans="1:5" x14ac:dyDescent="0.25">
      <c r="A6">
        <v>5.2999999999999999E-2</v>
      </c>
      <c r="B6">
        <f t="shared" si="0"/>
        <v>0.51176626897015487</v>
      </c>
      <c r="C6">
        <f t="shared" si="2"/>
        <v>4.4410462701707276</v>
      </c>
      <c r="D6">
        <f t="shared" si="1"/>
        <v>0.82450124962392801</v>
      </c>
      <c r="E6" s="1">
        <f>D6*'Main parameters and conversions'!$J$8</f>
        <v>3.2154245969754551E-4</v>
      </c>
    </row>
    <row r="7" spans="1:5" x14ac:dyDescent="0.25">
      <c r="A7">
        <v>0.216</v>
      </c>
      <c r="B7">
        <f t="shared" si="0"/>
        <v>0.73973933304505002</v>
      </c>
      <c r="C7">
        <f t="shared" si="2"/>
        <v>6.419369163444979</v>
      </c>
      <c r="D7">
        <f t="shared" si="1"/>
        <v>0.86973007958475723</v>
      </c>
      <c r="E7" s="1">
        <f>D7*'Main parameters and conversions'!$J$8</f>
        <v>3.3918098873735042E-4</v>
      </c>
    </row>
    <row r="8" spans="1:5" x14ac:dyDescent="0.25">
      <c r="A8">
        <v>1</v>
      </c>
      <c r="B8">
        <f t="shared" si="0"/>
        <v>0.89403847514133983</v>
      </c>
      <c r="C8">
        <f t="shared" si="2"/>
        <v>7.7583586026595297</v>
      </c>
      <c r="D8">
        <f t="shared" si="1"/>
        <v>0.88907817824295976</v>
      </c>
      <c r="E8" s="1">
        <f>D8*'Main parameters and conversions'!$J$8</f>
        <v>3.4672644150151162E-4</v>
      </c>
    </row>
    <row r="10" spans="1:5" x14ac:dyDescent="0.25">
      <c r="A10" t="s">
        <v>25</v>
      </c>
      <c r="B10">
        <v>4.9599999999999998E-2</v>
      </c>
      <c r="C10">
        <f>B10^0.71</f>
        <v>0.11852009483362408</v>
      </c>
      <c r="D10">
        <f>0.216^0.71/(B10^0.71+0.216^0.71)</f>
        <v>0.73973933304505002</v>
      </c>
    </row>
    <row r="11" spans="1:5" x14ac:dyDescent="0.25">
      <c r="A11" t="s">
        <v>26</v>
      </c>
      <c r="B11">
        <v>8.67788</v>
      </c>
    </row>
    <row r="12" spans="1:5" x14ac:dyDescent="0.25">
      <c r="A12">
        <v>8.67788</v>
      </c>
    </row>
    <row r="14" spans="1:5" x14ac:dyDescent="0.25">
      <c r="A14">
        <v>0.71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09F4-037B-4583-A449-1D39F064E668}">
  <dimension ref="A1:E13"/>
  <sheetViews>
    <sheetView workbookViewId="0">
      <selection activeCell="D8" sqref="D8"/>
    </sheetView>
  </sheetViews>
  <sheetFormatPr defaultRowHeight="15" x14ac:dyDescent="0.25"/>
  <sheetData>
    <row r="1" spans="1:5" x14ac:dyDescent="0.25">
      <c r="B1" t="s">
        <v>27</v>
      </c>
      <c r="C1" t="s">
        <v>28</v>
      </c>
      <c r="D1" t="s">
        <v>29</v>
      </c>
    </row>
    <row r="2" spans="1:5" x14ac:dyDescent="0.25">
      <c r="A2">
        <v>0</v>
      </c>
      <c r="B2">
        <f>(A2^$A$13)/($B$10^$A$13+A2^$A$13)</f>
        <v>0</v>
      </c>
      <c r="C2">
        <f>B2*$B$11</f>
        <v>0</v>
      </c>
      <c r="D2">
        <f>(0.257+C2)/(1+0.257+C2)</f>
        <v>0.20445505171042164</v>
      </c>
      <c r="E2" s="1">
        <f>D2*'Main parameters and conversions'!$J$8</f>
        <v>7.9734239644322743E-5</v>
      </c>
    </row>
    <row r="3" spans="1:5" x14ac:dyDescent="0.25">
      <c r="A3" s="1">
        <v>5.0000000000000001E-4</v>
      </c>
      <c r="B3">
        <f t="shared" ref="B3:B8" si="0">(A3^$A$13)/($B$10^$A$13+A3^$A$13)</f>
        <v>9.9800399201596807E-3</v>
      </c>
      <c r="C3">
        <f>B3*$B$11</f>
        <v>0.1189061876247505</v>
      </c>
      <c r="D3">
        <f t="shared" ref="D3:D8" si="1">(0.257+C3)/(1+0.257+C3)</f>
        <v>0.27320626290203948</v>
      </c>
      <c r="E3" s="1">
        <f>D3*'Main parameters and conversions'!$J$8</f>
        <v>1.0654612569521886E-4</v>
      </c>
    </row>
    <row r="4" spans="1:5" x14ac:dyDescent="0.25">
      <c r="A4">
        <v>5.0000000000000001E-3</v>
      </c>
      <c r="B4">
        <f t="shared" si="0"/>
        <v>9.1575091575091583E-2</v>
      </c>
      <c r="C4">
        <f t="shared" ref="C4:C8" si="2">B4*$B$11</f>
        <v>1.0910622710622713</v>
      </c>
      <c r="D4">
        <f t="shared" si="1"/>
        <v>0.57411691660647624</v>
      </c>
      <c r="E4" s="1">
        <f>D4*'Main parameters and conversions'!$J$8</f>
        <v>2.2389652605598622E-4</v>
      </c>
    </row>
    <row r="5" spans="1:5" x14ac:dyDescent="0.25">
      <c r="A5">
        <v>1.2E-2</v>
      </c>
      <c r="B5">
        <f t="shared" si="0"/>
        <v>0.19480519480519481</v>
      </c>
      <c r="C5">
        <f>B5*$B$11</f>
        <v>2.3209870129870134</v>
      </c>
      <c r="D5">
        <f t="shared" si="1"/>
        <v>0.72051323932415023</v>
      </c>
      <c r="E5" s="1">
        <f>D5*'Main parameters and conversions'!$J$8</f>
        <v>2.8098877875880183E-4</v>
      </c>
    </row>
    <row r="6" spans="1:5" x14ac:dyDescent="0.25">
      <c r="A6">
        <v>5.2999999999999999E-2</v>
      </c>
      <c r="B6">
        <f t="shared" si="0"/>
        <v>0.51656920077972712</v>
      </c>
      <c r="C6">
        <f t="shared" si="2"/>
        <v>6.1546120857699815</v>
      </c>
      <c r="D6">
        <f t="shared" si="1"/>
        <v>0.86507658679007737</v>
      </c>
      <c r="E6" s="1">
        <f>D6*'Main parameters and conversions'!$J$8</f>
        <v>3.3736620007563685E-4</v>
      </c>
    </row>
    <row r="7" spans="1:5" x14ac:dyDescent="0.25">
      <c r="A7">
        <v>0.216</v>
      </c>
      <c r="B7">
        <f t="shared" si="0"/>
        <v>0.81325301204819278</v>
      </c>
      <c r="C7">
        <f t="shared" si="2"/>
        <v>9.6894216867469893</v>
      </c>
      <c r="D7">
        <f t="shared" si="1"/>
        <v>0.90864594580613345</v>
      </c>
      <c r="E7" s="1">
        <f>D7*'Main parameters and conversions'!$J$8</f>
        <v>3.5435756166770006E-4</v>
      </c>
    </row>
    <row r="8" spans="1:5" x14ac:dyDescent="0.25">
      <c r="A8">
        <v>1</v>
      </c>
      <c r="B8">
        <f t="shared" si="0"/>
        <v>0.95274390243902429</v>
      </c>
      <c r="C8">
        <f t="shared" si="2"/>
        <v>11.351371951219512</v>
      </c>
      <c r="D8">
        <f t="shared" si="1"/>
        <v>0.92068761899879725</v>
      </c>
      <c r="E8" s="1">
        <f>D8*'Main parameters and conversions'!$J$8</f>
        <v>3.5905362394657368E-4</v>
      </c>
    </row>
    <row r="10" spans="1:5" x14ac:dyDescent="0.25">
      <c r="A10" t="s">
        <v>25</v>
      </c>
      <c r="B10">
        <v>4.9599999999999998E-2</v>
      </c>
      <c r="C10">
        <f>B10^0.71</f>
        <v>0.11852009483362408</v>
      </c>
      <c r="D10">
        <f>0.216^0.71/(B10^0.71+0.216^0.71)</f>
        <v>0.73973933304505002</v>
      </c>
    </row>
    <row r="11" spans="1:5" x14ac:dyDescent="0.25">
      <c r="A11" t="s">
        <v>26</v>
      </c>
      <c r="B11">
        <v>11.914400000000001</v>
      </c>
    </row>
    <row r="12" spans="1:5" x14ac:dyDescent="0.25">
      <c r="A12">
        <v>11.914400000000001</v>
      </c>
    </row>
    <row r="13" spans="1:5" x14ac:dyDescent="0.25">
      <c r="A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parameters and conversions</vt:lpstr>
      <vt:lpstr>n = 1.5</vt:lpstr>
      <vt:lpstr>n = 0.71</vt:lpstr>
      <vt:lpstr>n =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Tan</dc:creator>
  <cp:lastModifiedBy>Matt Tan</cp:lastModifiedBy>
  <dcterms:created xsi:type="dcterms:W3CDTF">2020-05-08T16:11:18Z</dcterms:created>
  <dcterms:modified xsi:type="dcterms:W3CDTF">2020-05-12T00:20:06Z</dcterms:modified>
</cp:coreProperties>
</file>