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7\OneDrive\Desktop-Laptop2\splat\"/>
    </mc:Choice>
  </mc:AlternateContent>
  <xr:revisionPtr revIDLastSave="0" documentId="8_{A5001ECA-6033-4A30-933B-03FF0633AE35}" xr6:coauthVersionLast="47" xr6:coauthVersionMax="47" xr10:uidLastSave="{00000000-0000-0000-0000-000000000000}"/>
  <bookViews>
    <workbookView xWindow="-108" yWindow="-108" windowWidth="23256" windowHeight="12720" activeTab="3" xr2:uid="{EDC6A861-0792-4498-BDB8-ED0D8C7E58FC}"/>
  </bookViews>
  <sheets>
    <sheet name="age_sex - data generator" sheetId="1" r:id="rId1"/>
    <sheet name="age_sex - splat calc" sheetId="3" r:id="rId2"/>
    <sheet name="uwclass_year - splat calc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C4" i="5"/>
  <c r="D3" i="5"/>
  <c r="D2" i="5"/>
  <c r="C3" i="5"/>
  <c r="C2" i="5"/>
  <c r="H11" i="4"/>
  <c r="C1" i="4"/>
  <c r="E11" i="4" s="1"/>
  <c r="L11" i="4" s="1"/>
  <c r="J40" i="3"/>
  <c r="C40" i="3"/>
  <c r="J39" i="3"/>
  <c r="C39" i="3"/>
  <c r="J38" i="3"/>
  <c r="E38" i="3"/>
  <c r="C38" i="3"/>
  <c r="J37" i="3"/>
  <c r="E37" i="3"/>
  <c r="C37" i="3"/>
  <c r="J36" i="3"/>
  <c r="E36" i="3"/>
  <c r="C36" i="3"/>
  <c r="J35" i="3"/>
  <c r="C35" i="3"/>
  <c r="J34" i="3"/>
  <c r="C34" i="3"/>
  <c r="J33" i="3"/>
  <c r="C33" i="3"/>
  <c r="J32" i="3"/>
  <c r="C32" i="3"/>
  <c r="J31" i="3"/>
  <c r="C31" i="3"/>
  <c r="J30" i="3"/>
  <c r="E30" i="3"/>
  <c r="C30" i="3"/>
  <c r="J29" i="3"/>
  <c r="E29" i="3"/>
  <c r="C29" i="3"/>
  <c r="J28" i="3"/>
  <c r="E28" i="3"/>
  <c r="C28" i="3"/>
  <c r="J27" i="3"/>
  <c r="C27" i="3"/>
  <c r="J26" i="3"/>
  <c r="C26" i="3"/>
  <c r="J25" i="3"/>
  <c r="C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A10" i="3"/>
  <c r="A11" i="3" s="1"/>
  <c r="J9" i="3"/>
  <c r="E9" i="3"/>
  <c r="C9" i="3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10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10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6" i="1"/>
  <c r="C10" i="1"/>
  <c r="A11" i="1"/>
  <c r="D11" i="1" s="1"/>
  <c r="G11" i="4" l="1"/>
  <c r="E15" i="4"/>
  <c r="M11" i="4"/>
  <c r="O11" i="4"/>
  <c r="E18" i="4"/>
  <c r="E17" i="4"/>
  <c r="E16" i="4"/>
  <c r="E10" i="4"/>
  <c r="E14" i="4"/>
  <c r="E21" i="4"/>
  <c r="E13" i="4"/>
  <c r="E20" i="4"/>
  <c r="E12" i="4"/>
  <c r="E19" i="4"/>
  <c r="N29" i="3"/>
  <c r="G10" i="3"/>
  <c r="C2" i="4" s="1"/>
  <c r="E32" i="3"/>
  <c r="L32" i="3" s="1"/>
  <c r="E40" i="3"/>
  <c r="C10" i="3"/>
  <c r="E25" i="3"/>
  <c r="N25" i="3" s="1"/>
  <c r="E33" i="3"/>
  <c r="N33" i="3" s="1"/>
  <c r="E31" i="3"/>
  <c r="N31" i="3" s="1"/>
  <c r="N37" i="3"/>
  <c r="E27" i="3"/>
  <c r="K27" i="3" s="1"/>
  <c r="E35" i="3"/>
  <c r="K35" i="3" s="1"/>
  <c r="G34" i="3"/>
  <c r="G9" i="3"/>
  <c r="I9" i="3" s="1"/>
  <c r="G31" i="3"/>
  <c r="G39" i="3"/>
  <c r="G27" i="3"/>
  <c r="G35" i="3"/>
  <c r="G32" i="3"/>
  <c r="G25" i="3"/>
  <c r="G30" i="3"/>
  <c r="H30" i="3" s="1"/>
  <c r="G36" i="3"/>
  <c r="O36" i="3" s="1"/>
  <c r="G29" i="3"/>
  <c r="O29" i="3" s="1"/>
  <c r="P29" i="3" s="1"/>
  <c r="G40" i="3"/>
  <c r="H40" i="3" s="1"/>
  <c r="G33" i="3"/>
  <c r="G38" i="3"/>
  <c r="O38" i="3" s="1"/>
  <c r="G26" i="3"/>
  <c r="G37" i="3"/>
  <c r="I37" i="3" s="1"/>
  <c r="C11" i="3"/>
  <c r="A12" i="3"/>
  <c r="L28" i="3"/>
  <c r="K28" i="3"/>
  <c r="N28" i="3"/>
  <c r="N30" i="3"/>
  <c r="L30" i="3"/>
  <c r="K30" i="3"/>
  <c r="L36" i="3"/>
  <c r="K36" i="3"/>
  <c r="N36" i="3"/>
  <c r="N38" i="3"/>
  <c r="L38" i="3"/>
  <c r="K38" i="3"/>
  <c r="L40" i="3"/>
  <c r="N40" i="3"/>
  <c r="K40" i="3"/>
  <c r="L9" i="3"/>
  <c r="N9" i="3"/>
  <c r="K9" i="3"/>
  <c r="E26" i="3"/>
  <c r="G28" i="3"/>
  <c r="O28" i="3" s="1"/>
  <c r="E34" i="3"/>
  <c r="K29" i="3"/>
  <c r="K37" i="3"/>
  <c r="E39" i="3"/>
  <c r="L29" i="3"/>
  <c r="L37" i="3"/>
  <c r="E41" i="1"/>
  <c r="E40" i="1"/>
  <c r="E39" i="1"/>
  <c r="E31" i="1"/>
  <c r="E26" i="1"/>
  <c r="E38" i="1"/>
  <c r="E30" i="1"/>
  <c r="E10" i="1"/>
  <c r="E37" i="1"/>
  <c r="E29" i="1"/>
  <c r="E34" i="1"/>
  <c r="E33" i="1"/>
  <c r="E32" i="1"/>
  <c r="E36" i="1"/>
  <c r="E28" i="1"/>
  <c r="C11" i="1"/>
  <c r="E11" i="1" s="1"/>
  <c r="E35" i="1"/>
  <c r="E27" i="1"/>
  <c r="G41" i="1"/>
  <c r="G37" i="1"/>
  <c r="G29" i="1"/>
  <c r="G33" i="1"/>
  <c r="G34" i="1"/>
  <c r="G26" i="1"/>
  <c r="G38" i="1"/>
  <c r="G30" i="1"/>
  <c r="G36" i="1"/>
  <c r="G28" i="1"/>
  <c r="G35" i="1"/>
  <c r="G27" i="1"/>
  <c r="G40" i="1"/>
  <c r="G32" i="1"/>
  <c r="G39" i="1"/>
  <c r="G31" i="1"/>
  <c r="G10" i="1"/>
  <c r="A12" i="1"/>
  <c r="G16" i="4" l="1"/>
  <c r="H16" i="4"/>
  <c r="G19" i="4"/>
  <c r="H19" i="4"/>
  <c r="G17" i="4"/>
  <c r="H17" i="4"/>
  <c r="G12" i="4"/>
  <c r="H12" i="4"/>
  <c r="G20" i="4"/>
  <c r="H20" i="4"/>
  <c r="G13" i="4"/>
  <c r="H13" i="4"/>
  <c r="G15" i="4"/>
  <c r="H15" i="4"/>
  <c r="G18" i="4"/>
  <c r="H18" i="4"/>
  <c r="G14" i="4"/>
  <c r="H14" i="4"/>
  <c r="G10" i="4"/>
  <c r="H10" i="4"/>
  <c r="M15" i="4"/>
  <c r="L15" i="4"/>
  <c r="O15" i="4"/>
  <c r="L12" i="4"/>
  <c r="O12" i="4"/>
  <c r="M12" i="4"/>
  <c r="O18" i="4"/>
  <c r="M18" i="4"/>
  <c r="L18" i="4"/>
  <c r="L20" i="4"/>
  <c r="O20" i="4"/>
  <c r="M20" i="4"/>
  <c r="O19" i="4"/>
  <c r="M19" i="4"/>
  <c r="L19" i="4"/>
  <c r="L13" i="4"/>
  <c r="O13" i="4"/>
  <c r="M13" i="4"/>
  <c r="L21" i="4"/>
  <c r="O21" i="4"/>
  <c r="M21" i="4"/>
  <c r="O10" i="4"/>
  <c r="L10" i="4"/>
  <c r="M10" i="4"/>
  <c r="O17" i="4"/>
  <c r="M17" i="4"/>
  <c r="L17" i="4"/>
  <c r="M14" i="4"/>
  <c r="L14" i="4"/>
  <c r="O14" i="4"/>
  <c r="M16" i="4"/>
  <c r="L16" i="4"/>
  <c r="O16" i="4"/>
  <c r="K32" i="3"/>
  <c r="N32" i="3"/>
  <c r="H32" i="3"/>
  <c r="E10" i="3"/>
  <c r="I10" i="3" s="1"/>
  <c r="H29" i="3"/>
  <c r="I29" i="3"/>
  <c r="L33" i="3"/>
  <c r="K33" i="3"/>
  <c r="H33" i="3"/>
  <c r="K31" i="3"/>
  <c r="L31" i="3"/>
  <c r="I40" i="3"/>
  <c r="K25" i="3"/>
  <c r="H31" i="3"/>
  <c r="O25" i="3"/>
  <c r="P25" i="3" s="1"/>
  <c r="L25" i="3"/>
  <c r="L27" i="3"/>
  <c r="M27" i="3" s="1"/>
  <c r="L35" i="3"/>
  <c r="M35" i="3" s="1"/>
  <c r="H27" i="3"/>
  <c r="N27" i="3"/>
  <c r="O27" i="3"/>
  <c r="O35" i="3"/>
  <c r="O9" i="3"/>
  <c r="P9" i="3" s="1"/>
  <c r="H9" i="3"/>
  <c r="N35" i="3"/>
  <c r="O31" i="3"/>
  <c r="P31" i="3" s="1"/>
  <c r="O33" i="3"/>
  <c r="P33" i="3" s="1"/>
  <c r="H10" i="3"/>
  <c r="I31" i="3"/>
  <c r="P28" i="3"/>
  <c r="H36" i="3"/>
  <c r="I27" i="3"/>
  <c r="M9" i="3"/>
  <c r="O40" i="3"/>
  <c r="P40" i="3" s="1"/>
  <c r="I32" i="3"/>
  <c r="G11" i="3"/>
  <c r="O37" i="3"/>
  <c r="P37" i="3" s="1"/>
  <c r="H37" i="3"/>
  <c r="I25" i="3"/>
  <c r="H35" i="3"/>
  <c r="H25" i="3"/>
  <c r="M37" i="3"/>
  <c r="O32" i="3"/>
  <c r="I35" i="3"/>
  <c r="I30" i="3"/>
  <c r="O30" i="3"/>
  <c r="P30" i="3" s="1"/>
  <c r="I33" i="3"/>
  <c r="I38" i="3"/>
  <c r="I36" i="3"/>
  <c r="H38" i="3"/>
  <c r="M40" i="3"/>
  <c r="M36" i="3"/>
  <c r="M30" i="3"/>
  <c r="M29" i="3"/>
  <c r="M28" i="3"/>
  <c r="M32" i="3"/>
  <c r="M38" i="3"/>
  <c r="I28" i="3"/>
  <c r="K26" i="3"/>
  <c r="N26" i="3"/>
  <c r="I26" i="3"/>
  <c r="H26" i="3"/>
  <c r="O26" i="3"/>
  <c r="L26" i="3"/>
  <c r="P36" i="3"/>
  <c r="C12" i="3"/>
  <c r="A13" i="3"/>
  <c r="H28" i="3"/>
  <c r="H39" i="3"/>
  <c r="O39" i="3"/>
  <c r="N39" i="3"/>
  <c r="L39" i="3"/>
  <c r="K39" i="3"/>
  <c r="I39" i="3"/>
  <c r="K34" i="3"/>
  <c r="N34" i="3"/>
  <c r="I34" i="3"/>
  <c r="H34" i="3"/>
  <c r="O34" i="3"/>
  <c r="L34" i="3"/>
  <c r="P38" i="3"/>
  <c r="E11" i="3"/>
  <c r="O27" i="1"/>
  <c r="O40" i="1"/>
  <c r="O37" i="1"/>
  <c r="O35" i="1"/>
  <c r="O29" i="1"/>
  <c r="O41" i="1"/>
  <c r="O10" i="1"/>
  <c r="O28" i="1"/>
  <c r="O36" i="1"/>
  <c r="O30" i="1"/>
  <c r="O38" i="1"/>
  <c r="O32" i="1"/>
  <c r="O26" i="1"/>
  <c r="O31" i="1"/>
  <c r="O33" i="1"/>
  <c r="O34" i="1"/>
  <c r="O39" i="1"/>
  <c r="N28" i="1"/>
  <c r="H28" i="1"/>
  <c r="N30" i="1"/>
  <c r="H30" i="1"/>
  <c r="N36" i="1"/>
  <c r="H36" i="1"/>
  <c r="N32" i="1"/>
  <c r="H32" i="1"/>
  <c r="N26" i="1"/>
  <c r="H26" i="1"/>
  <c r="N38" i="1"/>
  <c r="H38" i="1"/>
  <c r="N33" i="1"/>
  <c r="H33" i="1"/>
  <c r="N31" i="1"/>
  <c r="H31" i="1"/>
  <c r="N34" i="1"/>
  <c r="H34" i="1"/>
  <c r="N39" i="1"/>
  <c r="H39" i="1"/>
  <c r="N27" i="1"/>
  <c r="H27" i="1"/>
  <c r="N29" i="1"/>
  <c r="H29" i="1"/>
  <c r="N40" i="1"/>
  <c r="H40" i="1"/>
  <c r="N11" i="1"/>
  <c r="N35" i="1"/>
  <c r="H35" i="1"/>
  <c r="N37" i="1"/>
  <c r="H37" i="1"/>
  <c r="N41" i="1"/>
  <c r="H41" i="1"/>
  <c r="N10" i="1"/>
  <c r="H10" i="1"/>
  <c r="K11" i="1"/>
  <c r="K28" i="1"/>
  <c r="I28" i="1"/>
  <c r="K30" i="1"/>
  <c r="I30" i="1"/>
  <c r="K32" i="1"/>
  <c r="I32" i="1"/>
  <c r="K33" i="1"/>
  <c r="I33" i="1"/>
  <c r="K31" i="1"/>
  <c r="I31" i="1"/>
  <c r="K26" i="1"/>
  <c r="I26" i="1"/>
  <c r="K34" i="1"/>
  <c r="I34" i="1"/>
  <c r="K39" i="1"/>
  <c r="I39" i="1"/>
  <c r="K36" i="1"/>
  <c r="I36" i="1"/>
  <c r="K27" i="1"/>
  <c r="I27" i="1"/>
  <c r="K29" i="1"/>
  <c r="I29" i="1"/>
  <c r="K40" i="1"/>
  <c r="I40" i="1"/>
  <c r="K38" i="1"/>
  <c r="I38" i="1"/>
  <c r="K35" i="1"/>
  <c r="I35" i="1"/>
  <c r="K37" i="1"/>
  <c r="I37" i="1"/>
  <c r="I41" i="1"/>
  <c r="K10" i="1"/>
  <c r="I10" i="1"/>
  <c r="K41" i="1"/>
  <c r="L41" i="1"/>
  <c r="L28" i="1"/>
  <c r="L30" i="1"/>
  <c r="L36" i="1"/>
  <c r="L38" i="1"/>
  <c r="L32" i="1"/>
  <c r="L26" i="1"/>
  <c r="L33" i="1"/>
  <c r="L31" i="1"/>
  <c r="L11" i="1"/>
  <c r="L34" i="1"/>
  <c r="L39" i="1"/>
  <c r="L27" i="1"/>
  <c r="L29" i="1"/>
  <c r="L40" i="1"/>
  <c r="L35" i="1"/>
  <c r="L37" i="1"/>
  <c r="L10" i="1"/>
  <c r="D12" i="1"/>
  <c r="C12" i="1"/>
  <c r="G11" i="1"/>
  <c r="H11" i="1" s="1"/>
  <c r="A13" i="1"/>
  <c r="H21" i="4" l="1"/>
  <c r="F21" i="4" s="1"/>
  <c r="G21" i="4" s="1"/>
  <c r="P32" i="3"/>
  <c r="O10" i="3"/>
  <c r="L10" i="3"/>
  <c r="K10" i="3"/>
  <c r="N10" i="3"/>
  <c r="M33" i="3"/>
  <c r="M31" i="3"/>
  <c r="M25" i="3"/>
  <c r="P27" i="3"/>
  <c r="P35" i="3"/>
  <c r="E12" i="3"/>
  <c r="K12" i="3" s="1"/>
  <c r="M26" i="3"/>
  <c r="P34" i="3"/>
  <c r="M39" i="3"/>
  <c r="P26" i="3"/>
  <c r="P39" i="3"/>
  <c r="I11" i="3"/>
  <c r="L11" i="3"/>
  <c r="H11" i="3"/>
  <c r="O11" i="3"/>
  <c r="N11" i="3"/>
  <c r="K11" i="3"/>
  <c r="M34" i="3"/>
  <c r="C13" i="3"/>
  <c r="A14" i="3"/>
  <c r="G12" i="3"/>
  <c r="O11" i="1"/>
  <c r="P11" i="1" s="1"/>
  <c r="P31" i="1"/>
  <c r="I11" i="1"/>
  <c r="M35" i="1"/>
  <c r="M10" i="1"/>
  <c r="P35" i="1"/>
  <c r="M27" i="1"/>
  <c r="M26" i="1"/>
  <c r="M28" i="1"/>
  <c r="M30" i="1"/>
  <c r="M32" i="1"/>
  <c r="M37" i="1"/>
  <c r="M34" i="1"/>
  <c r="M29" i="1"/>
  <c r="M31" i="1"/>
  <c r="M38" i="1"/>
  <c r="M39" i="1"/>
  <c r="M33" i="1"/>
  <c r="M36" i="1"/>
  <c r="M40" i="1"/>
  <c r="P36" i="1"/>
  <c r="P29" i="1"/>
  <c r="M41" i="1"/>
  <c r="M11" i="1"/>
  <c r="P41" i="1"/>
  <c r="P34" i="1"/>
  <c r="P32" i="1"/>
  <c r="P40" i="1"/>
  <c r="P27" i="1"/>
  <c r="P30" i="1"/>
  <c r="P39" i="1"/>
  <c r="P10" i="1"/>
  <c r="P33" i="1"/>
  <c r="P26" i="1"/>
  <c r="P38" i="1"/>
  <c r="P37" i="1"/>
  <c r="P28" i="1"/>
  <c r="G12" i="1"/>
  <c r="D13" i="1"/>
  <c r="C13" i="1"/>
  <c r="E12" i="1"/>
  <c r="A14" i="1"/>
  <c r="N14" i="4" l="1"/>
  <c r="P14" i="4"/>
  <c r="Q14" i="4" s="1"/>
  <c r="N16" i="4"/>
  <c r="P16" i="4"/>
  <c r="Q16" i="4" s="1"/>
  <c r="N20" i="4"/>
  <c r="P20" i="4"/>
  <c r="Q20" i="4" s="1"/>
  <c r="N11" i="4"/>
  <c r="P11" i="4"/>
  <c r="Q11" i="4" s="1"/>
  <c r="N15" i="4"/>
  <c r="P15" i="4"/>
  <c r="Q15" i="4" s="1"/>
  <c r="N17" i="4"/>
  <c r="P17" i="4"/>
  <c r="Q17" i="4" s="1"/>
  <c r="N18" i="4"/>
  <c r="P18" i="4"/>
  <c r="Q18" i="4" s="1"/>
  <c r="N13" i="4"/>
  <c r="P13" i="4"/>
  <c r="Q13" i="4" s="1"/>
  <c r="N12" i="4"/>
  <c r="P12" i="4"/>
  <c r="Q12" i="4" s="1"/>
  <c r="J19" i="4"/>
  <c r="P19" i="4"/>
  <c r="Q19" i="4" s="1"/>
  <c r="N21" i="4"/>
  <c r="P21" i="4"/>
  <c r="Q21" i="4" s="1"/>
  <c r="N10" i="4"/>
  <c r="P10" i="4"/>
  <c r="Q10" i="4" s="1"/>
  <c r="I19" i="4"/>
  <c r="N19" i="4"/>
  <c r="J14" i="4"/>
  <c r="I14" i="4"/>
  <c r="I16" i="4"/>
  <c r="J16" i="4"/>
  <c r="I18" i="4"/>
  <c r="J18" i="4"/>
  <c r="I15" i="4"/>
  <c r="J15" i="4"/>
  <c r="J20" i="4"/>
  <c r="I20" i="4"/>
  <c r="J11" i="4"/>
  <c r="I11" i="4"/>
  <c r="I13" i="4"/>
  <c r="J13" i="4"/>
  <c r="J12" i="4"/>
  <c r="I12" i="4"/>
  <c r="J21" i="4"/>
  <c r="I21" i="4"/>
  <c r="I10" i="4"/>
  <c r="C7" i="4" s="1"/>
  <c r="J10" i="4"/>
  <c r="J17" i="4"/>
  <c r="I17" i="4"/>
  <c r="P10" i="3"/>
  <c r="M10" i="3"/>
  <c r="L12" i="3"/>
  <c r="M12" i="3" s="1"/>
  <c r="N12" i="3"/>
  <c r="I12" i="3"/>
  <c r="E13" i="3"/>
  <c r="K13" i="3" s="1"/>
  <c r="P11" i="3"/>
  <c r="O12" i="3"/>
  <c r="M11" i="3"/>
  <c r="E14" i="3"/>
  <c r="C14" i="3"/>
  <c r="A15" i="3"/>
  <c r="G13" i="3"/>
  <c r="H12" i="3"/>
  <c r="O12" i="1"/>
  <c r="N12" i="1"/>
  <c r="H12" i="1"/>
  <c r="K12" i="1"/>
  <c r="I12" i="1"/>
  <c r="E13" i="1"/>
  <c r="L12" i="1"/>
  <c r="G13" i="1"/>
  <c r="D14" i="1"/>
  <c r="C14" i="1"/>
  <c r="A15" i="1"/>
  <c r="C5" i="4" l="1"/>
  <c r="C6" i="4" s="1"/>
  <c r="P12" i="3"/>
  <c r="N13" i="3"/>
  <c r="L13" i="3"/>
  <c r="M13" i="3" s="1"/>
  <c r="H13" i="3"/>
  <c r="I13" i="3"/>
  <c r="G14" i="3"/>
  <c r="H14" i="3" s="1"/>
  <c r="C15" i="3"/>
  <c r="A16" i="3"/>
  <c r="O13" i="3"/>
  <c r="L14" i="3"/>
  <c r="N14" i="3"/>
  <c r="K14" i="3"/>
  <c r="O13" i="1"/>
  <c r="N13" i="1"/>
  <c r="H13" i="1"/>
  <c r="M12" i="1"/>
  <c r="I13" i="1"/>
  <c r="K13" i="1"/>
  <c r="L13" i="1"/>
  <c r="P12" i="1"/>
  <c r="G14" i="1"/>
  <c r="D15" i="1"/>
  <c r="C15" i="1"/>
  <c r="E14" i="1"/>
  <c r="A16" i="1"/>
  <c r="P13" i="3" l="1"/>
  <c r="I14" i="3"/>
  <c r="M14" i="3"/>
  <c r="O14" i="3"/>
  <c r="P14" i="3" s="1"/>
  <c r="G15" i="3"/>
  <c r="C16" i="3"/>
  <c r="A17" i="3"/>
  <c r="E15" i="3"/>
  <c r="O14" i="1"/>
  <c r="N14" i="1"/>
  <c r="H14" i="1"/>
  <c r="K14" i="1"/>
  <c r="I14" i="1"/>
  <c r="M13" i="1"/>
  <c r="P13" i="1"/>
  <c r="E15" i="1"/>
  <c r="L14" i="1"/>
  <c r="D16" i="1"/>
  <c r="C16" i="1"/>
  <c r="G15" i="1"/>
  <c r="A17" i="1"/>
  <c r="G16" i="3" l="1"/>
  <c r="I15" i="3"/>
  <c r="H15" i="3"/>
  <c r="O15" i="3"/>
  <c r="N15" i="3"/>
  <c r="K15" i="3"/>
  <c r="L15" i="3"/>
  <c r="E17" i="3"/>
  <c r="C17" i="3"/>
  <c r="A18" i="3"/>
  <c r="E16" i="3"/>
  <c r="O15" i="1"/>
  <c r="N15" i="1"/>
  <c r="H15" i="1"/>
  <c r="I15" i="1"/>
  <c r="M14" i="1"/>
  <c r="E16" i="1"/>
  <c r="K15" i="1"/>
  <c r="L15" i="1"/>
  <c r="P14" i="1"/>
  <c r="G16" i="1"/>
  <c r="D17" i="1"/>
  <c r="C17" i="1"/>
  <c r="A18" i="1"/>
  <c r="M15" i="3" l="1"/>
  <c r="P15" i="3"/>
  <c r="E18" i="3"/>
  <c r="C18" i="3"/>
  <c r="A19" i="3"/>
  <c r="I16" i="3"/>
  <c r="L16" i="3"/>
  <c r="H16" i="3"/>
  <c r="O16" i="3"/>
  <c r="N16" i="3"/>
  <c r="K16" i="3"/>
  <c r="G17" i="3"/>
  <c r="I17" i="3" s="1"/>
  <c r="L17" i="3"/>
  <c r="N17" i="3"/>
  <c r="K17" i="3"/>
  <c r="O16" i="1"/>
  <c r="N16" i="1"/>
  <c r="H16" i="1"/>
  <c r="K16" i="1"/>
  <c r="I16" i="1"/>
  <c r="L16" i="1"/>
  <c r="M15" i="1"/>
  <c r="P15" i="1"/>
  <c r="G17" i="1"/>
  <c r="D18" i="1"/>
  <c r="C18" i="1"/>
  <c r="E17" i="1"/>
  <c r="A19" i="1"/>
  <c r="O17" i="3" l="1"/>
  <c r="P17" i="3" s="1"/>
  <c r="H17" i="3"/>
  <c r="P16" i="3"/>
  <c r="C19" i="3"/>
  <c r="A20" i="3"/>
  <c r="M17" i="3"/>
  <c r="G18" i="3"/>
  <c r="I18" i="3" s="1"/>
  <c r="M16" i="3"/>
  <c r="L18" i="3"/>
  <c r="N18" i="3"/>
  <c r="K18" i="3"/>
  <c r="O17" i="1"/>
  <c r="N17" i="1"/>
  <c r="H17" i="1"/>
  <c r="M16" i="1"/>
  <c r="K17" i="1"/>
  <c r="I17" i="1"/>
  <c r="P16" i="1"/>
  <c r="E18" i="1"/>
  <c r="L17" i="1"/>
  <c r="G18" i="1"/>
  <c r="D19" i="1"/>
  <c r="C19" i="1"/>
  <c r="A20" i="1"/>
  <c r="O18" i="3" l="1"/>
  <c r="P18" i="3" s="1"/>
  <c r="G19" i="3"/>
  <c r="H18" i="3"/>
  <c r="M18" i="3"/>
  <c r="C20" i="3"/>
  <c r="A21" i="3"/>
  <c r="E19" i="3"/>
  <c r="O18" i="1"/>
  <c r="N18" i="1"/>
  <c r="H18" i="1"/>
  <c r="I18" i="1"/>
  <c r="M17" i="1"/>
  <c r="P17" i="1"/>
  <c r="K18" i="1"/>
  <c r="L18" i="1"/>
  <c r="E19" i="1"/>
  <c r="D20" i="1"/>
  <c r="C20" i="1"/>
  <c r="G19" i="1"/>
  <c r="A21" i="1"/>
  <c r="E20" i="3" l="1"/>
  <c r="I19" i="3"/>
  <c r="H19" i="3"/>
  <c r="O19" i="3"/>
  <c r="N19" i="3"/>
  <c r="L19" i="3"/>
  <c r="K19" i="3"/>
  <c r="C21" i="3"/>
  <c r="A22" i="3"/>
  <c r="G20" i="3"/>
  <c r="O19" i="1"/>
  <c r="N19" i="1"/>
  <c r="H19" i="1"/>
  <c r="I19" i="1"/>
  <c r="M18" i="1"/>
  <c r="K19" i="1"/>
  <c r="P18" i="1"/>
  <c r="L19" i="1"/>
  <c r="G20" i="1"/>
  <c r="D21" i="1"/>
  <c r="C21" i="1"/>
  <c r="E20" i="1"/>
  <c r="A22" i="1"/>
  <c r="H20" i="3" l="1"/>
  <c r="K20" i="3"/>
  <c r="L20" i="3"/>
  <c r="N20" i="3"/>
  <c r="O20" i="3"/>
  <c r="I20" i="3"/>
  <c r="G21" i="3"/>
  <c r="E21" i="3"/>
  <c r="M19" i="3"/>
  <c r="P19" i="3"/>
  <c r="C22" i="3"/>
  <c r="A23" i="3"/>
  <c r="O20" i="1"/>
  <c r="N20" i="1"/>
  <c r="H20" i="1"/>
  <c r="K20" i="1"/>
  <c r="I20" i="1"/>
  <c r="M19" i="1"/>
  <c r="P19" i="1"/>
  <c r="L20" i="1"/>
  <c r="G21" i="1"/>
  <c r="D22" i="1"/>
  <c r="C22" i="1"/>
  <c r="E21" i="1"/>
  <c r="A23" i="1"/>
  <c r="P20" i="3" l="1"/>
  <c r="M20" i="3"/>
  <c r="G22" i="3"/>
  <c r="I21" i="3"/>
  <c r="L21" i="3"/>
  <c r="H21" i="3"/>
  <c r="O21" i="3"/>
  <c r="N21" i="3"/>
  <c r="K21" i="3"/>
  <c r="C23" i="3"/>
  <c r="A24" i="3"/>
  <c r="E22" i="3"/>
  <c r="O21" i="1"/>
  <c r="N21" i="1"/>
  <c r="H21" i="1"/>
  <c r="K21" i="1"/>
  <c r="I21" i="1"/>
  <c r="M20" i="1"/>
  <c r="E22" i="1"/>
  <c r="P20" i="1"/>
  <c r="L21" i="1"/>
  <c r="G22" i="1"/>
  <c r="D23" i="1"/>
  <c r="C23" i="1"/>
  <c r="A24" i="1"/>
  <c r="E23" i="3" l="1"/>
  <c r="L23" i="3" s="1"/>
  <c r="M21" i="3"/>
  <c r="P21" i="3"/>
  <c r="G23" i="3"/>
  <c r="C24" i="3"/>
  <c r="I22" i="3"/>
  <c r="H22" i="3"/>
  <c r="O22" i="3"/>
  <c r="N22" i="3"/>
  <c r="L22" i="3"/>
  <c r="K22" i="3"/>
  <c r="O22" i="1"/>
  <c r="N22" i="1"/>
  <c r="H22" i="1"/>
  <c r="I22" i="1"/>
  <c r="M21" i="1"/>
  <c r="L22" i="1"/>
  <c r="K22" i="1"/>
  <c r="P21" i="1"/>
  <c r="G23" i="1"/>
  <c r="C24" i="1"/>
  <c r="D24" i="1"/>
  <c r="E23" i="1"/>
  <c r="A25" i="1"/>
  <c r="K23" i="3" l="1"/>
  <c r="M23" i="3" s="1"/>
  <c r="N23" i="3"/>
  <c r="G24" i="3"/>
  <c r="P22" i="3"/>
  <c r="E24" i="3"/>
  <c r="M22" i="3"/>
  <c r="O23" i="3"/>
  <c r="P23" i="3" s="1"/>
  <c r="H23" i="3"/>
  <c r="I23" i="3"/>
  <c r="O23" i="1"/>
  <c r="N23" i="1"/>
  <c r="H23" i="1"/>
  <c r="K23" i="1"/>
  <c r="I23" i="1"/>
  <c r="P22" i="1"/>
  <c r="M22" i="1"/>
  <c r="L23" i="1"/>
  <c r="G24" i="1"/>
  <c r="E24" i="1"/>
  <c r="C25" i="1"/>
  <c r="D25" i="1"/>
  <c r="I24" i="3" l="1"/>
  <c r="H24" i="3"/>
  <c r="O24" i="3"/>
  <c r="N24" i="3"/>
  <c r="K24" i="3"/>
  <c r="L24" i="3"/>
  <c r="C5" i="3"/>
  <c r="O24" i="1"/>
  <c r="N24" i="1"/>
  <c r="H24" i="1"/>
  <c r="K24" i="1"/>
  <c r="I24" i="1"/>
  <c r="M23" i="1"/>
  <c r="P23" i="1"/>
  <c r="L24" i="1"/>
  <c r="G25" i="1"/>
  <c r="E25" i="1"/>
  <c r="P24" i="3" l="1"/>
  <c r="M24" i="3"/>
  <c r="O25" i="1"/>
  <c r="N25" i="1"/>
  <c r="H25" i="1"/>
  <c r="C6" i="1"/>
  <c r="K25" i="1"/>
  <c r="I25" i="1"/>
  <c r="M24" i="1"/>
  <c r="P24" i="1"/>
  <c r="L25" i="1"/>
  <c r="C3" i="3" l="1"/>
  <c r="M25" i="1"/>
  <c r="P25" i="1"/>
  <c r="Q29" i="3" l="1"/>
  <c r="Q40" i="3"/>
  <c r="Q28" i="3"/>
  <c r="Q36" i="3"/>
  <c r="Q10" i="3"/>
  <c r="Q31" i="3"/>
  <c r="Q38" i="3"/>
  <c r="Q30" i="3"/>
  <c r="Q32" i="3"/>
  <c r="Q33" i="3"/>
  <c r="Q25" i="3"/>
  <c r="Q37" i="3"/>
  <c r="Q35" i="3"/>
  <c r="Q27" i="3"/>
  <c r="Q26" i="3"/>
  <c r="Q34" i="3"/>
  <c r="Q39" i="3"/>
  <c r="Q11" i="3"/>
  <c r="Q12" i="3"/>
  <c r="Q14" i="3"/>
  <c r="Q13" i="3"/>
  <c r="Q15" i="3"/>
  <c r="Q17" i="3"/>
  <c r="Q16" i="3"/>
  <c r="Q18" i="3"/>
  <c r="Q19" i="3"/>
  <c r="Q20" i="3"/>
  <c r="Q21" i="3"/>
  <c r="Q23" i="3"/>
  <c r="Q22" i="3"/>
  <c r="Q24" i="3"/>
  <c r="C4" i="3"/>
  <c r="Q9" i="3"/>
  <c r="Q10" i="1"/>
  <c r="C5" i="1"/>
  <c r="Q40" i="1"/>
  <c r="Q23" i="1"/>
  <c r="Q32" i="1"/>
  <c r="Q26" i="1"/>
  <c r="Q37" i="1"/>
  <c r="Q29" i="1"/>
  <c r="Q36" i="1"/>
  <c r="Q31" i="1"/>
  <c r="Q39" i="1"/>
  <c r="Q15" i="1"/>
  <c r="Q14" i="1"/>
  <c r="Q30" i="1"/>
  <c r="Q35" i="1"/>
  <c r="Q12" i="1"/>
  <c r="Q18" i="1"/>
  <c r="Q16" i="1"/>
  <c r="Q19" i="1"/>
  <c r="Q38" i="1"/>
  <c r="Q27" i="1"/>
  <c r="Q21" i="1"/>
  <c r="Q41" i="1"/>
  <c r="Q11" i="1"/>
  <c r="Q28" i="1"/>
  <c r="Q17" i="1"/>
  <c r="Q13" i="1"/>
  <c r="Q22" i="1"/>
  <c r="Q34" i="1"/>
  <c r="Q25" i="1"/>
  <c r="Q20" i="1"/>
  <c r="Q24" i="1"/>
  <c r="Q33" i="1"/>
</calcChain>
</file>

<file path=xl/sharedStrings.xml><?xml version="1.0" encoding="utf-8"?>
<sst xmlns="http://schemas.openxmlformats.org/spreadsheetml/2006/main" count="158" uniqueCount="42">
  <si>
    <t>age</t>
  </si>
  <si>
    <t>sex</t>
  </si>
  <si>
    <t>M</t>
  </si>
  <si>
    <t>F</t>
  </si>
  <si>
    <t>qx</t>
  </si>
  <si>
    <t>expos</t>
  </si>
  <si>
    <t>actual_deaths</t>
  </si>
  <si>
    <t>model_error</t>
  </si>
  <si>
    <t>predicted_deaths</t>
  </si>
  <si>
    <t>tolerance</t>
  </si>
  <si>
    <t>splat_weight</t>
  </si>
  <si>
    <t>lloss_poi</t>
  </si>
  <si>
    <t>splat</t>
  </si>
  <si>
    <t>total_splat</t>
  </si>
  <si>
    <t>tolerance_deaths_upper</t>
  </si>
  <si>
    <t>tolerance_deaths_lower</t>
  </si>
  <si>
    <t>pred outside tolerance?</t>
  </si>
  <si>
    <t>error_lower</t>
  </si>
  <si>
    <t>error_upper</t>
  </si>
  <si>
    <t>total splat</t>
  </si>
  <si>
    <t>actual deaths</t>
  </si>
  <si>
    <t>a/e</t>
  </si>
  <si>
    <t>Overall A/E</t>
  </si>
  <si>
    <t>diff (actual - pred)</t>
  </si>
  <si>
    <t>sum splat</t>
  </si>
  <si>
    <t>% of total splat</t>
  </si>
  <si>
    <t>smoker</t>
  </si>
  <si>
    <t>class</t>
  </si>
  <si>
    <t>year</t>
  </si>
  <si>
    <t>preferred</t>
  </si>
  <si>
    <t>n</t>
  </si>
  <si>
    <t>standard</t>
  </si>
  <si>
    <t>y</t>
  </si>
  <si>
    <t>death_pct</t>
  </si>
  <si>
    <t>modeled actual deaths</t>
  </si>
  <si>
    <t>modeled pred deaths</t>
  </si>
  <si>
    <t>predicted_deaths (raw)</t>
  </si>
  <si>
    <t>true qx</t>
  </si>
  <si>
    <t>Age-Sex</t>
  </si>
  <si>
    <t>UW Class - Year</t>
  </si>
  <si>
    <t>Total Splat</t>
  </si>
  <si>
    <t>Percent Splat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</si>
</sst>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0" fontId="0" fillId="0" borderId="0" xfId="0" applyNumberFormat="1"/>
    <xf numFmtId="165" fontId="0" fillId="0" borderId="0" xfId="0" applyNumberFormat="1"/>
    <xf numFmtId="0" fontId="0" fillId="0" borderId="1" xfId="0" applyBorder="1"/>
    <xf numFmtId="3" fontId="0" fillId="0" borderId="0" xfId="0" applyNumberFormat="1"/>
    <xf numFmtId="10" fontId="0" fillId="0" borderId="1" xfId="0" applyNumberFormat="1" applyBorder="1"/>
    <xf numFmtId="9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F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B6828-46E7-4720-8F31-1649F3B69646}">
  <dimension ref="A2:Q41"/>
  <sheetViews>
    <sheetView showGridLines="0" workbookViewId="0">
      <selection activeCell="B10" sqref="B10"/>
    </sheetView>
  </sheetViews>
  <sheetFormatPr defaultRowHeight="14.4" outlineLevelCol="1" x14ac:dyDescent="0.3"/>
  <cols>
    <col min="2" max="2" width="12.44140625" customWidth="1"/>
    <col min="3" max="3" width="12" bestFit="1" customWidth="1"/>
    <col min="5" max="5" width="13.88671875" customWidth="1"/>
    <col min="6" max="6" width="13.33203125" hidden="1" customWidth="1" outlineLevel="1"/>
    <col min="7" max="7" width="17.44140625" customWidth="1" collapsed="1"/>
    <col min="8" max="9" width="17.44140625" customWidth="1"/>
    <col min="10" max="10" width="8.88671875" hidden="1" customWidth="1" outlineLevel="1"/>
    <col min="11" max="11" width="22.6640625" hidden="1" customWidth="1" outlineLevel="1"/>
    <col min="12" max="12" width="22.77734375" hidden="1" customWidth="1" outlineLevel="1"/>
    <col min="13" max="13" width="22.109375" hidden="1" customWidth="1" outlineLevel="1"/>
    <col min="14" max="14" width="12.6640625" hidden="1" customWidth="1" outlineLevel="1"/>
    <col min="15" max="15" width="8.88671875" hidden="1" customWidth="1" outlineLevel="1"/>
    <col min="16" max="16" width="8.88671875" collapsed="1"/>
  </cols>
  <sheetData>
    <row r="2" spans="1:17" x14ac:dyDescent="0.3">
      <c r="B2" t="s">
        <v>9</v>
      </c>
      <c r="C2">
        <v>0.05</v>
      </c>
    </row>
    <row r="3" spans="1:17" x14ac:dyDescent="0.3">
      <c r="B3" t="s">
        <v>17</v>
      </c>
      <c r="C3">
        <v>0.01</v>
      </c>
    </row>
    <row r="4" spans="1:17" x14ac:dyDescent="0.3">
      <c r="B4" s="6" t="s">
        <v>18</v>
      </c>
      <c r="C4" s="6">
        <v>0.05</v>
      </c>
    </row>
    <row r="5" spans="1:17" x14ac:dyDescent="0.3">
      <c r="B5" t="s">
        <v>19</v>
      </c>
      <c r="C5" s="2">
        <f ca="1">SUM($P$10:$P$41)</f>
        <v>29.142288761168476</v>
      </c>
    </row>
    <row r="6" spans="1:17" x14ac:dyDescent="0.3">
      <c r="B6" t="s">
        <v>22</v>
      </c>
      <c r="C6" s="5">
        <f ca="1">SUM($E$10:$E$41)/SUM($G$10:$G$41)</f>
        <v>0.9903312556314714</v>
      </c>
    </row>
    <row r="9" spans="1:17" x14ac:dyDescent="0.3">
      <c r="A9" s="3" t="s">
        <v>0</v>
      </c>
      <c r="B9" s="3" t="s">
        <v>1</v>
      </c>
      <c r="C9" s="3" t="s">
        <v>4</v>
      </c>
      <c r="D9" s="3" t="s">
        <v>5</v>
      </c>
      <c r="E9" s="3" t="s">
        <v>6</v>
      </c>
      <c r="F9" s="3" t="s">
        <v>7</v>
      </c>
      <c r="G9" s="3" t="s">
        <v>8</v>
      </c>
      <c r="H9" s="3" t="s">
        <v>23</v>
      </c>
      <c r="I9" s="3" t="s">
        <v>21</v>
      </c>
      <c r="J9" s="3" t="s">
        <v>9</v>
      </c>
      <c r="K9" s="3" t="s">
        <v>15</v>
      </c>
      <c r="L9" s="3" t="s">
        <v>14</v>
      </c>
      <c r="M9" s="3" t="s">
        <v>16</v>
      </c>
      <c r="N9" s="3" t="s">
        <v>10</v>
      </c>
      <c r="O9" s="3" t="s">
        <v>11</v>
      </c>
      <c r="P9" s="3" t="s">
        <v>12</v>
      </c>
      <c r="Q9" s="3" t="s">
        <v>13</v>
      </c>
    </row>
    <row r="10" spans="1:17" x14ac:dyDescent="0.3">
      <c r="A10">
        <v>20</v>
      </c>
      <c r="B10" t="s">
        <v>2</v>
      </c>
      <c r="C10" s="1">
        <f>EXP(-(100-A10)/10*(0.5)-0.3)</f>
        <v>1.3568559012200934E-2</v>
      </c>
      <c r="D10">
        <f ca="1">RANDBETWEEN(A10^2-10*A10, 10000)</f>
        <v>1183</v>
      </c>
      <c r="E10" s="7">
        <f ca="1">ROUND(D10*C10,0)</f>
        <v>16</v>
      </c>
      <c r="F10">
        <f ca="1">SIGN(RAND() -0.5)*RANDBETWEEN($C$3*100,$C$4*100)/100</f>
        <v>0.02</v>
      </c>
      <c r="G10" s="7">
        <f ca="1">C10*(1+F10)*D10</f>
        <v>16.372637417662379</v>
      </c>
      <c r="H10" s="7">
        <f ca="1">E10-G10</f>
        <v>-0.37263741766237857</v>
      </c>
      <c r="I10" s="5">
        <f ca="1">E10/G10</f>
        <v>0.97724023270310822</v>
      </c>
      <c r="J10">
        <f>$C$2</f>
        <v>0.05</v>
      </c>
      <c r="K10">
        <f ca="1">E10*(1-J10)</f>
        <v>15.2</v>
      </c>
      <c r="L10">
        <f ca="1">E10*(1+J10)</f>
        <v>16.8</v>
      </c>
      <c r="M10" t="b">
        <f ca="1">OR(G10&lt;K10, G10&gt;L10)</f>
        <v>0</v>
      </c>
      <c r="N10" s="2">
        <f ca="1">-LOG(_xlfn.POISSON.DIST(ROUND(E10*(1+J10),0),E10,FALSE))</f>
        <v>1.0297405204589063</v>
      </c>
      <c r="O10" s="2">
        <f ca="1">-LOG(_xlfn.POISSON.DIST(E10,G10,FALSE))</f>
        <v>1.0052673711789599</v>
      </c>
      <c r="P10" s="2">
        <f ca="1">O10/N10</f>
        <v>0.97623367363552926</v>
      </c>
      <c r="Q10">
        <f ca="1">SUM($P$10:$P$41)</f>
        <v>29.142288761168476</v>
      </c>
    </row>
    <row r="11" spans="1:17" x14ac:dyDescent="0.3">
      <c r="A11">
        <f>A10+5</f>
        <v>25</v>
      </c>
      <c r="B11" t="s">
        <v>2</v>
      </c>
      <c r="C11" s="1">
        <f t="shared" ref="C11:C25" si="0">EXP(-(100-A11)/10*(0.5)-0.3)</f>
        <v>1.7422374639493515E-2</v>
      </c>
      <c r="D11">
        <f t="shared" ref="D11:D41" ca="1" si="1">RANDBETWEEN(A11^2-10*A11, 10000)</f>
        <v>8352</v>
      </c>
      <c r="E11" s="7">
        <f t="shared" ref="E11:E41" ca="1" si="2">ROUND(D11*C11,0)</f>
        <v>146</v>
      </c>
      <c r="F11">
        <f t="shared" ref="F11:F41" ca="1" si="3">SIGN(RAND() -0.5)*RANDBETWEEN($C$3*100,$C$4*100)/100</f>
        <v>0.04</v>
      </c>
      <c r="G11" s="7">
        <f t="shared" ref="G11:G41" ca="1" si="4">C11*(1+F11)*D11</f>
        <v>151.33213990861185</v>
      </c>
      <c r="H11" s="7">
        <f t="shared" ref="H11:H41" ca="1" si="5">E11-G11</f>
        <v>-5.3321399086118504</v>
      </c>
      <c r="I11" s="5">
        <f t="shared" ref="I11:I41" ca="1" si="6">E11/G11</f>
        <v>0.96476531745449523</v>
      </c>
      <c r="J11">
        <f t="shared" ref="J11:J41" si="7">$C$2</f>
        <v>0.05</v>
      </c>
      <c r="K11">
        <f t="shared" ref="K11:K41" ca="1" si="8">E11*(1-J11)</f>
        <v>138.69999999999999</v>
      </c>
      <c r="L11">
        <f t="shared" ref="L11:L41" ca="1" si="9">E11*(1+J11)</f>
        <v>153.30000000000001</v>
      </c>
      <c r="M11" t="b">
        <f t="shared" ref="M11:M41" ca="1" si="10">OR(G11&lt;K11, G11&gt;L11)</f>
        <v>0</v>
      </c>
      <c r="N11" s="2">
        <f t="shared" ref="N11:N41" ca="1" si="11">-LOG(_xlfn.POISSON.DIST(ROUND(E11*(1+J11),0),E11,FALSE))</f>
        <v>1.5634127998374712</v>
      </c>
      <c r="O11" s="2">
        <f t="shared" ref="O11:O41" ca="1" si="12">-LOG(_xlfn.POISSON.DIST(E11,G11,FALSE))</f>
        <v>1.522798835911513</v>
      </c>
      <c r="P11" s="2">
        <f t="shared" ref="P11:P41" ca="1" si="13">O11/N11</f>
        <v>0.97402223908478913</v>
      </c>
      <c r="Q11">
        <f ca="1">SUM($P$10:$P$41)</f>
        <v>29.142288761168476</v>
      </c>
    </row>
    <row r="12" spans="1:17" x14ac:dyDescent="0.3">
      <c r="A12">
        <f t="shared" ref="A12:A25" si="14">A11+5</f>
        <v>30</v>
      </c>
      <c r="B12" t="s">
        <v>2</v>
      </c>
      <c r="C12" s="1">
        <f t="shared" si="0"/>
        <v>2.2370771856165601E-2</v>
      </c>
      <c r="D12">
        <f t="shared" ca="1" si="1"/>
        <v>1676</v>
      </c>
      <c r="E12" s="7">
        <f t="shared" ca="1" si="2"/>
        <v>37</v>
      </c>
      <c r="F12">
        <f t="shared" ca="1" si="3"/>
        <v>-0.05</v>
      </c>
      <c r="G12" s="7">
        <f t="shared" ca="1" si="4"/>
        <v>35.618742949386871</v>
      </c>
      <c r="H12" s="7">
        <f t="shared" ca="1" si="5"/>
        <v>1.3812570506131294</v>
      </c>
      <c r="I12" s="5">
        <f t="shared" ca="1" si="6"/>
        <v>1.038778938733909</v>
      </c>
      <c r="J12">
        <f t="shared" si="7"/>
        <v>0.05</v>
      </c>
      <c r="K12">
        <f t="shared" ca="1" si="8"/>
        <v>35.15</v>
      </c>
      <c r="L12">
        <f t="shared" ca="1" si="9"/>
        <v>38.85</v>
      </c>
      <c r="M12" t="b">
        <f t="shared" ca="1" si="10"/>
        <v>0</v>
      </c>
      <c r="N12" s="2">
        <f t="shared" ca="1" si="11"/>
        <v>1.2186136686354208</v>
      </c>
      <c r="O12" s="2">
        <f t="shared" ca="1" si="12"/>
        <v>1.1956526194559742</v>
      </c>
      <c r="P12" s="2">
        <f t="shared" ca="1" si="13"/>
        <v>0.98115805708534531</v>
      </c>
      <c r="Q12">
        <f ca="1">SUM($P$10:$P$41)</f>
        <v>29.142288761168476</v>
      </c>
    </row>
    <row r="13" spans="1:17" x14ac:dyDescent="0.3">
      <c r="A13">
        <f t="shared" si="14"/>
        <v>35</v>
      </c>
      <c r="B13" t="s">
        <v>2</v>
      </c>
      <c r="C13" s="1">
        <f t="shared" si="0"/>
        <v>2.8724639654239433E-2</v>
      </c>
      <c r="D13">
        <f t="shared" ca="1" si="1"/>
        <v>9904</v>
      </c>
      <c r="E13" s="7">
        <f t="shared" ca="1" si="2"/>
        <v>284</v>
      </c>
      <c r="F13">
        <f t="shared" ca="1" si="3"/>
        <v>0.01</v>
      </c>
      <c r="G13" s="7">
        <f t="shared" ca="1" si="4"/>
        <v>287.33371944694323</v>
      </c>
      <c r="H13" s="7">
        <f t="shared" ca="1" si="5"/>
        <v>-3.3337194469432347</v>
      </c>
      <c r="I13" s="5">
        <f t="shared" ca="1" si="6"/>
        <v>0.98839774373380218</v>
      </c>
      <c r="J13">
        <f t="shared" si="7"/>
        <v>0.05</v>
      </c>
      <c r="K13">
        <f t="shared" ca="1" si="8"/>
        <v>269.8</v>
      </c>
      <c r="L13">
        <f t="shared" ca="1" si="9"/>
        <v>298.2</v>
      </c>
      <c r="M13" t="b">
        <f t="shared" ca="1" si="10"/>
        <v>0</v>
      </c>
      <c r="N13" s="2">
        <f t="shared" ca="1" si="11"/>
        <v>1.7837781272356754</v>
      </c>
      <c r="O13" s="2">
        <f t="shared" ca="1" si="12"/>
        <v>1.6343081759483027</v>
      </c>
      <c r="P13" s="2">
        <f t="shared" ca="1" si="13"/>
        <v>0.91620597371097567</v>
      </c>
      <c r="Q13">
        <f ca="1">SUM($P$10:$P$41)</f>
        <v>29.142288761168476</v>
      </c>
    </row>
    <row r="14" spans="1:17" x14ac:dyDescent="0.3">
      <c r="A14">
        <f t="shared" si="14"/>
        <v>40</v>
      </c>
      <c r="B14" t="s">
        <v>2</v>
      </c>
      <c r="C14" s="1">
        <f t="shared" si="0"/>
        <v>3.6883167401240015E-2</v>
      </c>
      <c r="D14">
        <f t="shared" ca="1" si="1"/>
        <v>2589</v>
      </c>
      <c r="E14" s="7">
        <f t="shared" ca="1" si="2"/>
        <v>95</v>
      </c>
      <c r="F14">
        <f t="shared" ca="1" si="3"/>
        <v>0.01</v>
      </c>
      <c r="G14" s="7">
        <f t="shared" ca="1" si="4"/>
        <v>96.445425605828504</v>
      </c>
      <c r="H14" s="7">
        <f t="shared" ca="1" si="5"/>
        <v>-1.445425605828504</v>
      </c>
      <c r="I14" s="5">
        <f t="shared" ca="1" si="6"/>
        <v>0.98501302060985307</v>
      </c>
      <c r="J14">
        <f t="shared" si="7"/>
        <v>0.05</v>
      </c>
      <c r="K14">
        <f t="shared" ca="1" si="8"/>
        <v>90.25</v>
      </c>
      <c r="L14">
        <f t="shared" ca="1" si="9"/>
        <v>99.75</v>
      </c>
      <c r="M14" t="b">
        <f t="shared" ca="1" si="10"/>
        <v>0</v>
      </c>
      <c r="N14" s="2">
        <f t="shared" ca="1" si="11"/>
        <v>1.4556189066399354</v>
      </c>
      <c r="O14" s="2">
        <f t="shared" ca="1" si="12"/>
        <v>1.3930603385473874</v>
      </c>
      <c r="P14" s="2">
        <f t="shared" ca="1" si="13"/>
        <v>0.95702270161016634</v>
      </c>
      <c r="Q14">
        <f ca="1">SUM($P$10:$P$41)</f>
        <v>29.142288761168476</v>
      </c>
    </row>
    <row r="15" spans="1:17" x14ac:dyDescent="0.3">
      <c r="A15">
        <f t="shared" si="14"/>
        <v>45</v>
      </c>
      <c r="B15" t="s">
        <v>2</v>
      </c>
      <c r="C15" s="1">
        <f t="shared" si="0"/>
        <v>4.7358924391140929E-2</v>
      </c>
      <c r="D15">
        <f t="shared" ca="1" si="1"/>
        <v>3728</v>
      </c>
      <c r="E15" s="7">
        <f t="shared" ca="1" si="2"/>
        <v>177</v>
      </c>
      <c r="F15">
        <f t="shared" ca="1" si="3"/>
        <v>-0.02</v>
      </c>
      <c r="G15" s="7">
        <f t="shared" ca="1" si="4"/>
        <v>173.02298872756992</v>
      </c>
      <c r="H15" s="7">
        <f t="shared" ca="1" si="5"/>
        <v>3.9770112724300759</v>
      </c>
      <c r="I15" s="5">
        <f t="shared" ca="1" si="6"/>
        <v>1.0229854500935249</v>
      </c>
      <c r="J15">
        <f t="shared" si="7"/>
        <v>0.05</v>
      </c>
      <c r="K15">
        <f t="shared" ca="1" si="8"/>
        <v>168.15</v>
      </c>
      <c r="L15">
        <f t="shared" ca="1" si="9"/>
        <v>185.85</v>
      </c>
      <c r="M15" t="b">
        <f t="shared" ca="1" si="10"/>
        <v>0</v>
      </c>
      <c r="N15" s="2">
        <f t="shared" ca="1" si="11"/>
        <v>1.6317707265884582</v>
      </c>
      <c r="O15" s="2">
        <f t="shared" ca="1" si="12"/>
        <v>1.5429808393886795</v>
      </c>
      <c r="P15" s="2">
        <f t="shared" ca="1" si="13"/>
        <v>0.9455867875596643</v>
      </c>
      <c r="Q15">
        <f ca="1">SUM($P$10:$P$41)</f>
        <v>29.142288761168476</v>
      </c>
    </row>
    <row r="16" spans="1:17" x14ac:dyDescent="0.3">
      <c r="A16">
        <f t="shared" si="14"/>
        <v>50</v>
      </c>
      <c r="B16" t="s">
        <v>2</v>
      </c>
      <c r="C16" s="1">
        <f t="shared" si="0"/>
        <v>6.0810062625217973E-2</v>
      </c>
      <c r="D16">
        <f t="shared" ca="1" si="1"/>
        <v>9101</v>
      </c>
      <c r="E16" s="7">
        <f t="shared" ca="1" si="2"/>
        <v>553</v>
      </c>
      <c r="F16">
        <f t="shared" ca="1" si="3"/>
        <v>-0.02</v>
      </c>
      <c r="G16" s="7">
        <f t="shared" ca="1" si="4"/>
        <v>542.36373235306655</v>
      </c>
      <c r="H16" s="7">
        <f t="shared" ca="1" si="5"/>
        <v>10.636267646933447</v>
      </c>
      <c r="I16" s="5">
        <f t="shared" ca="1" si="6"/>
        <v>1.0196109492808223</v>
      </c>
      <c r="J16">
        <f t="shared" si="7"/>
        <v>0.05</v>
      </c>
      <c r="K16">
        <f t="shared" ca="1" si="8"/>
        <v>525.35</v>
      </c>
      <c r="L16">
        <f t="shared" ca="1" si="9"/>
        <v>580.65</v>
      </c>
      <c r="M16" t="b">
        <f t="shared" ca="1" si="10"/>
        <v>0</v>
      </c>
      <c r="N16" s="2">
        <f t="shared" ca="1" si="11"/>
        <v>2.0840264290632664</v>
      </c>
      <c r="O16" s="2">
        <f t="shared" ca="1" si="12"/>
        <v>1.8155188853110134</v>
      </c>
      <c r="P16" s="2">
        <f t="shared" ca="1" si="13"/>
        <v>0.87115924250877064</v>
      </c>
      <c r="Q16">
        <f ca="1">SUM($P$10:$P$41)</f>
        <v>29.142288761168476</v>
      </c>
    </row>
    <row r="17" spans="1:17" x14ac:dyDescent="0.3">
      <c r="A17">
        <f t="shared" si="14"/>
        <v>55</v>
      </c>
      <c r="B17" t="s">
        <v>2</v>
      </c>
      <c r="C17" s="1">
        <f t="shared" si="0"/>
        <v>7.8081666001153169E-2</v>
      </c>
      <c r="D17">
        <f t="shared" ca="1" si="1"/>
        <v>7845</v>
      </c>
      <c r="E17" s="7">
        <f t="shared" ca="1" si="2"/>
        <v>613</v>
      </c>
      <c r="F17">
        <f t="shared" ca="1" si="3"/>
        <v>-0.03</v>
      </c>
      <c r="G17" s="7">
        <f t="shared" ca="1" si="4"/>
        <v>594.17414968567527</v>
      </c>
      <c r="H17" s="7">
        <f t="shared" ca="1" si="5"/>
        <v>18.825850314324725</v>
      </c>
      <c r="I17" s="5">
        <f t="shared" ca="1" si="6"/>
        <v>1.0316840615235177</v>
      </c>
      <c r="J17">
        <f t="shared" si="7"/>
        <v>0.05</v>
      </c>
      <c r="K17">
        <f t="shared" ca="1" si="8"/>
        <v>582.35</v>
      </c>
      <c r="L17">
        <f t="shared" ca="1" si="9"/>
        <v>643.65</v>
      </c>
      <c r="M17" t="b">
        <f t="shared" ca="1" si="10"/>
        <v>0</v>
      </c>
      <c r="N17" s="2">
        <f t="shared" ca="1" si="11"/>
        <v>2.1384131162394744</v>
      </c>
      <c r="O17" s="2">
        <f t="shared" ca="1" si="12"/>
        <v>1.921056387150937</v>
      </c>
      <c r="P17" s="2">
        <f t="shared" ca="1" si="13"/>
        <v>0.8983560625223006</v>
      </c>
      <c r="Q17">
        <f ca="1">SUM($P$10:$P$41)</f>
        <v>29.142288761168476</v>
      </c>
    </row>
    <row r="18" spans="1:17" x14ac:dyDescent="0.3">
      <c r="A18">
        <f t="shared" si="14"/>
        <v>60</v>
      </c>
      <c r="B18" t="s">
        <v>2</v>
      </c>
      <c r="C18" s="1">
        <f t="shared" si="0"/>
        <v>0.10025884372280375</v>
      </c>
      <c r="D18">
        <f t="shared" ca="1" si="1"/>
        <v>3041</v>
      </c>
      <c r="E18" s="7">
        <f t="shared" ca="1" si="2"/>
        <v>305</v>
      </c>
      <c r="F18">
        <f t="shared" ca="1" si="3"/>
        <v>0.03</v>
      </c>
      <c r="G18" s="7">
        <f t="shared" ca="1" si="4"/>
        <v>314.03375807387761</v>
      </c>
      <c r="H18" s="7">
        <f t="shared" ca="1" si="5"/>
        <v>-9.0337580738776069</v>
      </c>
      <c r="I18" s="5">
        <f t="shared" ca="1" si="6"/>
        <v>0.97123316254505232</v>
      </c>
      <c r="J18">
        <f t="shared" si="7"/>
        <v>0.05</v>
      </c>
      <c r="K18">
        <f t="shared" ca="1" si="8"/>
        <v>289.75</v>
      </c>
      <c r="L18">
        <f t="shared" ca="1" si="9"/>
        <v>320.25</v>
      </c>
      <c r="M18" t="b">
        <f t="shared" ca="1" si="10"/>
        <v>0</v>
      </c>
      <c r="N18" s="2">
        <f t="shared" ca="1" si="11"/>
        <v>1.8094052636731908</v>
      </c>
      <c r="O18" s="2">
        <f t="shared" ca="1" si="12"/>
        <v>1.6983381727014117</v>
      </c>
      <c r="P18" s="2">
        <f t="shared" ca="1" si="13"/>
        <v>0.93861679679968057</v>
      </c>
      <c r="Q18">
        <f ca="1">SUM($P$10:$P$41)</f>
        <v>29.142288761168476</v>
      </c>
    </row>
    <row r="19" spans="1:17" x14ac:dyDescent="0.3">
      <c r="A19">
        <f t="shared" si="14"/>
        <v>65</v>
      </c>
      <c r="B19" t="s">
        <v>2</v>
      </c>
      <c r="C19" s="1">
        <f t="shared" si="0"/>
        <v>0.12873490358780423</v>
      </c>
      <c r="D19">
        <f t="shared" ca="1" si="1"/>
        <v>7123</v>
      </c>
      <c r="E19" s="7">
        <f t="shared" ca="1" si="2"/>
        <v>917</v>
      </c>
      <c r="F19">
        <f t="shared" ca="1" si="3"/>
        <v>-0.05</v>
      </c>
      <c r="G19" s="7">
        <f t="shared" ca="1" si="4"/>
        <v>871.129782343133</v>
      </c>
      <c r="H19" s="7">
        <f t="shared" ca="1" si="5"/>
        <v>45.870217656866998</v>
      </c>
      <c r="I19" s="5">
        <f t="shared" ca="1" si="6"/>
        <v>1.0526560089972896</v>
      </c>
      <c r="J19">
        <f t="shared" si="7"/>
        <v>0.05</v>
      </c>
      <c r="K19">
        <f t="shared" ca="1" si="8"/>
        <v>871.15</v>
      </c>
      <c r="L19">
        <f t="shared" ca="1" si="9"/>
        <v>962.85</v>
      </c>
      <c r="M19" t="b">
        <f t="shared" ca="1" si="10"/>
        <v>1</v>
      </c>
      <c r="N19" s="2">
        <f t="shared" ca="1" si="11"/>
        <v>2.3838387426176837</v>
      </c>
      <c r="O19" s="2">
        <f t="shared" ca="1" si="12"/>
        <v>2.3958282582928558</v>
      </c>
      <c r="P19" s="2">
        <f t="shared" ca="1" si="13"/>
        <v>1.0050294994627056</v>
      </c>
      <c r="Q19">
        <f ca="1">SUM($P$10:$P$41)</f>
        <v>29.142288761168476</v>
      </c>
    </row>
    <row r="20" spans="1:17" x14ac:dyDescent="0.3">
      <c r="A20">
        <f t="shared" si="14"/>
        <v>70</v>
      </c>
      <c r="B20" t="s">
        <v>2</v>
      </c>
      <c r="C20" s="1">
        <f t="shared" si="0"/>
        <v>0.16529888822158653</v>
      </c>
      <c r="D20">
        <f t="shared" ca="1" si="1"/>
        <v>9802</v>
      </c>
      <c r="E20" s="7">
        <f t="shared" ca="1" si="2"/>
        <v>1620</v>
      </c>
      <c r="F20">
        <f t="shared" ca="1" si="3"/>
        <v>0.05</v>
      </c>
      <c r="G20" s="7">
        <f t="shared" ca="1" si="4"/>
        <v>1701.2726874653908</v>
      </c>
      <c r="H20" s="7">
        <f t="shared" ca="1" si="5"/>
        <v>-81.272687465390845</v>
      </c>
      <c r="I20" s="5">
        <f t="shared" ca="1" si="6"/>
        <v>0.95222830057509866</v>
      </c>
      <c r="J20">
        <f t="shared" si="7"/>
        <v>0.05</v>
      </c>
      <c r="K20">
        <f t="shared" ca="1" si="8"/>
        <v>1539</v>
      </c>
      <c r="L20">
        <f t="shared" ca="1" si="9"/>
        <v>1701</v>
      </c>
      <c r="M20" t="b">
        <f t="shared" ca="1" si="10"/>
        <v>1</v>
      </c>
      <c r="N20" s="2">
        <f t="shared" ca="1" si="11"/>
        <v>2.8796080512160063</v>
      </c>
      <c r="O20" s="2">
        <f t="shared" ca="1" si="12"/>
        <v>2.8607067269032758</v>
      </c>
      <c r="P20" s="2">
        <f t="shared" ca="1" si="13"/>
        <v>0.99343614687257564</v>
      </c>
      <c r="Q20">
        <f ca="1">SUM($P$10:$P$41)</f>
        <v>29.142288761168476</v>
      </c>
    </row>
    <row r="21" spans="1:17" x14ac:dyDescent="0.3">
      <c r="A21">
        <f t="shared" si="14"/>
        <v>75</v>
      </c>
      <c r="B21" t="s">
        <v>2</v>
      </c>
      <c r="C21" s="1">
        <f t="shared" si="0"/>
        <v>0.21224797382674304</v>
      </c>
      <c r="D21">
        <f t="shared" ca="1" si="1"/>
        <v>7726</v>
      </c>
      <c r="E21" s="7">
        <f t="shared" ca="1" si="2"/>
        <v>1640</v>
      </c>
      <c r="F21">
        <f t="shared" ca="1" si="3"/>
        <v>-0.03</v>
      </c>
      <c r="G21" s="7">
        <f t="shared" ca="1" si="4"/>
        <v>1590.6330104118542</v>
      </c>
      <c r="H21" s="7">
        <f t="shared" ca="1" si="5"/>
        <v>49.366989588145771</v>
      </c>
      <c r="I21" s="5">
        <f t="shared" ca="1" si="6"/>
        <v>1.0310360650539772</v>
      </c>
      <c r="J21">
        <f t="shared" si="7"/>
        <v>0.05</v>
      </c>
      <c r="K21">
        <f t="shared" ca="1" si="8"/>
        <v>1558</v>
      </c>
      <c r="L21">
        <f t="shared" ca="1" si="9"/>
        <v>1722</v>
      </c>
      <c r="M21" t="b">
        <f t="shared" ca="1" si="10"/>
        <v>0</v>
      </c>
      <c r="N21" s="2">
        <f t="shared" ca="1" si="11"/>
        <v>2.8929530070653469</v>
      </c>
      <c r="O21" s="2">
        <f t="shared" ca="1" si="12"/>
        <v>2.3358481129193454</v>
      </c>
      <c r="P21" s="2">
        <f t="shared" ca="1" si="13"/>
        <v>0.80742691195280192</v>
      </c>
      <c r="Q21">
        <f ca="1">SUM($P$10:$P$41)</f>
        <v>29.142288761168476</v>
      </c>
    </row>
    <row r="22" spans="1:17" x14ac:dyDescent="0.3">
      <c r="A22">
        <f t="shared" si="14"/>
        <v>80</v>
      </c>
      <c r="B22" t="s">
        <v>2</v>
      </c>
      <c r="C22" s="1">
        <f t="shared" si="0"/>
        <v>0.27253179303401259</v>
      </c>
      <c r="D22">
        <f t="shared" ca="1" si="1"/>
        <v>7708</v>
      </c>
      <c r="E22" s="7">
        <f t="shared" ca="1" si="2"/>
        <v>2101</v>
      </c>
      <c r="F22">
        <f t="shared" ca="1" si="3"/>
        <v>-0.01</v>
      </c>
      <c r="G22" s="7">
        <f t="shared" ca="1" si="4"/>
        <v>2079.6683100991072</v>
      </c>
      <c r="H22" s="7">
        <f t="shared" ca="1" si="5"/>
        <v>21.331689900892798</v>
      </c>
      <c r="I22" s="5">
        <f t="shared" ca="1" si="6"/>
        <v>1.0102572558312803</v>
      </c>
      <c r="J22">
        <f t="shared" si="7"/>
        <v>0.05</v>
      </c>
      <c r="K22">
        <f t="shared" ca="1" si="8"/>
        <v>1995.9499999999998</v>
      </c>
      <c r="L22">
        <f t="shared" ca="1" si="9"/>
        <v>2206.0500000000002</v>
      </c>
      <c r="M22" t="b">
        <f t="shared" ca="1" si="10"/>
        <v>0</v>
      </c>
      <c r="N22" s="2">
        <f t="shared" ca="1" si="11"/>
        <v>3.191867764466632</v>
      </c>
      <c r="O22" s="2">
        <f t="shared" ca="1" si="12"/>
        <v>2.1076713791083033</v>
      </c>
      <c r="P22" s="2">
        <f t="shared" ca="1" si="13"/>
        <v>0.66032540651335525</v>
      </c>
      <c r="Q22">
        <f ca="1">SUM($P$10:$P$41)</f>
        <v>29.142288761168476</v>
      </c>
    </row>
    <row r="23" spans="1:17" x14ac:dyDescent="0.3">
      <c r="A23">
        <f t="shared" si="14"/>
        <v>85</v>
      </c>
      <c r="B23" t="s">
        <v>2</v>
      </c>
      <c r="C23" s="1">
        <f t="shared" si="0"/>
        <v>0.34993774911115533</v>
      </c>
      <c r="D23">
        <f t="shared" ca="1" si="1"/>
        <v>8737</v>
      </c>
      <c r="E23" s="7">
        <f t="shared" ca="1" si="2"/>
        <v>3057</v>
      </c>
      <c r="F23">
        <f t="shared" ca="1" si="3"/>
        <v>0.05</v>
      </c>
      <c r="G23" s="7">
        <f t="shared" ca="1" si="4"/>
        <v>3210.2764196833723</v>
      </c>
      <c r="H23" s="7">
        <f t="shared" ca="1" si="5"/>
        <v>-153.2764196833723</v>
      </c>
      <c r="I23" s="5">
        <f t="shared" ca="1" si="6"/>
        <v>0.95225444801463865</v>
      </c>
      <c r="J23">
        <f t="shared" si="7"/>
        <v>0.05</v>
      </c>
      <c r="K23">
        <f t="shared" ca="1" si="8"/>
        <v>2904.15</v>
      </c>
      <c r="L23">
        <f t="shared" ca="1" si="9"/>
        <v>3209.85</v>
      </c>
      <c r="M23" t="b">
        <f t="shared" ca="1" si="10"/>
        <v>1</v>
      </c>
      <c r="N23" s="2">
        <f t="shared" ca="1" si="11"/>
        <v>3.7880937025974117</v>
      </c>
      <c r="O23" s="2">
        <f t="shared" ca="1" si="12"/>
        <v>3.75680416186814</v>
      </c>
      <c r="P23" s="2">
        <f t="shared" ca="1" si="13"/>
        <v>0.99174002989740795</v>
      </c>
      <c r="Q23">
        <f ca="1">SUM($P$10:$P$41)</f>
        <v>29.142288761168476</v>
      </c>
    </row>
    <row r="24" spans="1:17" x14ac:dyDescent="0.3">
      <c r="A24">
        <f t="shared" si="14"/>
        <v>90</v>
      </c>
      <c r="B24" t="s">
        <v>2</v>
      </c>
      <c r="C24" s="1">
        <f t="shared" si="0"/>
        <v>0.44932896411722156</v>
      </c>
      <c r="D24">
        <f t="shared" ca="1" si="1"/>
        <v>9300</v>
      </c>
      <c r="E24" s="7">
        <f t="shared" ca="1" si="2"/>
        <v>4179</v>
      </c>
      <c r="F24">
        <f t="shared" ca="1" si="3"/>
        <v>-0.05</v>
      </c>
      <c r="G24" s="7">
        <f t="shared" ca="1" si="4"/>
        <v>3969.8213979756524</v>
      </c>
      <c r="H24" s="7">
        <f t="shared" ca="1" si="5"/>
        <v>209.17860202434758</v>
      </c>
      <c r="I24" s="5">
        <f t="shared" ca="1" si="6"/>
        <v>1.0526921946994932</v>
      </c>
      <c r="J24">
        <f t="shared" si="7"/>
        <v>0.05</v>
      </c>
      <c r="K24">
        <f t="shared" ca="1" si="8"/>
        <v>3970.0499999999997</v>
      </c>
      <c r="L24">
        <f t="shared" ca="1" si="9"/>
        <v>4387.95</v>
      </c>
      <c r="M24" t="b">
        <f t="shared" ca="1" si="10"/>
        <v>1</v>
      </c>
      <c r="N24" s="2">
        <f t="shared" ca="1" si="11"/>
        <v>4.453043940319815</v>
      </c>
      <c r="O24" s="2">
        <f t="shared" ca="1" si="12"/>
        <v>4.5620845877703058</v>
      </c>
      <c r="P24" s="2">
        <f t="shared" ca="1" si="13"/>
        <v>1.0244867665605517</v>
      </c>
      <c r="Q24">
        <f ca="1">SUM($P$10:$P$41)</f>
        <v>29.142288761168476</v>
      </c>
    </row>
    <row r="25" spans="1:17" x14ac:dyDescent="0.3">
      <c r="A25">
        <f t="shared" si="14"/>
        <v>95</v>
      </c>
      <c r="B25" t="s">
        <v>2</v>
      </c>
      <c r="C25" s="1">
        <f t="shared" si="0"/>
        <v>0.57694981038048665</v>
      </c>
      <c r="D25">
        <f t="shared" ca="1" si="1"/>
        <v>9955</v>
      </c>
      <c r="E25" s="7">
        <f t="shared" ca="1" si="2"/>
        <v>5744</v>
      </c>
      <c r="F25">
        <f t="shared" ca="1" si="3"/>
        <v>0.04</v>
      </c>
      <c r="G25" s="7">
        <f t="shared" ca="1" si="4"/>
        <v>5973.2767768312542</v>
      </c>
      <c r="H25" s="7">
        <f t="shared" ca="1" si="5"/>
        <v>-229.27677683125421</v>
      </c>
      <c r="I25" s="5">
        <f t="shared" ca="1" si="6"/>
        <v>0.96161624759787501</v>
      </c>
      <c r="J25">
        <f t="shared" si="7"/>
        <v>0.05</v>
      </c>
      <c r="K25">
        <f t="shared" ca="1" si="8"/>
        <v>5456.8</v>
      </c>
      <c r="L25">
        <f t="shared" ca="1" si="9"/>
        <v>6031.2</v>
      </c>
      <c r="M25" t="b">
        <f t="shared" ca="1" si="10"/>
        <v>0</v>
      </c>
      <c r="N25" s="2">
        <f t="shared" ca="1" si="11"/>
        <v>5.3525795276358235</v>
      </c>
      <c r="O25" s="2">
        <f t="shared" ca="1" si="12"/>
        <v>4.2146392593945006</v>
      </c>
      <c r="P25" s="2">
        <f t="shared" ca="1" si="13"/>
        <v>0.78740338889575756</v>
      </c>
      <c r="Q25">
        <f ca="1">SUM($P$10:$P$41)</f>
        <v>29.142288761168476</v>
      </c>
    </row>
    <row r="26" spans="1:17" x14ac:dyDescent="0.3">
      <c r="A26">
        <v>20</v>
      </c>
      <c r="B26" t="s">
        <v>3</v>
      </c>
      <c r="C26" s="1">
        <f>EXP(-(100-A26)/10*(0.45)-0.9)</f>
        <v>1.1108996538242306E-2</v>
      </c>
      <c r="D26">
        <f t="shared" ca="1" si="1"/>
        <v>1584</v>
      </c>
      <c r="E26" s="7">
        <f t="shared" ca="1" si="2"/>
        <v>18</v>
      </c>
      <c r="F26">
        <f t="shared" ca="1" si="3"/>
        <v>-0.02</v>
      </c>
      <c r="G26" s="7">
        <f t="shared" ca="1" si="4"/>
        <v>17.244717506244296</v>
      </c>
      <c r="H26" s="7">
        <f t="shared" ca="1" si="5"/>
        <v>0.75528249375570411</v>
      </c>
      <c r="I26" s="5">
        <f t="shared" ca="1" si="6"/>
        <v>1.0437979046906518</v>
      </c>
      <c r="J26">
        <f t="shared" si="7"/>
        <v>0.05</v>
      </c>
      <c r="K26">
        <f t="shared" ca="1" si="8"/>
        <v>17.099999999999998</v>
      </c>
      <c r="L26">
        <f t="shared" ca="1" si="9"/>
        <v>18.900000000000002</v>
      </c>
      <c r="M26" t="b">
        <f t="shared" ca="1" si="10"/>
        <v>0</v>
      </c>
      <c r="N26" s="2">
        <f t="shared" ca="1" si="11"/>
        <v>1.0522176985094509</v>
      </c>
      <c r="O26" s="2">
        <f t="shared" ca="1" si="12"/>
        <v>1.0358171563391545</v>
      </c>
      <c r="P26" s="2">
        <f t="shared" ca="1" si="13"/>
        <v>0.98441335648171568</v>
      </c>
      <c r="Q26">
        <f ca="1">SUM($P$10:$P$41)</f>
        <v>29.142288761168476</v>
      </c>
    </row>
    <row r="27" spans="1:17" x14ac:dyDescent="0.3">
      <c r="A27">
        <v>25</v>
      </c>
      <c r="B27" t="s">
        <v>3</v>
      </c>
      <c r="C27" s="1">
        <f t="shared" ref="C27:C41" si="15">EXP(-(100-A27)/10*(0.45)-0.9)</f>
        <v>1.3912048718937619E-2</v>
      </c>
      <c r="D27">
        <f t="shared" ca="1" si="1"/>
        <v>8407</v>
      </c>
      <c r="E27" s="7">
        <f t="shared" ca="1" si="2"/>
        <v>117</v>
      </c>
      <c r="F27">
        <f t="shared" ca="1" si="3"/>
        <v>0.03</v>
      </c>
      <c r="G27" s="7">
        <f t="shared" ca="1" si="4"/>
        <v>120.46735138751183</v>
      </c>
      <c r="H27" s="7">
        <f t="shared" ca="1" si="5"/>
        <v>-3.467351387511826</v>
      </c>
      <c r="I27" s="5">
        <f t="shared" ca="1" si="6"/>
        <v>0.97121750127668804</v>
      </c>
      <c r="J27">
        <f t="shared" si="7"/>
        <v>0.05</v>
      </c>
      <c r="K27">
        <f t="shared" ca="1" si="8"/>
        <v>111.14999999999999</v>
      </c>
      <c r="L27">
        <f t="shared" ca="1" si="9"/>
        <v>122.85000000000001</v>
      </c>
      <c r="M27" t="b">
        <f t="shared" ca="1" si="10"/>
        <v>0</v>
      </c>
      <c r="N27" s="2">
        <f t="shared" ca="1" si="11"/>
        <v>1.5100375475528998</v>
      </c>
      <c r="O27" s="2">
        <f t="shared" ca="1" si="12"/>
        <v>1.4553742372156659</v>
      </c>
      <c r="P27" s="2">
        <f t="shared" ca="1" si="13"/>
        <v>0.96380003237282497</v>
      </c>
      <c r="Q27">
        <f ca="1">SUM($P$10:$P$41)</f>
        <v>29.142288761168476</v>
      </c>
    </row>
    <row r="28" spans="1:17" x14ac:dyDescent="0.3">
      <c r="A28">
        <v>30</v>
      </c>
      <c r="B28" t="s">
        <v>3</v>
      </c>
      <c r="C28" s="1">
        <f t="shared" si="15"/>
        <v>1.7422374639493515E-2</v>
      </c>
      <c r="D28">
        <f t="shared" ca="1" si="1"/>
        <v>1096</v>
      </c>
      <c r="E28" s="7">
        <f t="shared" ca="1" si="2"/>
        <v>19</v>
      </c>
      <c r="F28">
        <f t="shared" ca="1" si="3"/>
        <v>0.02</v>
      </c>
      <c r="G28" s="7">
        <f t="shared" ca="1" si="4"/>
        <v>19.47682105698259</v>
      </c>
      <c r="H28" s="7">
        <f t="shared" ca="1" si="5"/>
        <v>-0.47682105698259036</v>
      </c>
      <c r="I28" s="5">
        <f t="shared" ca="1" si="6"/>
        <v>0.97551853787701936</v>
      </c>
      <c r="J28">
        <f t="shared" si="7"/>
        <v>0.05</v>
      </c>
      <c r="K28">
        <f t="shared" ca="1" si="8"/>
        <v>18.05</v>
      </c>
      <c r="L28">
        <f t="shared" ca="1" si="9"/>
        <v>19.95</v>
      </c>
      <c r="M28" t="b">
        <f t="shared" ca="1" si="10"/>
        <v>0</v>
      </c>
      <c r="N28" s="2">
        <f t="shared" ca="1" si="11"/>
        <v>1.06264775398292</v>
      </c>
      <c r="O28" s="2">
        <f t="shared" ca="1" si="12"/>
        <v>1.042927121438469</v>
      </c>
      <c r="P28" s="2">
        <f t="shared" ca="1" si="13"/>
        <v>0.98144198538929206</v>
      </c>
      <c r="Q28">
        <f ca="1">SUM($P$10:$P$41)</f>
        <v>29.142288761168476</v>
      </c>
    </row>
    <row r="29" spans="1:17" x14ac:dyDescent="0.3">
      <c r="A29">
        <v>35</v>
      </c>
      <c r="B29" t="s">
        <v>3</v>
      </c>
      <c r="C29" s="1">
        <f t="shared" si="15"/>
        <v>2.1818435531042762E-2</v>
      </c>
      <c r="D29">
        <f t="shared" ca="1" si="1"/>
        <v>7852</v>
      </c>
      <c r="E29" s="7">
        <f t="shared" ca="1" si="2"/>
        <v>171</v>
      </c>
      <c r="F29">
        <f t="shared" ca="1" si="3"/>
        <v>0.02</v>
      </c>
      <c r="G29" s="7">
        <f t="shared" ca="1" si="4"/>
        <v>174.74472290554274</v>
      </c>
      <c r="H29" s="7">
        <f t="shared" ca="1" si="5"/>
        <v>-3.7447229055427442</v>
      </c>
      <c r="I29" s="5">
        <f t="shared" ca="1" si="6"/>
        <v>0.97857032336497551</v>
      </c>
      <c r="J29">
        <f t="shared" si="7"/>
        <v>0.05</v>
      </c>
      <c r="K29">
        <f t="shared" ca="1" si="8"/>
        <v>162.44999999999999</v>
      </c>
      <c r="L29">
        <f t="shared" ca="1" si="9"/>
        <v>179.55</v>
      </c>
      <c r="M29" t="b">
        <f t="shared" ca="1" si="10"/>
        <v>0</v>
      </c>
      <c r="N29" s="2">
        <f t="shared" ca="1" si="11"/>
        <v>1.6280279596621345</v>
      </c>
      <c r="O29" s="2">
        <f t="shared" ca="1" si="12"/>
        <v>1.5333511357093783</v>
      </c>
      <c r="P29" s="2">
        <f t="shared" ca="1" si="13"/>
        <v>0.94184570148758096</v>
      </c>
      <c r="Q29">
        <f ca="1">SUM($P$10:$P$41)</f>
        <v>29.142288761168476</v>
      </c>
    </row>
    <row r="30" spans="1:17" x14ac:dyDescent="0.3">
      <c r="A30">
        <v>40</v>
      </c>
      <c r="B30" t="s">
        <v>3</v>
      </c>
      <c r="C30" s="1">
        <f t="shared" si="15"/>
        <v>2.7323722447292559E-2</v>
      </c>
      <c r="D30">
        <f t="shared" ca="1" si="1"/>
        <v>5387</v>
      </c>
      <c r="E30" s="7">
        <f t="shared" ca="1" si="2"/>
        <v>147</v>
      </c>
      <c r="F30">
        <f t="shared" ca="1" si="3"/>
        <v>-0.03</v>
      </c>
      <c r="G30" s="7">
        <f t="shared" ca="1" si="4"/>
        <v>142.77710603885808</v>
      </c>
      <c r="H30" s="7">
        <f t="shared" ca="1" si="5"/>
        <v>4.2228939611419207</v>
      </c>
      <c r="I30" s="5">
        <f t="shared" ca="1" si="6"/>
        <v>1.0295768283746598</v>
      </c>
      <c r="J30">
        <f t="shared" si="7"/>
        <v>0.05</v>
      </c>
      <c r="K30">
        <f t="shared" ca="1" si="8"/>
        <v>139.65</v>
      </c>
      <c r="L30">
        <f t="shared" ca="1" si="9"/>
        <v>154.35</v>
      </c>
      <c r="M30" t="b">
        <f t="shared" ca="1" si="10"/>
        <v>0</v>
      </c>
      <c r="N30" s="2">
        <f t="shared" ca="1" si="11"/>
        <v>1.5643453863769425</v>
      </c>
      <c r="O30" s="2">
        <f t="shared" ca="1" si="12"/>
        <v>1.5098529436621397</v>
      </c>
      <c r="P30" s="2">
        <f t="shared" ca="1" si="13"/>
        <v>0.96516597729034226</v>
      </c>
      <c r="Q30">
        <f ca="1">SUM($P$10:$P$41)</f>
        <v>29.142288761168476</v>
      </c>
    </row>
    <row r="31" spans="1:17" x14ac:dyDescent="0.3">
      <c r="A31">
        <v>45</v>
      </c>
      <c r="B31" t="s">
        <v>3</v>
      </c>
      <c r="C31" s="1">
        <f t="shared" si="15"/>
        <v>3.4218118311666032E-2</v>
      </c>
      <c r="D31">
        <f t="shared" ca="1" si="1"/>
        <v>5317</v>
      </c>
      <c r="E31" s="7">
        <f t="shared" ca="1" si="2"/>
        <v>182</v>
      </c>
      <c r="F31">
        <f t="shared" ca="1" si="3"/>
        <v>0.02</v>
      </c>
      <c r="G31" s="7">
        <f t="shared" ca="1" si="4"/>
        <v>185.57648976439086</v>
      </c>
      <c r="H31" s="7">
        <f t="shared" ca="1" si="5"/>
        <v>-3.5764897643908569</v>
      </c>
      <c r="I31" s="5">
        <f t="shared" ca="1" si="6"/>
        <v>0.98072767854952103</v>
      </c>
      <c r="J31">
        <f t="shared" si="7"/>
        <v>0.05</v>
      </c>
      <c r="K31">
        <f t="shared" ca="1" si="8"/>
        <v>172.9</v>
      </c>
      <c r="L31">
        <f t="shared" ca="1" si="9"/>
        <v>191.1</v>
      </c>
      <c r="M31" t="b">
        <f t="shared" ca="1" si="10"/>
        <v>0</v>
      </c>
      <c r="N31" s="2">
        <f t="shared" ca="1" si="11"/>
        <v>1.6348838024254433</v>
      </c>
      <c r="O31" s="2">
        <f t="shared" ca="1" si="12"/>
        <v>1.5443889345212101</v>
      </c>
      <c r="P31" s="2">
        <f t="shared" ca="1" si="13"/>
        <v>0.94464752310226641</v>
      </c>
      <c r="Q31">
        <f ca="1">SUM($P$10:$P$41)</f>
        <v>29.142288761168476</v>
      </c>
    </row>
    <row r="32" spans="1:17" x14ac:dyDescent="0.3">
      <c r="A32">
        <v>50</v>
      </c>
      <c r="B32" t="s">
        <v>3</v>
      </c>
      <c r="C32" s="1">
        <f t="shared" si="15"/>
        <v>4.2852126867040187E-2</v>
      </c>
      <c r="D32">
        <f t="shared" ca="1" si="1"/>
        <v>2884</v>
      </c>
      <c r="E32" s="7">
        <f t="shared" ca="1" si="2"/>
        <v>124</v>
      </c>
      <c r="F32">
        <f t="shared" ca="1" si="3"/>
        <v>-0.05</v>
      </c>
      <c r="G32" s="7">
        <f t="shared" ca="1" si="4"/>
        <v>117.40625719031669</v>
      </c>
      <c r="H32" s="7">
        <f t="shared" ca="1" si="5"/>
        <v>6.5937428096833059</v>
      </c>
      <c r="I32" s="5">
        <f t="shared" ca="1" si="6"/>
        <v>1.0561617665657699</v>
      </c>
      <c r="J32">
        <f t="shared" si="7"/>
        <v>0.05</v>
      </c>
      <c r="K32">
        <f t="shared" ca="1" si="8"/>
        <v>117.8</v>
      </c>
      <c r="L32">
        <f t="shared" ca="1" si="9"/>
        <v>130.20000000000002</v>
      </c>
      <c r="M32" t="b">
        <f t="shared" ca="1" si="10"/>
        <v>1</v>
      </c>
      <c r="N32" s="2">
        <f t="shared" ca="1" si="11"/>
        <v>1.5183898410607506</v>
      </c>
      <c r="O32" s="2">
        <f t="shared" ca="1" si="12"/>
        <v>1.5250413091975756</v>
      </c>
      <c r="P32" s="2">
        <f t="shared" ca="1" si="13"/>
        <v>1.0043806063218774</v>
      </c>
      <c r="Q32">
        <f ca="1">SUM($P$10:$P$41)</f>
        <v>29.142288761168476</v>
      </c>
    </row>
    <row r="33" spans="1:17" x14ac:dyDescent="0.3">
      <c r="A33">
        <v>55</v>
      </c>
      <c r="B33" t="s">
        <v>3</v>
      </c>
      <c r="C33" s="1">
        <f t="shared" si="15"/>
        <v>5.3664691912730135E-2</v>
      </c>
      <c r="D33">
        <f t="shared" ca="1" si="1"/>
        <v>3656</v>
      </c>
      <c r="E33" s="7">
        <f t="shared" ca="1" si="2"/>
        <v>196</v>
      </c>
      <c r="F33">
        <f t="shared" ca="1" si="3"/>
        <v>-0.03</v>
      </c>
      <c r="G33" s="7">
        <f t="shared" ca="1" si="4"/>
        <v>190.31217022395313</v>
      </c>
      <c r="H33" s="7">
        <f t="shared" ca="1" si="5"/>
        <v>5.6878297760468683</v>
      </c>
      <c r="I33" s="5">
        <f t="shared" ca="1" si="6"/>
        <v>1.0298868420729668</v>
      </c>
      <c r="J33">
        <f t="shared" si="7"/>
        <v>0.05</v>
      </c>
      <c r="K33">
        <f t="shared" ca="1" si="8"/>
        <v>186.2</v>
      </c>
      <c r="L33">
        <f t="shared" ca="1" si="9"/>
        <v>205.8</v>
      </c>
      <c r="M33" t="b">
        <f t="shared" ca="1" si="10"/>
        <v>0</v>
      </c>
      <c r="N33" s="2">
        <f t="shared" ca="1" si="11"/>
        <v>1.6651511072746759</v>
      </c>
      <c r="O33" s="2">
        <f t="shared" ca="1" si="12"/>
        <v>1.5819534136773139</v>
      </c>
      <c r="P33" s="2">
        <f t="shared" ca="1" si="13"/>
        <v>0.95003594975021199</v>
      </c>
      <c r="Q33">
        <f ca="1">SUM($P$10:$P$41)</f>
        <v>29.142288761168476</v>
      </c>
    </row>
    <row r="34" spans="1:17" x14ac:dyDescent="0.3">
      <c r="A34">
        <v>60</v>
      </c>
      <c r="B34" t="s">
        <v>3</v>
      </c>
      <c r="C34" s="1">
        <f t="shared" si="15"/>
        <v>6.7205512739749756E-2</v>
      </c>
      <c r="D34">
        <f t="shared" ca="1" si="1"/>
        <v>3964</v>
      </c>
      <c r="E34" s="7">
        <f t="shared" ca="1" si="2"/>
        <v>266</v>
      </c>
      <c r="F34">
        <f t="shared" ca="1" si="3"/>
        <v>0.05</v>
      </c>
      <c r="G34" s="7">
        <f t="shared" ca="1" si="4"/>
        <v>279.72278512538645</v>
      </c>
      <c r="H34" s="7">
        <f t="shared" ca="1" si="5"/>
        <v>-13.722785125386451</v>
      </c>
      <c r="I34" s="5">
        <f t="shared" ca="1" si="6"/>
        <v>0.95094148258521316</v>
      </c>
      <c r="J34">
        <f t="shared" si="7"/>
        <v>0.05</v>
      </c>
      <c r="K34">
        <f t="shared" ca="1" si="8"/>
        <v>252.7</v>
      </c>
      <c r="L34">
        <f t="shared" ca="1" si="9"/>
        <v>279.3</v>
      </c>
      <c r="M34" t="b">
        <f t="shared" ca="1" si="10"/>
        <v>1</v>
      </c>
      <c r="N34" s="2">
        <f t="shared" ca="1" si="11"/>
        <v>1.7577895818712501</v>
      </c>
      <c r="O34" s="2">
        <f t="shared" ca="1" si="12"/>
        <v>1.7603055737528999</v>
      </c>
      <c r="P34" s="2">
        <f t="shared" ca="1" si="13"/>
        <v>1.0014313384876086</v>
      </c>
      <c r="Q34">
        <f ca="1">SUM($P$10:$P$41)</f>
        <v>29.142288761168476</v>
      </c>
    </row>
    <row r="35" spans="1:17" x14ac:dyDescent="0.3">
      <c r="A35">
        <v>65</v>
      </c>
      <c r="B35" t="s">
        <v>3</v>
      </c>
      <c r="C35" s="1">
        <f t="shared" si="15"/>
        <v>8.4162990257310361E-2</v>
      </c>
      <c r="D35">
        <f t="shared" ca="1" si="1"/>
        <v>5474</v>
      </c>
      <c r="E35" s="7">
        <f t="shared" ca="1" si="2"/>
        <v>461</v>
      </c>
      <c r="F35">
        <f t="shared" ca="1" si="3"/>
        <v>-0.01</v>
      </c>
      <c r="G35" s="7">
        <f t="shared" ca="1" si="4"/>
        <v>456.10112658183169</v>
      </c>
      <c r="H35" s="7">
        <f t="shared" ca="1" si="5"/>
        <v>4.8988734181683071</v>
      </c>
      <c r="I35" s="5">
        <f t="shared" ca="1" si="6"/>
        <v>1.0107407614948949</v>
      </c>
      <c r="J35">
        <f t="shared" si="7"/>
        <v>0.05</v>
      </c>
      <c r="K35">
        <f t="shared" ca="1" si="8"/>
        <v>437.95</v>
      </c>
      <c r="L35">
        <f t="shared" ca="1" si="9"/>
        <v>484.05</v>
      </c>
      <c r="M35" t="b">
        <f t="shared" ca="1" si="10"/>
        <v>0</v>
      </c>
      <c r="N35" s="2">
        <f t="shared" ca="1" si="11"/>
        <v>1.9867214537424793</v>
      </c>
      <c r="O35" s="2">
        <f t="shared" ca="1" si="12"/>
        <v>1.7424039872379411</v>
      </c>
      <c r="P35" s="2">
        <f t="shared" ca="1" si="13"/>
        <v>0.87702480081225975</v>
      </c>
      <c r="Q35">
        <f ca="1">SUM($P$10:$P$41)</f>
        <v>29.142288761168476</v>
      </c>
    </row>
    <row r="36" spans="1:17" x14ac:dyDescent="0.3">
      <c r="A36">
        <v>70</v>
      </c>
      <c r="B36" t="s">
        <v>3</v>
      </c>
      <c r="C36" s="1">
        <f t="shared" si="15"/>
        <v>0.10539922456186433</v>
      </c>
      <c r="D36">
        <f t="shared" ca="1" si="1"/>
        <v>7374</v>
      </c>
      <c r="E36" s="7">
        <f t="shared" ca="1" si="2"/>
        <v>777</v>
      </c>
      <c r="F36">
        <f t="shared" ca="1" si="3"/>
        <v>0.04</v>
      </c>
      <c r="G36" s="7">
        <f t="shared" ca="1" si="4"/>
        <v>808.30243719595512</v>
      </c>
      <c r="H36" s="7">
        <f t="shared" ca="1" si="5"/>
        <v>-31.302437195955122</v>
      </c>
      <c r="I36" s="5">
        <f t="shared" ca="1" si="6"/>
        <v>0.96127385523598696</v>
      </c>
      <c r="J36">
        <f t="shared" si="7"/>
        <v>0.05</v>
      </c>
      <c r="K36">
        <f t="shared" ca="1" si="8"/>
        <v>738.15</v>
      </c>
      <c r="L36">
        <f t="shared" ca="1" si="9"/>
        <v>815.85</v>
      </c>
      <c r="M36" t="b">
        <f t="shared" ca="1" si="10"/>
        <v>0</v>
      </c>
      <c r="N36" s="2">
        <f t="shared" ca="1" si="11"/>
        <v>2.273112772900749</v>
      </c>
      <c r="O36" s="2">
        <f t="shared" ca="1" si="12"/>
        <v>2.1110431756852432</v>
      </c>
      <c r="P36" s="2">
        <f t="shared" ca="1" si="13"/>
        <v>0.92870147088712773</v>
      </c>
      <c r="Q36">
        <f ca="1">SUM($P$10:$P$41)</f>
        <v>29.142288761168476</v>
      </c>
    </row>
    <row r="37" spans="1:17" x14ac:dyDescent="0.3">
      <c r="A37">
        <v>75</v>
      </c>
      <c r="B37" t="s">
        <v>3</v>
      </c>
      <c r="C37" s="1">
        <f t="shared" si="15"/>
        <v>0.13199384318783022</v>
      </c>
      <c r="D37">
        <f t="shared" ca="1" si="1"/>
        <v>5116</v>
      </c>
      <c r="E37" s="7">
        <f t="shared" ca="1" si="2"/>
        <v>675</v>
      </c>
      <c r="F37">
        <f t="shared" ca="1" si="3"/>
        <v>0.03</v>
      </c>
      <c r="G37" s="7">
        <f t="shared" ca="1" si="4"/>
        <v>695.53891680140759</v>
      </c>
      <c r="H37" s="7">
        <f t="shared" ca="1" si="5"/>
        <v>-20.538916801407595</v>
      </c>
      <c r="I37" s="5">
        <f t="shared" ca="1" si="6"/>
        <v>0.97047049948569319</v>
      </c>
      <c r="J37">
        <f t="shared" si="7"/>
        <v>0.05</v>
      </c>
      <c r="K37">
        <f t="shared" ca="1" si="8"/>
        <v>641.25</v>
      </c>
      <c r="L37">
        <f t="shared" ca="1" si="9"/>
        <v>708.75</v>
      </c>
      <c r="M37" t="b">
        <f t="shared" ca="1" si="10"/>
        <v>0</v>
      </c>
      <c r="N37" s="2">
        <f t="shared" ca="1" si="11"/>
        <v>2.1902575200798604</v>
      </c>
      <c r="O37" s="2">
        <f t="shared" ca="1" si="12"/>
        <v>1.9468119353065456</v>
      </c>
      <c r="P37" s="2">
        <f t="shared" ca="1" si="13"/>
        <v>0.88885070246696907</v>
      </c>
      <c r="Q37">
        <f ca="1">SUM($P$10:$P$41)</f>
        <v>29.142288761168476</v>
      </c>
    </row>
    <row r="38" spans="1:17" x14ac:dyDescent="0.3">
      <c r="A38">
        <v>80</v>
      </c>
      <c r="B38" t="s">
        <v>3</v>
      </c>
      <c r="C38" s="1">
        <f t="shared" si="15"/>
        <v>0.16529888822158653</v>
      </c>
      <c r="D38">
        <f t="shared" ca="1" si="1"/>
        <v>8844</v>
      </c>
      <c r="E38" s="7">
        <f t="shared" ca="1" si="2"/>
        <v>1462</v>
      </c>
      <c r="F38">
        <f t="shared" ca="1" si="3"/>
        <v>-0.01</v>
      </c>
      <c r="G38" s="7">
        <f t="shared" ca="1" si="4"/>
        <v>1447.2843337573941</v>
      </c>
      <c r="H38" s="7">
        <f t="shared" ca="1" si="5"/>
        <v>14.715666242605948</v>
      </c>
      <c r="I38" s="5">
        <f t="shared" ca="1" si="6"/>
        <v>1.0101677782999292</v>
      </c>
      <c r="J38">
        <f t="shared" si="7"/>
        <v>0.05</v>
      </c>
      <c r="K38">
        <f t="shared" ca="1" si="8"/>
        <v>1388.8999999999999</v>
      </c>
      <c r="L38">
        <f t="shared" ca="1" si="9"/>
        <v>1535.1000000000001</v>
      </c>
      <c r="M38" t="b">
        <f t="shared" ca="1" si="10"/>
        <v>0</v>
      </c>
      <c r="N38" s="2">
        <f t="shared" ca="1" si="11"/>
        <v>2.7708165612245654</v>
      </c>
      <c r="O38" s="2">
        <f t="shared" ca="1" si="12"/>
        <v>2.0139696049346512</v>
      </c>
      <c r="P38" s="2">
        <f t="shared" ca="1" si="13"/>
        <v>0.72685057290280342</v>
      </c>
      <c r="Q38">
        <f ca="1">SUM($P$10:$P$41)</f>
        <v>29.142288761168476</v>
      </c>
    </row>
    <row r="39" spans="1:17" x14ac:dyDescent="0.3">
      <c r="A39">
        <v>85</v>
      </c>
      <c r="B39" t="s">
        <v>3</v>
      </c>
      <c r="C39" s="1">
        <f t="shared" si="15"/>
        <v>0.20700755268115259</v>
      </c>
      <c r="D39">
        <f t="shared" ca="1" si="1"/>
        <v>6943</v>
      </c>
      <c r="E39" s="7">
        <f t="shared" ca="1" si="2"/>
        <v>1437</v>
      </c>
      <c r="F39">
        <f t="shared" ca="1" si="3"/>
        <v>0.01</v>
      </c>
      <c r="G39" s="7">
        <f t="shared" ca="1" si="4"/>
        <v>1451.6259726478947</v>
      </c>
      <c r="H39" s="7">
        <f t="shared" ca="1" si="5"/>
        <v>-14.625972647894741</v>
      </c>
      <c r="I39" s="5">
        <f t="shared" ca="1" si="6"/>
        <v>0.98992442066793851</v>
      </c>
      <c r="J39">
        <f t="shared" si="7"/>
        <v>0.05</v>
      </c>
      <c r="K39">
        <f t="shared" ca="1" si="8"/>
        <v>1365.1499999999999</v>
      </c>
      <c r="L39">
        <f t="shared" ca="1" si="9"/>
        <v>1508.8500000000001</v>
      </c>
      <c r="M39" t="b">
        <f t="shared" ca="1" si="10"/>
        <v>0</v>
      </c>
      <c r="N39" s="2">
        <f t="shared" ca="1" si="11"/>
        <v>2.7590555474207061</v>
      </c>
      <c r="O39" s="2">
        <f t="shared" ca="1" si="12"/>
        <v>2.0099514560863634</v>
      </c>
      <c r="P39" s="2">
        <f t="shared" ca="1" si="13"/>
        <v>0.72849256622084313</v>
      </c>
      <c r="Q39">
        <f ca="1">SUM($P$10:$P$41)</f>
        <v>29.142288761168476</v>
      </c>
    </row>
    <row r="40" spans="1:17" x14ac:dyDescent="0.3">
      <c r="A40">
        <v>90</v>
      </c>
      <c r="B40" t="s">
        <v>3</v>
      </c>
      <c r="C40" s="1">
        <f t="shared" si="15"/>
        <v>0.25924026064589151</v>
      </c>
      <c r="D40">
        <f t="shared" ca="1" si="1"/>
        <v>8032</v>
      </c>
      <c r="E40" s="7">
        <f t="shared" ca="1" si="2"/>
        <v>2082</v>
      </c>
      <c r="F40">
        <f t="shared" ca="1" si="3"/>
        <v>0.04</v>
      </c>
      <c r="G40" s="7">
        <f t="shared" ca="1" si="4"/>
        <v>2165.5064844481126</v>
      </c>
      <c r="H40" s="7">
        <f t="shared" ca="1" si="5"/>
        <v>-83.506484448112587</v>
      </c>
      <c r="I40" s="5">
        <f t="shared" ca="1" si="6"/>
        <v>0.96143789683945713</v>
      </c>
      <c r="J40">
        <f t="shared" si="7"/>
        <v>0.05</v>
      </c>
      <c r="K40">
        <f t="shared" ca="1" si="8"/>
        <v>1977.8999999999999</v>
      </c>
      <c r="L40">
        <f t="shared" ca="1" si="9"/>
        <v>2186.1</v>
      </c>
      <c r="M40" t="b">
        <f t="shared" ca="1" si="10"/>
        <v>0</v>
      </c>
      <c r="N40" s="2">
        <f t="shared" ca="1" si="11"/>
        <v>3.1786847629701689</v>
      </c>
      <c r="O40" s="2">
        <f t="shared" ca="1" si="12"/>
        <v>2.7667677718142278</v>
      </c>
      <c r="P40" s="2">
        <f t="shared" ca="1" si="13"/>
        <v>0.87041275814621988</v>
      </c>
      <c r="Q40">
        <f ca="1">SUM($P$10:$P$41)</f>
        <v>29.142288761168476</v>
      </c>
    </row>
    <row r="41" spans="1:17" x14ac:dyDescent="0.3">
      <c r="A41">
        <v>95</v>
      </c>
      <c r="B41" t="s">
        <v>3</v>
      </c>
      <c r="C41" s="1">
        <f t="shared" si="15"/>
        <v>0.32465246735834974</v>
      </c>
      <c r="D41">
        <f t="shared" ca="1" si="1"/>
        <v>8468</v>
      </c>
      <c r="E41" s="7">
        <f t="shared" ca="1" si="2"/>
        <v>2749</v>
      </c>
      <c r="F41">
        <f t="shared" ca="1" si="3"/>
        <v>0.02</v>
      </c>
      <c r="G41" s="7">
        <f t="shared" ca="1" si="4"/>
        <v>2804.1402354623156</v>
      </c>
      <c r="H41" s="7">
        <f t="shared" ca="1" si="5"/>
        <v>-55.140235462315559</v>
      </c>
      <c r="I41" s="5">
        <f t="shared" ca="1" si="6"/>
        <v>0.98033613484625715</v>
      </c>
      <c r="J41">
        <f t="shared" si="7"/>
        <v>0.05</v>
      </c>
      <c r="K41">
        <f t="shared" ca="1" si="8"/>
        <v>2611.5499999999997</v>
      </c>
      <c r="L41">
        <f t="shared" ca="1" si="9"/>
        <v>2886.4500000000003</v>
      </c>
      <c r="M41" t="b">
        <f t="shared" ca="1" si="10"/>
        <v>0</v>
      </c>
      <c r="N41" s="2">
        <f t="shared" ca="1" si="11"/>
        <v>3.5878064509019509</v>
      </c>
      <c r="O41" s="2">
        <f t="shared" ca="1" si="12"/>
        <v>2.3556953577520705</v>
      </c>
      <c r="P41" s="2">
        <f t="shared" ca="1" si="13"/>
        <v>0.65658373437615736</v>
      </c>
      <c r="Q41">
        <f ca="1">SUM($P$10:$P$41)</f>
        <v>29.142288761168476</v>
      </c>
    </row>
  </sheetData>
  <conditionalFormatting sqref="P10:P41">
    <cfRule type="colorScale" priority="1">
      <colorScale>
        <cfvo type="percentile" val="10"/>
        <cfvo type="percentile" val="90"/>
        <color theme="0"/>
        <color rgb="FFFF8F75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54C9-B6A4-4433-9130-F308BDEC8E7B}">
  <dimension ref="A2:R40"/>
  <sheetViews>
    <sheetView showGridLines="0" workbookViewId="0">
      <selection activeCell="A15" sqref="A15"/>
    </sheetView>
  </sheetViews>
  <sheetFormatPr defaultRowHeight="14.4" outlineLevelCol="1" x14ac:dyDescent="0.3"/>
  <cols>
    <col min="2" max="2" width="12.44140625" customWidth="1"/>
    <col min="3" max="3" width="12" bestFit="1" customWidth="1"/>
    <col min="5" max="5" width="13.88671875" customWidth="1"/>
    <col min="6" max="6" width="13.33203125" hidden="1" customWidth="1" outlineLevel="1"/>
    <col min="7" max="7" width="17.44140625" customWidth="1" collapsed="1"/>
    <col min="8" max="9" width="17.44140625" customWidth="1"/>
    <col min="10" max="10" width="8.88671875" hidden="1" customWidth="1" outlineLevel="1"/>
    <col min="11" max="11" width="22.6640625" hidden="1" customWidth="1" outlineLevel="1"/>
    <col min="12" max="12" width="22.77734375" hidden="1" customWidth="1" outlineLevel="1"/>
    <col min="13" max="13" width="22.109375" hidden="1" customWidth="1" outlineLevel="1"/>
    <col min="14" max="14" width="12.6640625" hidden="1" customWidth="1" outlineLevel="1"/>
    <col min="15" max="15" width="8.88671875" hidden="1" customWidth="1" outlineLevel="1"/>
    <col min="16" max="16" width="8.88671875" collapsed="1"/>
    <col min="17" max="17" width="13.88671875" customWidth="1"/>
    <col min="18" max="18" width="13.77734375" customWidth="1"/>
  </cols>
  <sheetData>
    <row r="2" spans="1:18" x14ac:dyDescent="0.3">
      <c r="B2" s="6" t="s">
        <v>9</v>
      </c>
      <c r="C2" s="6">
        <v>0.02</v>
      </c>
    </row>
    <row r="3" spans="1:18" x14ac:dyDescent="0.3">
      <c r="B3" t="s">
        <v>24</v>
      </c>
      <c r="C3" s="2">
        <f>SUM($P$9:$P$40)</f>
        <v>34.554573025200042</v>
      </c>
    </row>
    <row r="4" spans="1:18" x14ac:dyDescent="0.3">
      <c r="B4" s="6" t="s">
        <v>12</v>
      </c>
      <c r="C4" s="8">
        <f>C3/COUNT(A9:A40)</f>
        <v>1.0798304070375013</v>
      </c>
    </row>
    <row r="5" spans="1:18" x14ac:dyDescent="0.3">
      <c r="B5" t="s">
        <v>22</v>
      </c>
      <c r="C5" s="5">
        <f>SUM($E$9:$E$40)/SUM($G$9:$G$40)</f>
        <v>0.98848813493332621</v>
      </c>
    </row>
    <row r="8" spans="1:18" x14ac:dyDescent="0.3">
      <c r="A8" s="10" t="s">
        <v>0</v>
      </c>
      <c r="B8" s="11" t="s">
        <v>1</v>
      </c>
      <c r="C8" s="3" t="s">
        <v>37</v>
      </c>
      <c r="D8" s="3" t="s">
        <v>5</v>
      </c>
      <c r="E8" s="3" t="s">
        <v>6</v>
      </c>
      <c r="F8" s="3" t="s">
        <v>7</v>
      </c>
      <c r="G8" s="3" t="s">
        <v>8</v>
      </c>
      <c r="H8" s="3" t="s">
        <v>23</v>
      </c>
      <c r="I8" s="3" t="s">
        <v>21</v>
      </c>
      <c r="J8" s="3" t="s">
        <v>9</v>
      </c>
      <c r="K8" s="3" t="s">
        <v>15</v>
      </c>
      <c r="L8" s="3" t="s">
        <v>14</v>
      </c>
      <c r="M8" s="3" t="s">
        <v>16</v>
      </c>
      <c r="N8" s="3" t="s">
        <v>10</v>
      </c>
      <c r="O8" s="3" t="s">
        <v>11</v>
      </c>
      <c r="P8" s="3" t="s">
        <v>12</v>
      </c>
      <c r="Q8" s="3" t="s">
        <v>25</v>
      </c>
      <c r="R8" s="3"/>
    </row>
    <row r="9" spans="1:18" x14ac:dyDescent="0.3">
      <c r="A9" s="12">
        <v>20</v>
      </c>
      <c r="B9" s="13" t="s">
        <v>2</v>
      </c>
      <c r="C9" s="1">
        <f>EXP(-(100-A9)/10*(0.5)-0.3)</f>
        <v>1.3568559012200934E-2</v>
      </c>
      <c r="D9">
        <v>7415</v>
      </c>
      <c r="E9" s="7">
        <f>ROUND(D9*C9,0)</f>
        <v>101</v>
      </c>
      <c r="F9">
        <v>0.05</v>
      </c>
      <c r="G9" s="7">
        <f>C9*(1+F9)*D9</f>
        <v>105.64140832924343</v>
      </c>
      <c r="H9" s="7">
        <f>E9-G9</f>
        <v>-4.6414083292434327</v>
      </c>
      <c r="I9" s="5">
        <f>E9/G9</f>
        <v>0.95606449778880309</v>
      </c>
      <c r="J9">
        <f>$C$2</f>
        <v>0.02</v>
      </c>
      <c r="K9">
        <f>E9*(1-J9)</f>
        <v>98.98</v>
      </c>
      <c r="L9">
        <f>E9*(1+J9)</f>
        <v>103.02</v>
      </c>
      <c r="M9" t="b">
        <f>OR(G9&lt;K9, G9&gt;L9)</f>
        <v>1</v>
      </c>
      <c r="N9" s="2">
        <f>-LOG(_xlfn.POISSON.DIST(ROUND(E9*(1+J9),0),E9,FALSE))</f>
        <v>1.4144035975817701</v>
      </c>
      <c r="O9" s="2">
        <f>-LOG(_xlfn.POISSON.DIST(E9,G9,FALSE))</f>
        <v>1.4465533190911077</v>
      </c>
      <c r="P9" s="2">
        <f>O9/N9</f>
        <v>1.0227302317134264</v>
      </c>
      <c r="Q9" s="9">
        <f>P9/$C$3</f>
        <v>2.9597536365666192E-2</v>
      </c>
    </row>
    <row r="10" spans="1:18" x14ac:dyDescent="0.3">
      <c r="A10" s="12">
        <f>A9+5</f>
        <v>25</v>
      </c>
      <c r="B10" s="13" t="s">
        <v>2</v>
      </c>
      <c r="C10" s="1">
        <f t="shared" ref="C10:C24" si="0">EXP(-(100-A10)/10*(0.5)-0.3)</f>
        <v>1.7422374639493515E-2</v>
      </c>
      <c r="D10">
        <v>3245</v>
      </c>
      <c r="E10" s="7">
        <f t="shared" ref="E10:E40" si="1">ROUND(D10*C10,0)</f>
        <v>57</v>
      </c>
      <c r="F10">
        <v>0.08</v>
      </c>
      <c r="G10" s="7">
        <f t="shared" ref="G10:G40" si="2">C10*(1+F10)*D10</f>
        <v>61.058454161568974</v>
      </c>
      <c r="H10" s="7">
        <f t="shared" ref="H10:H40" si="3">E10-G10</f>
        <v>-4.0584541615689744</v>
      </c>
      <c r="I10" s="5">
        <f t="shared" ref="I10:I40" si="4">E10/G10</f>
        <v>0.93353165884564071</v>
      </c>
      <c r="J10">
        <f t="shared" ref="J10:J40" si="5">$C$2</f>
        <v>0.02</v>
      </c>
      <c r="K10">
        <f t="shared" ref="K10:K40" si="6">E10*(1-J10)</f>
        <v>55.86</v>
      </c>
      <c r="L10">
        <f t="shared" ref="L10:L40" si="7">E10*(1+J10)</f>
        <v>58.14</v>
      </c>
      <c r="M10" t="b">
        <f t="shared" ref="M10:M40" si="8">OR(G10&lt;K10, G10&gt;L10)</f>
        <v>1</v>
      </c>
      <c r="N10" s="2">
        <f t="shared" ref="N10:N40" si="9">-LOG(_xlfn.POISSON.DIST(ROUND(E10*(1+J10),0),E10,FALSE))</f>
        <v>1.2852154268452545</v>
      </c>
      <c r="O10" s="2">
        <f t="shared" ref="O10:O40" si="10">-LOG(_xlfn.POISSON.DIST(E10,G10,FALSE))</f>
        <v>1.3375824295489396</v>
      </c>
      <c r="P10" s="2">
        <f t="shared" ref="P10:P40" si="11">O10/N10</f>
        <v>1.0407457003782061</v>
      </c>
      <c r="Q10" s="9">
        <f t="shared" ref="Q10:Q40" si="12">P10/$C$3</f>
        <v>3.0118899157550248E-2</v>
      </c>
    </row>
    <row r="11" spans="1:18" x14ac:dyDescent="0.3">
      <c r="A11" s="12">
        <f t="shared" ref="A11:A24" si="13">A10+5</f>
        <v>30</v>
      </c>
      <c r="B11" s="13" t="s">
        <v>2</v>
      </c>
      <c r="C11" s="1">
        <f t="shared" si="0"/>
        <v>2.2370771856165601E-2</v>
      </c>
      <c r="D11">
        <v>6250</v>
      </c>
      <c r="E11" s="7">
        <f t="shared" si="1"/>
        <v>140</v>
      </c>
      <c r="F11">
        <v>0.05</v>
      </c>
      <c r="G11" s="7">
        <f t="shared" si="2"/>
        <v>146.80819030608677</v>
      </c>
      <c r="H11" s="7">
        <f t="shared" si="3"/>
        <v>-6.8081903060867717</v>
      </c>
      <c r="I11" s="5">
        <f t="shared" si="4"/>
        <v>0.95362526919041724</v>
      </c>
      <c r="J11">
        <f t="shared" si="5"/>
        <v>0.02</v>
      </c>
      <c r="K11">
        <f t="shared" si="6"/>
        <v>137.19999999999999</v>
      </c>
      <c r="L11">
        <f t="shared" si="7"/>
        <v>142.80000000000001</v>
      </c>
      <c r="M11" t="b">
        <f t="shared" si="8"/>
        <v>1</v>
      </c>
      <c r="N11" s="2">
        <f t="shared" si="9"/>
        <v>1.4908718476675069</v>
      </c>
      <c r="O11" s="2">
        <f t="shared" si="10"/>
        <v>1.5420570114008336</v>
      </c>
      <c r="P11" s="2">
        <f t="shared" si="11"/>
        <v>1.0343323698904145</v>
      </c>
      <c r="Q11" s="9">
        <f t="shared" si="12"/>
        <v>2.9933299107359659E-2</v>
      </c>
    </row>
    <row r="12" spans="1:18" x14ac:dyDescent="0.3">
      <c r="A12" s="12">
        <f t="shared" si="13"/>
        <v>35</v>
      </c>
      <c r="B12" s="13" t="s">
        <v>2</v>
      </c>
      <c r="C12" s="1">
        <f t="shared" si="0"/>
        <v>2.8724639654239433E-2</v>
      </c>
      <c r="D12">
        <v>5104</v>
      </c>
      <c r="E12" s="7">
        <f t="shared" si="1"/>
        <v>147</v>
      </c>
      <c r="F12">
        <v>0.04</v>
      </c>
      <c r="G12" s="7">
        <f t="shared" si="2"/>
        <v>152.4749832270476</v>
      </c>
      <c r="H12" s="7">
        <f t="shared" si="3"/>
        <v>-5.474983227047602</v>
      </c>
      <c r="I12" s="5">
        <f t="shared" si="4"/>
        <v>0.96409258023071953</v>
      </c>
      <c r="J12">
        <f t="shared" si="5"/>
        <v>0.02</v>
      </c>
      <c r="K12">
        <f t="shared" si="6"/>
        <v>144.06</v>
      </c>
      <c r="L12">
        <f t="shared" si="7"/>
        <v>149.94</v>
      </c>
      <c r="M12" t="b">
        <f t="shared" si="8"/>
        <v>1</v>
      </c>
      <c r="N12" s="2">
        <f t="shared" si="9"/>
        <v>1.5005820384776429</v>
      </c>
      <c r="O12" s="2">
        <f t="shared" si="10"/>
        <v>1.5262046563254488</v>
      </c>
      <c r="P12" s="2">
        <f t="shared" si="11"/>
        <v>1.0170751196474404</v>
      </c>
      <c r="Q12" s="9">
        <f t="shared" si="12"/>
        <v>2.9433878951584943E-2</v>
      </c>
    </row>
    <row r="13" spans="1:18" x14ac:dyDescent="0.3">
      <c r="A13" s="12">
        <f t="shared" si="13"/>
        <v>40</v>
      </c>
      <c r="B13" s="13" t="s">
        <v>2</v>
      </c>
      <c r="C13" s="1">
        <f t="shared" si="0"/>
        <v>3.6883167401240015E-2</v>
      </c>
      <c r="D13">
        <v>9485</v>
      </c>
      <c r="E13" s="7">
        <f t="shared" si="1"/>
        <v>350</v>
      </c>
      <c r="F13">
        <v>-0.03</v>
      </c>
      <c r="G13" s="7">
        <f t="shared" si="2"/>
        <v>339.34173751673865</v>
      </c>
      <c r="H13" s="7">
        <f t="shared" si="3"/>
        <v>10.658262483261353</v>
      </c>
      <c r="I13" s="5">
        <f t="shared" si="4"/>
        <v>1.0314086400372002</v>
      </c>
      <c r="J13">
        <f t="shared" si="5"/>
        <v>0.02</v>
      </c>
      <c r="K13">
        <f t="shared" si="6"/>
        <v>343</v>
      </c>
      <c r="L13">
        <f t="shared" si="7"/>
        <v>357</v>
      </c>
      <c r="M13" t="b">
        <f t="shared" si="8"/>
        <v>1</v>
      </c>
      <c r="N13" s="2">
        <f t="shared" si="9"/>
        <v>1.705725363819929</v>
      </c>
      <c r="O13" s="2">
        <f t="shared" si="10"/>
        <v>1.7431705756454157</v>
      </c>
      <c r="P13" s="2">
        <f t="shared" si="11"/>
        <v>1.0219526616768067</v>
      </c>
      <c r="Q13" s="9">
        <f t="shared" si="12"/>
        <v>2.9575033699056695E-2</v>
      </c>
    </row>
    <row r="14" spans="1:18" x14ac:dyDescent="0.3">
      <c r="A14" s="12">
        <f t="shared" si="13"/>
        <v>45</v>
      </c>
      <c r="B14" s="13" t="s">
        <v>2</v>
      </c>
      <c r="C14" s="1">
        <f t="shared" si="0"/>
        <v>4.7358924391140929E-2</v>
      </c>
      <c r="D14">
        <v>7554</v>
      </c>
      <c r="E14" s="7">
        <f t="shared" si="1"/>
        <v>358</v>
      </c>
      <c r="F14">
        <v>0.03</v>
      </c>
      <c r="G14" s="7">
        <f t="shared" si="2"/>
        <v>368.48179429619898</v>
      </c>
      <c r="H14" s="7">
        <f t="shared" si="3"/>
        <v>-10.481794296198984</v>
      </c>
      <c r="I14" s="5">
        <f t="shared" si="4"/>
        <v>0.97155410536300923</v>
      </c>
      <c r="J14">
        <f t="shared" si="5"/>
        <v>0.02</v>
      </c>
      <c r="K14">
        <f t="shared" si="6"/>
        <v>350.84</v>
      </c>
      <c r="L14">
        <f t="shared" si="7"/>
        <v>365.16</v>
      </c>
      <c r="M14" t="b">
        <f t="shared" si="8"/>
        <v>1</v>
      </c>
      <c r="N14" s="2">
        <f t="shared" si="9"/>
        <v>1.7098649486501496</v>
      </c>
      <c r="O14" s="2">
        <f t="shared" si="10"/>
        <v>1.7415008317721627</v>
      </c>
      <c r="P14" s="2">
        <f t="shared" si="11"/>
        <v>1.0185019776836692</v>
      </c>
      <c r="Q14" s="9">
        <f t="shared" si="12"/>
        <v>2.947517183733955E-2</v>
      </c>
    </row>
    <row r="15" spans="1:18" x14ac:dyDescent="0.3">
      <c r="A15" s="12">
        <f t="shared" si="13"/>
        <v>50</v>
      </c>
      <c r="B15" s="13" t="s">
        <v>2</v>
      </c>
      <c r="C15" s="1">
        <f t="shared" si="0"/>
        <v>6.0810062625217973E-2</v>
      </c>
      <c r="D15">
        <v>6607</v>
      </c>
      <c r="E15" s="7">
        <f t="shared" si="1"/>
        <v>402</v>
      </c>
      <c r="F15">
        <v>0.01</v>
      </c>
      <c r="G15" s="7">
        <f t="shared" si="2"/>
        <v>405.78980460246333</v>
      </c>
      <c r="H15" s="7">
        <f t="shared" si="3"/>
        <v>-3.7898046024633345</v>
      </c>
      <c r="I15" s="5">
        <f t="shared" si="4"/>
        <v>0.99066067072292252</v>
      </c>
      <c r="J15">
        <f t="shared" si="5"/>
        <v>0.02</v>
      </c>
      <c r="K15">
        <f t="shared" si="6"/>
        <v>393.96</v>
      </c>
      <c r="L15">
        <f t="shared" si="7"/>
        <v>410.04</v>
      </c>
      <c r="M15" t="b">
        <f t="shared" si="8"/>
        <v>0</v>
      </c>
      <c r="N15" s="2">
        <f t="shared" si="9"/>
        <v>1.7399137689903914</v>
      </c>
      <c r="O15" s="2">
        <f t="shared" si="10"/>
        <v>1.7090027876128457</v>
      </c>
      <c r="P15" s="2">
        <f t="shared" si="11"/>
        <v>0.98223418773478521</v>
      </c>
      <c r="Q15" s="9">
        <f t="shared" si="12"/>
        <v>2.8425591802811716E-2</v>
      </c>
    </row>
    <row r="16" spans="1:18" x14ac:dyDescent="0.3">
      <c r="A16" s="12">
        <f t="shared" si="13"/>
        <v>55</v>
      </c>
      <c r="B16" s="13" t="s">
        <v>2</v>
      </c>
      <c r="C16" s="1">
        <f t="shared" si="0"/>
        <v>7.8081666001153169E-2</v>
      </c>
      <c r="D16">
        <v>6991</v>
      </c>
      <c r="E16" s="7">
        <f t="shared" si="1"/>
        <v>546</v>
      </c>
      <c r="F16">
        <v>0.02</v>
      </c>
      <c r="G16" s="7">
        <f t="shared" si="2"/>
        <v>556.78630555434313</v>
      </c>
      <c r="H16" s="7">
        <f t="shared" si="3"/>
        <v>-10.78630555434313</v>
      </c>
      <c r="I16" s="5">
        <f t="shared" si="4"/>
        <v>0.98062756672220208</v>
      </c>
      <c r="J16">
        <f t="shared" si="5"/>
        <v>0.02</v>
      </c>
      <c r="K16">
        <f t="shared" si="6"/>
        <v>535.08000000000004</v>
      </c>
      <c r="L16">
        <f t="shared" si="7"/>
        <v>556.91999999999996</v>
      </c>
      <c r="M16" t="b">
        <f t="shared" si="8"/>
        <v>0</v>
      </c>
      <c r="N16" s="2">
        <f t="shared" si="9"/>
        <v>1.8198849312881993</v>
      </c>
      <c r="O16" s="2">
        <f t="shared" si="10"/>
        <v>1.8134228483978723</v>
      </c>
      <c r="P16" s="2">
        <f t="shared" si="11"/>
        <v>0.99644918050629017</v>
      </c>
      <c r="Q16" s="9">
        <f t="shared" si="12"/>
        <v>2.8836969849970286E-2</v>
      </c>
    </row>
    <row r="17" spans="1:17" x14ac:dyDescent="0.3">
      <c r="A17" s="12">
        <f t="shared" si="13"/>
        <v>60</v>
      </c>
      <c r="B17" s="13" t="s">
        <v>2</v>
      </c>
      <c r="C17" s="1">
        <f t="shared" si="0"/>
        <v>0.10025884372280375</v>
      </c>
      <c r="D17">
        <v>3785</v>
      </c>
      <c r="E17" s="7">
        <f t="shared" si="1"/>
        <v>379</v>
      </c>
      <c r="F17">
        <v>0.02</v>
      </c>
      <c r="G17" s="7">
        <f t="shared" si="2"/>
        <v>387.06931796062844</v>
      </c>
      <c r="H17" s="7">
        <f t="shared" si="3"/>
        <v>-8.0693179606284389</v>
      </c>
      <c r="I17" s="5">
        <f t="shared" si="4"/>
        <v>0.9791527832711111</v>
      </c>
      <c r="J17">
        <f t="shared" si="5"/>
        <v>0.02</v>
      </c>
      <c r="K17">
        <f t="shared" si="6"/>
        <v>371.42</v>
      </c>
      <c r="L17">
        <f t="shared" si="7"/>
        <v>386.58</v>
      </c>
      <c r="M17" t="b">
        <f t="shared" si="8"/>
        <v>1</v>
      </c>
      <c r="N17" s="2">
        <f t="shared" si="9"/>
        <v>1.7294522834466985</v>
      </c>
      <c r="O17" s="2">
        <f t="shared" si="10"/>
        <v>1.7252906747941021</v>
      </c>
      <c r="P17" s="2">
        <f t="shared" si="11"/>
        <v>0.9975936840279267</v>
      </c>
      <c r="Q17" s="9">
        <f t="shared" si="12"/>
        <v>2.8870091472419559E-2</v>
      </c>
    </row>
    <row r="18" spans="1:17" x14ac:dyDescent="0.3">
      <c r="A18" s="12">
        <f t="shared" si="13"/>
        <v>65</v>
      </c>
      <c r="B18" s="13" t="s">
        <v>2</v>
      </c>
      <c r="C18" s="1">
        <f t="shared" si="0"/>
        <v>0.12873490358780423</v>
      </c>
      <c r="D18">
        <v>8765</v>
      </c>
      <c r="E18" s="7">
        <f t="shared" si="1"/>
        <v>1128</v>
      </c>
      <c r="F18">
        <v>0.05</v>
      </c>
      <c r="G18" s="7">
        <f t="shared" si="2"/>
        <v>1184.7795014444594</v>
      </c>
      <c r="H18" s="7">
        <f t="shared" si="3"/>
        <v>-56.779501444459356</v>
      </c>
      <c r="I18" s="5">
        <f t="shared" si="4"/>
        <v>0.95207589144204896</v>
      </c>
      <c r="J18">
        <f t="shared" si="5"/>
        <v>0.02</v>
      </c>
      <c r="K18">
        <f t="shared" si="6"/>
        <v>1105.44</v>
      </c>
      <c r="L18">
        <f t="shared" si="7"/>
        <v>1150.56</v>
      </c>
      <c r="M18" t="b">
        <f t="shared" si="8"/>
        <v>1</v>
      </c>
      <c r="N18" s="2">
        <f t="shared" si="9"/>
        <v>2.0308097593120538</v>
      </c>
      <c r="O18" s="2">
        <f t="shared" si="10"/>
        <v>2.525829490491811</v>
      </c>
      <c r="P18" s="2">
        <f t="shared" si="11"/>
        <v>1.2437548514379051</v>
      </c>
      <c r="Q18" s="9">
        <f t="shared" si="12"/>
        <v>3.5993929096761128E-2</v>
      </c>
    </row>
    <row r="19" spans="1:17" x14ac:dyDescent="0.3">
      <c r="A19" s="12">
        <f t="shared" si="13"/>
        <v>70</v>
      </c>
      <c r="B19" s="13" t="s">
        <v>2</v>
      </c>
      <c r="C19" s="1">
        <f t="shared" si="0"/>
        <v>0.16529888822158653</v>
      </c>
      <c r="D19">
        <v>8686</v>
      </c>
      <c r="E19" s="7">
        <f t="shared" si="1"/>
        <v>1436</v>
      </c>
      <c r="F19">
        <v>0.02</v>
      </c>
      <c r="G19" s="7">
        <f t="shared" si="2"/>
        <v>1464.5018659545547</v>
      </c>
      <c r="H19" s="7">
        <f t="shared" si="3"/>
        <v>-28.50186595455466</v>
      </c>
      <c r="I19" s="5">
        <f t="shared" si="4"/>
        <v>0.98053818392646619</v>
      </c>
      <c r="J19">
        <f t="shared" si="5"/>
        <v>0.02</v>
      </c>
      <c r="K19">
        <f t="shared" si="6"/>
        <v>1407.28</v>
      </c>
      <c r="L19">
        <f t="shared" si="7"/>
        <v>1464.72</v>
      </c>
      <c r="M19" t="b">
        <f t="shared" si="8"/>
        <v>0</v>
      </c>
      <c r="N19" s="2">
        <f t="shared" si="9"/>
        <v>2.1083591835603257</v>
      </c>
      <c r="O19" s="2">
        <f t="shared" si="10"/>
        <v>2.0989326061253282</v>
      </c>
      <c r="P19" s="2">
        <f t="shared" si="11"/>
        <v>0.99552895089769333</v>
      </c>
      <c r="Q19" s="9">
        <f t="shared" si="12"/>
        <v>2.881033865392206E-2</v>
      </c>
    </row>
    <row r="20" spans="1:17" x14ac:dyDescent="0.3">
      <c r="A20" s="12">
        <f t="shared" si="13"/>
        <v>75</v>
      </c>
      <c r="B20" s="13" t="s">
        <v>2</v>
      </c>
      <c r="C20" s="1">
        <f t="shared" si="0"/>
        <v>0.21224797382674304</v>
      </c>
      <c r="D20">
        <v>8712</v>
      </c>
      <c r="E20" s="7">
        <f t="shared" si="1"/>
        <v>1849</v>
      </c>
      <c r="F20">
        <v>0.05</v>
      </c>
      <c r="G20" s="7">
        <f t="shared" si="2"/>
        <v>1941.5595653775147</v>
      </c>
      <c r="H20" s="7">
        <f t="shared" si="3"/>
        <v>-92.559565377514673</v>
      </c>
      <c r="I20" s="5">
        <f t="shared" si="4"/>
        <v>0.952327207968241</v>
      </c>
      <c r="J20">
        <f t="shared" si="5"/>
        <v>0.02</v>
      </c>
      <c r="K20">
        <f t="shared" si="6"/>
        <v>1812.02</v>
      </c>
      <c r="L20">
        <f t="shared" si="7"/>
        <v>1885.98</v>
      </c>
      <c r="M20" t="b">
        <f t="shared" si="8"/>
        <v>1</v>
      </c>
      <c r="N20" s="2">
        <f t="shared" si="9"/>
        <v>2.1965940160278503</v>
      </c>
      <c r="O20" s="2">
        <f t="shared" si="10"/>
        <v>3.0063560010595891</v>
      </c>
      <c r="P20" s="2">
        <f t="shared" si="11"/>
        <v>1.3686443553625123</v>
      </c>
      <c r="Q20" s="9">
        <f t="shared" si="12"/>
        <v>3.960819757096648E-2</v>
      </c>
    </row>
    <row r="21" spans="1:17" x14ac:dyDescent="0.3">
      <c r="A21" s="12">
        <f t="shared" si="13"/>
        <v>80</v>
      </c>
      <c r="B21" s="13" t="s">
        <v>2</v>
      </c>
      <c r="C21" s="1">
        <f t="shared" si="0"/>
        <v>0.27253179303401259</v>
      </c>
      <c r="D21">
        <v>6961</v>
      </c>
      <c r="E21" s="7">
        <f t="shared" si="1"/>
        <v>1897</v>
      </c>
      <c r="F21">
        <v>0.05</v>
      </c>
      <c r="G21" s="7">
        <f t="shared" si="2"/>
        <v>1991.94850187525</v>
      </c>
      <c r="H21" s="7">
        <f t="shared" si="3"/>
        <v>-94.948501875250031</v>
      </c>
      <c r="I21" s="5">
        <f t="shared" si="4"/>
        <v>0.9523338571324188</v>
      </c>
      <c r="J21">
        <f t="shared" si="5"/>
        <v>0.02</v>
      </c>
      <c r="K21">
        <f t="shared" si="6"/>
        <v>1859.06</v>
      </c>
      <c r="L21">
        <f t="shared" si="7"/>
        <v>1934.94</v>
      </c>
      <c r="M21" t="b">
        <f t="shared" si="8"/>
        <v>1</v>
      </c>
      <c r="N21" s="2">
        <f t="shared" si="9"/>
        <v>2.2066492422267392</v>
      </c>
      <c r="O21" s="2">
        <f t="shared" si="10"/>
        <v>3.0369120446657654</v>
      </c>
      <c r="P21" s="2">
        <f t="shared" si="11"/>
        <v>1.3762549962862265</v>
      </c>
      <c r="Q21" s="9">
        <f t="shared" si="12"/>
        <v>3.9828447461427115E-2</v>
      </c>
    </row>
    <row r="22" spans="1:17" x14ac:dyDescent="0.3">
      <c r="A22" s="12">
        <f t="shared" si="13"/>
        <v>85</v>
      </c>
      <c r="B22" s="13" t="s">
        <v>2</v>
      </c>
      <c r="C22" s="1">
        <f t="shared" si="0"/>
        <v>0.34993774911115533</v>
      </c>
      <c r="D22">
        <v>6950</v>
      </c>
      <c r="E22" s="7">
        <f t="shared" si="1"/>
        <v>2432</v>
      </c>
      <c r="F22">
        <v>-0.04</v>
      </c>
      <c r="G22" s="7">
        <f t="shared" si="2"/>
        <v>2334.7846620696282</v>
      </c>
      <c r="H22" s="7">
        <f t="shared" si="3"/>
        <v>97.215337930371788</v>
      </c>
      <c r="I22" s="5">
        <f t="shared" si="4"/>
        <v>1.04163781761535</v>
      </c>
      <c r="J22">
        <f t="shared" si="5"/>
        <v>0.02</v>
      </c>
      <c r="K22">
        <f t="shared" si="6"/>
        <v>2383.36</v>
      </c>
      <c r="L22">
        <f t="shared" si="7"/>
        <v>2480.64</v>
      </c>
      <c r="M22" t="b">
        <f t="shared" si="8"/>
        <v>1</v>
      </c>
      <c r="N22" s="2">
        <f t="shared" si="9"/>
        <v>2.3093717894230332</v>
      </c>
      <c r="O22" s="2">
        <f t="shared" si="10"/>
        <v>2.9591109548643297</v>
      </c>
      <c r="P22" s="2">
        <f t="shared" si="11"/>
        <v>1.2813488795598502</v>
      </c>
      <c r="Q22" s="9">
        <f t="shared" si="12"/>
        <v>3.7081890105410506E-2</v>
      </c>
    </row>
    <row r="23" spans="1:17" x14ac:dyDescent="0.3">
      <c r="A23" s="12">
        <f t="shared" si="13"/>
        <v>90</v>
      </c>
      <c r="B23" s="13" t="s">
        <v>2</v>
      </c>
      <c r="C23" s="1">
        <f t="shared" si="0"/>
        <v>0.44932896411722156</v>
      </c>
      <c r="D23">
        <v>7476</v>
      </c>
      <c r="E23" s="7">
        <f t="shared" si="1"/>
        <v>3359</v>
      </c>
      <c r="F23">
        <v>0.04</v>
      </c>
      <c r="G23" s="7">
        <f t="shared" si="2"/>
        <v>3493.5506691699625</v>
      </c>
      <c r="H23" s="7">
        <f t="shared" si="3"/>
        <v>-134.55066916996248</v>
      </c>
      <c r="I23" s="5">
        <f t="shared" si="4"/>
        <v>0.96148598319831136</v>
      </c>
      <c r="J23">
        <f t="shared" si="5"/>
        <v>0.02</v>
      </c>
      <c r="K23">
        <f t="shared" si="6"/>
        <v>3291.82</v>
      </c>
      <c r="L23">
        <f t="shared" si="7"/>
        <v>3426.18</v>
      </c>
      <c r="M23" t="b">
        <f t="shared" si="8"/>
        <v>1</v>
      </c>
      <c r="N23" s="2">
        <f t="shared" si="9"/>
        <v>2.4547813927639917</v>
      </c>
      <c r="O23" s="2">
        <f t="shared" si="10"/>
        <v>3.3022126352466534</v>
      </c>
      <c r="P23" s="2">
        <f t="shared" si="11"/>
        <v>1.3452165822099891</v>
      </c>
      <c r="Q23" s="9">
        <f t="shared" si="12"/>
        <v>3.8930204150661805E-2</v>
      </c>
    </row>
    <row r="24" spans="1:17" x14ac:dyDescent="0.3">
      <c r="A24" s="12">
        <f t="shared" si="13"/>
        <v>95</v>
      </c>
      <c r="B24" s="13" t="s">
        <v>2</v>
      </c>
      <c r="C24" s="1">
        <f t="shared" si="0"/>
        <v>0.57694981038048665</v>
      </c>
      <c r="D24">
        <v>8593</v>
      </c>
      <c r="E24" s="7">
        <f t="shared" si="1"/>
        <v>4958</v>
      </c>
      <c r="F24">
        <v>0.01</v>
      </c>
      <c r="G24" s="7">
        <f t="shared" si="2"/>
        <v>5007.3070178055168</v>
      </c>
      <c r="H24" s="7">
        <f t="shared" si="3"/>
        <v>-49.307017805516807</v>
      </c>
      <c r="I24" s="5">
        <f t="shared" si="4"/>
        <v>0.99015298689890885</v>
      </c>
      <c r="J24">
        <f t="shared" si="5"/>
        <v>0.02</v>
      </c>
      <c r="K24">
        <f t="shared" si="6"/>
        <v>4858.84</v>
      </c>
      <c r="L24">
        <f t="shared" si="7"/>
        <v>5057.16</v>
      </c>
      <c r="M24" t="b">
        <f t="shared" si="8"/>
        <v>0</v>
      </c>
      <c r="N24" s="2">
        <f t="shared" si="9"/>
        <v>2.6774724413805679</v>
      </c>
      <c r="O24" s="2">
        <f t="shared" si="10"/>
        <v>2.3525290844061355</v>
      </c>
      <c r="P24" s="2">
        <f t="shared" si="11"/>
        <v>0.87863801996524604</v>
      </c>
      <c r="Q24" s="9">
        <f t="shared" si="12"/>
        <v>2.5427546719343653E-2</v>
      </c>
    </row>
    <row r="25" spans="1:17" x14ac:dyDescent="0.3">
      <c r="A25" s="12">
        <v>20</v>
      </c>
      <c r="B25" s="13" t="s">
        <v>3</v>
      </c>
      <c r="C25" s="1">
        <f>EXP(-(100-A25)/10*(0.45)-0.9)</f>
        <v>1.1108996538242306E-2</v>
      </c>
      <c r="D25">
        <v>7589</v>
      </c>
      <c r="E25" s="7">
        <f t="shared" si="1"/>
        <v>84</v>
      </c>
      <c r="F25">
        <v>-0.04</v>
      </c>
      <c r="G25" s="7">
        <f t="shared" si="2"/>
        <v>80.933927739572013</v>
      </c>
      <c r="H25" s="7">
        <f t="shared" si="3"/>
        <v>3.0660722604279869</v>
      </c>
      <c r="I25" s="5">
        <f t="shared" si="4"/>
        <v>1.0378836459079801</v>
      </c>
      <c r="J25">
        <f t="shared" si="5"/>
        <v>0.02</v>
      </c>
      <c r="K25">
        <f t="shared" si="6"/>
        <v>82.32</v>
      </c>
      <c r="L25">
        <f t="shared" si="7"/>
        <v>85.68</v>
      </c>
      <c r="M25" t="b">
        <f t="shared" si="8"/>
        <v>1</v>
      </c>
      <c r="N25" s="2">
        <f t="shared" si="9"/>
        <v>1.377019227709106</v>
      </c>
      <c r="O25" s="2">
        <f t="shared" si="10"/>
        <v>1.386570334937606</v>
      </c>
      <c r="P25" s="2">
        <f t="shared" si="11"/>
        <v>1.0069360739750814</v>
      </c>
      <c r="Q25" s="9">
        <f t="shared" si="12"/>
        <v>2.9140457711364011E-2</v>
      </c>
    </row>
    <row r="26" spans="1:17" x14ac:dyDescent="0.3">
      <c r="A26" s="12">
        <v>25</v>
      </c>
      <c r="B26" s="13" t="s">
        <v>3</v>
      </c>
      <c r="C26" s="1">
        <f t="shared" ref="C26:C40" si="14">EXP(-(100-A26)/10*(0.45)-0.9)</f>
        <v>1.3912048718937619E-2</v>
      </c>
      <c r="D26">
        <v>865</v>
      </c>
      <c r="E26" s="7">
        <f t="shared" si="1"/>
        <v>12</v>
      </c>
      <c r="F26">
        <v>0.05</v>
      </c>
      <c r="G26" s="7">
        <f t="shared" si="2"/>
        <v>12.635618248975092</v>
      </c>
      <c r="H26" s="7">
        <f t="shared" si="3"/>
        <v>-0.63561824897509211</v>
      </c>
      <c r="I26" s="5">
        <f t="shared" si="4"/>
        <v>0.94969630797237414</v>
      </c>
      <c r="J26">
        <f t="shared" si="5"/>
        <v>0.02</v>
      </c>
      <c r="K26">
        <f t="shared" si="6"/>
        <v>11.76</v>
      </c>
      <c r="L26">
        <f t="shared" si="7"/>
        <v>12.24</v>
      </c>
      <c r="M26" t="b">
        <f t="shared" si="8"/>
        <v>1</v>
      </c>
      <c r="N26" s="2">
        <f t="shared" si="9"/>
        <v>0.94169579435016759</v>
      </c>
      <c r="O26" s="2">
        <f t="shared" si="10"/>
        <v>0.9487582882683484</v>
      </c>
      <c r="P26" s="2">
        <f t="shared" si="11"/>
        <v>1.0074997615584069</v>
      </c>
      <c r="Q26" s="9">
        <f t="shared" si="12"/>
        <v>2.9156770677607708E-2</v>
      </c>
    </row>
    <row r="27" spans="1:17" x14ac:dyDescent="0.3">
      <c r="A27" s="12">
        <v>30</v>
      </c>
      <c r="B27" s="13" t="s">
        <v>3</v>
      </c>
      <c r="C27" s="1">
        <f t="shared" si="14"/>
        <v>1.7422374639493515E-2</v>
      </c>
      <c r="D27">
        <v>1936</v>
      </c>
      <c r="E27" s="7">
        <f t="shared" si="1"/>
        <v>34</v>
      </c>
      <c r="F27">
        <v>0.03</v>
      </c>
      <c r="G27" s="7">
        <f t="shared" si="2"/>
        <v>34.741608821121233</v>
      </c>
      <c r="H27" s="7">
        <f t="shared" si="3"/>
        <v>-0.74160882112123261</v>
      </c>
      <c r="I27" s="5">
        <f t="shared" si="4"/>
        <v>0.97865358438235683</v>
      </c>
      <c r="J27">
        <f t="shared" si="5"/>
        <v>0.02</v>
      </c>
      <c r="K27">
        <f t="shared" si="6"/>
        <v>33.32</v>
      </c>
      <c r="L27">
        <f t="shared" si="7"/>
        <v>34.68</v>
      </c>
      <c r="M27" t="b">
        <f t="shared" si="8"/>
        <v>1</v>
      </c>
      <c r="N27" s="2">
        <f t="shared" si="9"/>
        <v>1.1784829365819494</v>
      </c>
      <c r="O27" s="2">
        <f t="shared" si="10"/>
        <v>1.1693561244955015</v>
      </c>
      <c r="P27" s="2">
        <f t="shared" si="11"/>
        <v>0.99225545673752469</v>
      </c>
      <c r="Q27" s="9">
        <f t="shared" si="12"/>
        <v>2.8715604618059967E-2</v>
      </c>
    </row>
    <row r="28" spans="1:17" x14ac:dyDescent="0.3">
      <c r="A28" s="12">
        <v>35</v>
      </c>
      <c r="B28" s="13" t="s">
        <v>3</v>
      </c>
      <c r="C28" s="1">
        <f t="shared" si="14"/>
        <v>2.1818435531042762E-2</v>
      </c>
      <c r="D28">
        <v>4723</v>
      </c>
      <c r="E28" s="7">
        <f t="shared" si="1"/>
        <v>103</v>
      </c>
      <c r="F28">
        <v>0.02</v>
      </c>
      <c r="G28" s="7">
        <f t="shared" si="2"/>
        <v>105.10944043337727</v>
      </c>
      <c r="H28" s="7">
        <f t="shared" si="3"/>
        <v>-2.1094404333772729</v>
      </c>
      <c r="I28" s="5">
        <f t="shared" si="4"/>
        <v>0.97993100881633632</v>
      </c>
      <c r="J28">
        <f t="shared" si="5"/>
        <v>0.02</v>
      </c>
      <c r="K28">
        <f t="shared" si="6"/>
        <v>100.94</v>
      </c>
      <c r="L28">
        <f t="shared" si="7"/>
        <v>105.06</v>
      </c>
      <c r="M28" t="b">
        <f t="shared" si="8"/>
        <v>1</v>
      </c>
      <c r="N28" s="2">
        <f t="shared" si="9"/>
        <v>1.418408105326096</v>
      </c>
      <c r="O28" s="2">
        <f t="shared" si="10"/>
        <v>1.4151148230758568</v>
      </c>
      <c r="P28" s="2">
        <f t="shared" si="11"/>
        <v>0.99767818427018784</v>
      </c>
      <c r="Q28" s="9">
        <f t="shared" si="12"/>
        <v>2.8872536886582239E-2</v>
      </c>
    </row>
    <row r="29" spans="1:17" x14ac:dyDescent="0.3">
      <c r="A29" s="12">
        <v>40</v>
      </c>
      <c r="B29" s="13" t="s">
        <v>3</v>
      </c>
      <c r="C29" s="1">
        <f t="shared" si="14"/>
        <v>2.7323722447292559E-2</v>
      </c>
      <c r="D29">
        <v>4022</v>
      </c>
      <c r="E29" s="7">
        <f t="shared" si="1"/>
        <v>110</v>
      </c>
      <c r="F29">
        <v>0.05</v>
      </c>
      <c r="G29" s="7">
        <f t="shared" si="2"/>
        <v>115.39081226716122</v>
      </c>
      <c r="H29" s="7">
        <f t="shared" si="3"/>
        <v>-5.3908122671612233</v>
      </c>
      <c r="I29" s="5">
        <f t="shared" si="4"/>
        <v>0.95328213606227141</v>
      </c>
      <c r="J29">
        <f t="shared" si="5"/>
        <v>0.02</v>
      </c>
      <c r="K29">
        <f t="shared" si="6"/>
        <v>107.8</v>
      </c>
      <c r="L29">
        <f t="shared" si="7"/>
        <v>112.2</v>
      </c>
      <c r="M29" t="b">
        <f t="shared" si="8"/>
        <v>1</v>
      </c>
      <c r="N29" s="2">
        <f t="shared" si="9"/>
        <v>1.4318709179633531</v>
      </c>
      <c r="O29" s="2">
        <f t="shared" si="10"/>
        <v>1.4756753221471832</v>
      </c>
      <c r="P29" s="2">
        <f t="shared" si="11"/>
        <v>1.0305924253606156</v>
      </c>
      <c r="Q29" s="9">
        <f t="shared" si="12"/>
        <v>2.9825066123925846E-2</v>
      </c>
    </row>
    <row r="30" spans="1:17" x14ac:dyDescent="0.3">
      <c r="A30" s="12">
        <v>45</v>
      </c>
      <c r="B30" s="13" t="s">
        <v>3</v>
      </c>
      <c r="C30" s="1">
        <f t="shared" si="14"/>
        <v>3.4218118311666032E-2</v>
      </c>
      <c r="D30">
        <v>1961</v>
      </c>
      <c r="E30" s="7">
        <f t="shared" si="1"/>
        <v>67</v>
      </c>
      <c r="F30">
        <v>0.04</v>
      </c>
      <c r="G30" s="7">
        <f t="shared" si="2"/>
        <v>69.78579920954418</v>
      </c>
      <c r="H30" s="7">
        <f t="shared" si="3"/>
        <v>-2.7857992095441801</v>
      </c>
      <c r="I30" s="5">
        <f t="shared" si="4"/>
        <v>0.96008071497212022</v>
      </c>
      <c r="J30">
        <f t="shared" si="5"/>
        <v>0.02</v>
      </c>
      <c r="K30">
        <f t="shared" si="6"/>
        <v>65.66</v>
      </c>
      <c r="L30">
        <f t="shared" si="7"/>
        <v>68.34</v>
      </c>
      <c r="M30" t="b">
        <f t="shared" si="8"/>
        <v>1</v>
      </c>
      <c r="N30" s="2">
        <f t="shared" si="9"/>
        <v>1.3191016087901408</v>
      </c>
      <c r="O30" s="2">
        <f t="shared" si="10"/>
        <v>1.3371437157485841</v>
      </c>
      <c r="P30" s="2">
        <f t="shared" si="11"/>
        <v>1.0136775717944817</v>
      </c>
      <c r="Q30" s="9">
        <f t="shared" si="12"/>
        <v>2.933555483539688E-2</v>
      </c>
    </row>
    <row r="31" spans="1:17" x14ac:dyDescent="0.3">
      <c r="A31" s="12">
        <v>50</v>
      </c>
      <c r="B31" s="13" t="s">
        <v>3</v>
      </c>
      <c r="C31" s="1">
        <f t="shared" si="14"/>
        <v>4.2852126867040187E-2</v>
      </c>
      <c r="D31">
        <v>6052</v>
      </c>
      <c r="E31" s="7">
        <f t="shared" si="1"/>
        <v>259</v>
      </c>
      <c r="F31">
        <v>0.03</v>
      </c>
      <c r="G31" s="7">
        <f t="shared" si="2"/>
        <v>267.12130395330701</v>
      </c>
      <c r="H31" s="7">
        <f t="shared" si="3"/>
        <v>-8.1213039533070059</v>
      </c>
      <c r="I31" s="5">
        <f t="shared" si="4"/>
        <v>0.96959694403585794</v>
      </c>
      <c r="J31">
        <f t="shared" si="5"/>
        <v>0.02</v>
      </c>
      <c r="K31">
        <f t="shared" si="6"/>
        <v>253.82</v>
      </c>
      <c r="L31">
        <f t="shared" si="7"/>
        <v>264.18</v>
      </c>
      <c r="M31" t="b">
        <f t="shared" si="8"/>
        <v>1</v>
      </c>
      <c r="N31" s="2">
        <f t="shared" si="9"/>
        <v>1.630855552121709</v>
      </c>
      <c r="O31" s="2">
        <f t="shared" si="10"/>
        <v>1.6600476905448307</v>
      </c>
      <c r="P31" s="2">
        <f t="shared" si="11"/>
        <v>1.0178998921057989</v>
      </c>
      <c r="Q31" s="9">
        <f t="shared" si="12"/>
        <v>2.9457747643516313E-2</v>
      </c>
    </row>
    <row r="32" spans="1:17" x14ac:dyDescent="0.3">
      <c r="A32" s="12">
        <v>55</v>
      </c>
      <c r="B32" s="13" t="s">
        <v>3</v>
      </c>
      <c r="C32" s="1">
        <f t="shared" si="14"/>
        <v>5.3664691912730135E-2</v>
      </c>
      <c r="D32">
        <v>2865</v>
      </c>
      <c r="E32" s="7">
        <f t="shared" si="1"/>
        <v>154</v>
      </c>
      <c r="F32">
        <v>-0.02</v>
      </c>
      <c r="G32" s="7">
        <f t="shared" si="2"/>
        <v>150.67435548337241</v>
      </c>
      <c r="H32" s="7">
        <f t="shared" si="3"/>
        <v>3.325644516627591</v>
      </c>
      <c r="I32" s="5">
        <f t="shared" si="4"/>
        <v>1.0220717354718971</v>
      </c>
      <c r="J32">
        <f t="shared" si="5"/>
        <v>0.02</v>
      </c>
      <c r="K32">
        <f t="shared" si="6"/>
        <v>150.91999999999999</v>
      </c>
      <c r="L32">
        <f t="shared" si="7"/>
        <v>157.08000000000001</v>
      </c>
      <c r="M32" t="b">
        <f t="shared" si="8"/>
        <v>1</v>
      </c>
      <c r="N32" s="2">
        <f t="shared" si="9"/>
        <v>1.5098790885281097</v>
      </c>
      <c r="O32" s="2">
        <f t="shared" si="10"/>
        <v>1.5089085145262631</v>
      </c>
      <c r="P32" s="2">
        <f t="shared" si="11"/>
        <v>0.9993571842876553</v>
      </c>
      <c r="Q32" s="9">
        <f t="shared" si="12"/>
        <v>2.8921126693096214E-2</v>
      </c>
    </row>
    <row r="33" spans="1:17" x14ac:dyDescent="0.3">
      <c r="A33" s="12">
        <v>60</v>
      </c>
      <c r="B33" s="13" t="s">
        <v>3</v>
      </c>
      <c r="C33" s="1">
        <f t="shared" si="14"/>
        <v>6.7205512739749756E-2</v>
      </c>
      <c r="D33">
        <v>5149</v>
      </c>
      <c r="E33" s="7">
        <f t="shared" si="1"/>
        <v>346</v>
      </c>
      <c r="F33">
        <v>-0.03</v>
      </c>
      <c r="G33" s="7">
        <f t="shared" si="2"/>
        <v>335.65994954406233</v>
      </c>
      <c r="H33" s="7">
        <f t="shared" si="3"/>
        <v>10.340050455937671</v>
      </c>
      <c r="I33" s="5">
        <f t="shared" si="4"/>
        <v>1.0308051361801815</v>
      </c>
      <c r="J33">
        <f t="shared" si="5"/>
        <v>0.02</v>
      </c>
      <c r="K33">
        <f t="shared" si="6"/>
        <v>339.08</v>
      </c>
      <c r="L33">
        <f t="shared" si="7"/>
        <v>352.92</v>
      </c>
      <c r="M33" t="b">
        <f t="shared" si="8"/>
        <v>1</v>
      </c>
      <c r="N33" s="2">
        <f t="shared" si="9"/>
        <v>1.7036265662392298</v>
      </c>
      <c r="O33" s="2">
        <f t="shared" si="10"/>
        <v>1.7372002747697164</v>
      </c>
      <c r="P33" s="2">
        <f t="shared" si="11"/>
        <v>1.0197071994507581</v>
      </c>
      <c r="Q33" s="9">
        <f t="shared" si="12"/>
        <v>2.9510050629394366E-2</v>
      </c>
    </row>
    <row r="34" spans="1:17" x14ac:dyDescent="0.3">
      <c r="A34" s="12">
        <v>65</v>
      </c>
      <c r="B34" s="13" t="s">
        <v>3</v>
      </c>
      <c r="C34" s="1">
        <f t="shared" si="14"/>
        <v>8.4162990257310361E-2</v>
      </c>
      <c r="D34">
        <v>3803</v>
      </c>
      <c r="E34" s="7">
        <f t="shared" si="1"/>
        <v>320</v>
      </c>
      <c r="F34">
        <v>-0.04</v>
      </c>
      <c r="G34" s="7">
        <f t="shared" si="2"/>
        <v>307.26897787060926</v>
      </c>
      <c r="H34" s="7">
        <f t="shared" si="3"/>
        <v>12.731022129390738</v>
      </c>
      <c r="I34" s="5">
        <f t="shared" si="4"/>
        <v>1.0414328261109125</v>
      </c>
      <c r="J34">
        <f t="shared" si="5"/>
        <v>0.02</v>
      </c>
      <c r="K34">
        <f t="shared" si="6"/>
        <v>313.60000000000002</v>
      </c>
      <c r="L34">
        <f t="shared" si="7"/>
        <v>326.39999999999998</v>
      </c>
      <c r="M34" t="b">
        <f t="shared" si="8"/>
        <v>1</v>
      </c>
      <c r="N34" s="2">
        <f t="shared" si="9"/>
        <v>1.6800875485893194</v>
      </c>
      <c r="O34" s="2">
        <f t="shared" si="10"/>
        <v>1.7647693864180289</v>
      </c>
      <c r="P34" s="2">
        <f t="shared" si="11"/>
        <v>1.0504032292244605</v>
      </c>
      <c r="Q34" s="9">
        <f t="shared" si="12"/>
        <v>3.0398385431022978E-2</v>
      </c>
    </row>
    <row r="35" spans="1:17" x14ac:dyDescent="0.3">
      <c r="A35" s="12">
        <v>70</v>
      </c>
      <c r="B35" s="13" t="s">
        <v>3</v>
      </c>
      <c r="C35" s="1">
        <f t="shared" si="14"/>
        <v>0.10539922456186433</v>
      </c>
      <c r="D35">
        <v>8909</v>
      </c>
      <c r="E35" s="7">
        <f t="shared" si="1"/>
        <v>939</v>
      </c>
      <c r="F35">
        <v>0.03</v>
      </c>
      <c r="G35" s="7">
        <f t="shared" si="2"/>
        <v>967.17174237029883</v>
      </c>
      <c r="H35" s="7">
        <f t="shared" si="3"/>
        <v>-28.17174237029883</v>
      </c>
      <c r="I35" s="5">
        <f t="shared" si="4"/>
        <v>0.97087203736819605</v>
      </c>
      <c r="J35">
        <f t="shared" si="5"/>
        <v>0.02</v>
      </c>
      <c r="K35">
        <f t="shared" si="6"/>
        <v>920.22</v>
      </c>
      <c r="L35">
        <f t="shared" si="7"/>
        <v>957.78</v>
      </c>
      <c r="M35" t="b">
        <f t="shared" si="8"/>
        <v>1</v>
      </c>
      <c r="N35" s="2">
        <f t="shared" si="9"/>
        <v>1.972735616744147</v>
      </c>
      <c r="O35" s="2">
        <f t="shared" si="10"/>
        <v>2.0654048701750329</v>
      </c>
      <c r="P35" s="2">
        <f t="shared" si="11"/>
        <v>1.0469749989021995</v>
      </c>
      <c r="Q35" s="9">
        <f t="shared" si="12"/>
        <v>3.0299173372469658E-2</v>
      </c>
    </row>
    <row r="36" spans="1:17" x14ac:dyDescent="0.3">
      <c r="A36" s="12">
        <v>75</v>
      </c>
      <c r="B36" s="13" t="s">
        <v>3</v>
      </c>
      <c r="C36" s="1">
        <f t="shared" si="14"/>
        <v>0.13199384318783022</v>
      </c>
      <c r="D36">
        <v>9055</v>
      </c>
      <c r="E36" s="7">
        <f t="shared" si="1"/>
        <v>1195</v>
      </c>
      <c r="F36">
        <v>-0.01</v>
      </c>
      <c r="G36" s="7">
        <f t="shared" si="2"/>
        <v>1183.2522075651445</v>
      </c>
      <c r="H36" s="7">
        <f t="shared" si="3"/>
        <v>11.747792434855455</v>
      </c>
      <c r="I36" s="5">
        <f t="shared" si="4"/>
        <v>1.009928392577462</v>
      </c>
      <c r="J36">
        <f t="shared" si="5"/>
        <v>0.02</v>
      </c>
      <c r="K36">
        <f t="shared" si="6"/>
        <v>1171.0999999999999</v>
      </c>
      <c r="L36">
        <f t="shared" si="7"/>
        <v>1218.9000000000001</v>
      </c>
      <c r="M36" t="b">
        <f t="shared" si="8"/>
        <v>0</v>
      </c>
      <c r="N36" s="2">
        <f t="shared" si="9"/>
        <v>2.0460945179894288</v>
      </c>
      <c r="O36" s="2">
        <f t="shared" si="10"/>
        <v>1.9630481026307554</v>
      </c>
      <c r="P36" s="2">
        <f t="shared" si="11"/>
        <v>0.95941222918661739</v>
      </c>
      <c r="Q36" s="9">
        <f t="shared" si="12"/>
        <v>2.7765130493348448E-2</v>
      </c>
    </row>
    <row r="37" spans="1:17" x14ac:dyDescent="0.3">
      <c r="A37" s="12">
        <v>80</v>
      </c>
      <c r="B37" s="13" t="s">
        <v>3</v>
      </c>
      <c r="C37" s="1">
        <f t="shared" si="14"/>
        <v>0.16529888822158653</v>
      </c>
      <c r="D37">
        <v>7958</v>
      </c>
      <c r="E37" s="7">
        <f t="shared" si="1"/>
        <v>1315</v>
      </c>
      <c r="F37">
        <v>-0.03</v>
      </c>
      <c r="G37" s="7">
        <f t="shared" si="2"/>
        <v>1275.9850958933639</v>
      </c>
      <c r="H37" s="7">
        <f t="shared" si="3"/>
        <v>39.014904106636095</v>
      </c>
      <c r="I37" s="5">
        <f t="shared" si="4"/>
        <v>1.030576300798655</v>
      </c>
      <c r="J37">
        <f t="shared" si="5"/>
        <v>0.02</v>
      </c>
      <c r="K37">
        <f t="shared" si="6"/>
        <v>1288.7</v>
      </c>
      <c r="L37">
        <f t="shared" si="7"/>
        <v>1341.3</v>
      </c>
      <c r="M37" t="b">
        <f t="shared" si="8"/>
        <v>1</v>
      </c>
      <c r="N37" s="2">
        <f t="shared" si="9"/>
        <v>2.0737313414702685</v>
      </c>
      <c r="O37" s="2">
        <f t="shared" si="10"/>
        <v>2.2150215620707576</v>
      </c>
      <c r="P37" s="2">
        <f t="shared" si="11"/>
        <v>1.0681333294120514</v>
      </c>
      <c r="Q37" s="9">
        <f t="shared" si="12"/>
        <v>3.0911489736339112E-2</v>
      </c>
    </row>
    <row r="38" spans="1:17" x14ac:dyDescent="0.3">
      <c r="A38" s="12">
        <v>85</v>
      </c>
      <c r="B38" s="13" t="s">
        <v>3</v>
      </c>
      <c r="C38" s="1">
        <f t="shared" si="14"/>
        <v>0.20700755268115259</v>
      </c>
      <c r="D38">
        <v>8436</v>
      </c>
      <c r="E38" s="7">
        <f t="shared" si="1"/>
        <v>1746</v>
      </c>
      <c r="F38">
        <v>0.04</v>
      </c>
      <c r="G38" s="7">
        <f t="shared" si="2"/>
        <v>1816.1683429949314</v>
      </c>
      <c r="H38" s="7">
        <f t="shared" si="3"/>
        <v>-70.168342994931436</v>
      </c>
      <c r="I38" s="5">
        <f t="shared" si="4"/>
        <v>0.96136462610111284</v>
      </c>
      <c r="J38">
        <f t="shared" si="5"/>
        <v>0.02</v>
      </c>
      <c r="K38">
        <f t="shared" si="6"/>
        <v>1711.08</v>
      </c>
      <c r="L38">
        <f t="shared" si="7"/>
        <v>1780.92</v>
      </c>
      <c r="M38" t="b">
        <f t="shared" si="8"/>
        <v>1</v>
      </c>
      <c r="N38" s="2">
        <f t="shared" si="9"/>
        <v>2.1757855948857281</v>
      </c>
      <c r="O38" s="2">
        <f t="shared" si="10"/>
        <v>2.6165458985723795</v>
      </c>
      <c r="P38" s="2">
        <f t="shared" si="11"/>
        <v>1.2025752467167152</v>
      </c>
      <c r="Q38" s="9">
        <f t="shared" si="12"/>
        <v>3.4802202470848018E-2</v>
      </c>
    </row>
    <row r="39" spans="1:17" x14ac:dyDescent="0.3">
      <c r="A39" s="12">
        <v>90</v>
      </c>
      <c r="B39" s="13" t="s">
        <v>3</v>
      </c>
      <c r="C39" s="1">
        <f t="shared" si="14"/>
        <v>0.25924026064589151</v>
      </c>
      <c r="D39">
        <v>9948</v>
      </c>
      <c r="E39" s="7">
        <f t="shared" si="1"/>
        <v>2579</v>
      </c>
      <c r="F39">
        <v>-0.05</v>
      </c>
      <c r="G39" s="7">
        <f t="shared" si="2"/>
        <v>2449.976007260062</v>
      </c>
      <c r="H39" s="7">
        <f t="shared" si="3"/>
        <v>129.02399273993797</v>
      </c>
      <c r="I39" s="5">
        <f t="shared" si="4"/>
        <v>1.0526633699095822</v>
      </c>
      <c r="J39">
        <f t="shared" si="5"/>
        <v>0.02</v>
      </c>
      <c r="K39">
        <f t="shared" si="6"/>
        <v>2527.42</v>
      </c>
      <c r="L39">
        <f t="shared" si="7"/>
        <v>2630.58</v>
      </c>
      <c r="M39" t="b">
        <f t="shared" si="8"/>
        <v>1</v>
      </c>
      <c r="N39" s="2">
        <f t="shared" si="9"/>
        <v>2.3353212035085047</v>
      </c>
      <c r="O39" s="2">
        <f t="shared" si="10"/>
        <v>3.5550699644857136</v>
      </c>
      <c r="P39" s="2">
        <f t="shared" si="11"/>
        <v>1.5223044946214255</v>
      </c>
      <c r="Q39" s="9">
        <f t="shared" si="12"/>
        <v>4.4055080452339419E-2</v>
      </c>
    </row>
    <row r="40" spans="1:17" x14ac:dyDescent="0.3">
      <c r="A40" s="14">
        <v>95</v>
      </c>
      <c r="B40" s="15" t="s">
        <v>3</v>
      </c>
      <c r="C40" s="1">
        <f t="shared" si="14"/>
        <v>0.32465246735834974</v>
      </c>
      <c r="D40">
        <v>8601</v>
      </c>
      <c r="E40" s="7">
        <f t="shared" si="1"/>
        <v>2792</v>
      </c>
      <c r="F40">
        <v>0.02</v>
      </c>
      <c r="G40" s="7">
        <f t="shared" si="2"/>
        <v>2848.1825891841495</v>
      </c>
      <c r="H40" s="7">
        <f t="shared" si="3"/>
        <v>-56.182589184149492</v>
      </c>
      <c r="I40" s="5">
        <f t="shared" si="4"/>
        <v>0.98027423192687846</v>
      </c>
      <c r="J40">
        <f t="shared" si="5"/>
        <v>0.02</v>
      </c>
      <c r="K40">
        <f t="shared" si="6"/>
        <v>2736.16</v>
      </c>
      <c r="L40">
        <f t="shared" si="7"/>
        <v>2847.84</v>
      </c>
      <c r="M40" t="b">
        <f t="shared" si="8"/>
        <v>1</v>
      </c>
      <c r="N40" s="2">
        <f t="shared" si="9"/>
        <v>2.3686598946701287</v>
      </c>
      <c r="O40" s="2">
        <f t="shared" si="10"/>
        <v>2.3643110318292546</v>
      </c>
      <c r="P40" s="2">
        <f t="shared" si="11"/>
        <v>0.99816399861767413</v>
      </c>
      <c r="Q40" s="9">
        <f t="shared" si="12"/>
        <v>2.8886596222437205E-2</v>
      </c>
    </row>
  </sheetData>
  <conditionalFormatting sqref="P9:P40">
    <cfRule type="colorScale" priority="1">
      <colorScale>
        <cfvo type="num" val="1"/>
        <cfvo type="num" val="1.1000000000000001"/>
        <cfvo type="percentile" val="90"/>
        <color theme="0"/>
        <color theme="0"/>
        <color rgb="FFFF8F7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13E9-7DD9-4AAE-B05C-3F688E385175}">
  <dimension ref="A1:Q21"/>
  <sheetViews>
    <sheetView showGridLines="0" topLeftCell="A4" workbookViewId="0">
      <selection activeCell="C6" sqref="C6"/>
    </sheetView>
  </sheetViews>
  <sheetFormatPr defaultRowHeight="14.4" outlineLevelRow="1" outlineLevelCol="1" x14ac:dyDescent="0.3"/>
  <cols>
    <col min="1" max="1" width="19.6640625" bestFit="1" customWidth="1"/>
    <col min="2" max="2" width="21.5546875" customWidth="1"/>
    <col min="3" max="3" width="9.77734375" customWidth="1"/>
    <col min="4" max="4" width="9.21875" bestFit="1" customWidth="1"/>
    <col min="5" max="5" width="11.88671875" bestFit="1" customWidth="1"/>
    <col min="6" max="6" width="11.21875" bestFit="1" customWidth="1"/>
    <col min="7" max="7" width="20" hidden="1" customWidth="1" outlineLevel="1"/>
    <col min="8" max="8" width="15.21875" bestFit="1" customWidth="1" collapsed="1"/>
    <col min="9" max="9" width="15.6640625" bestFit="1" customWidth="1"/>
    <col min="10" max="10" width="5.44140625" bestFit="1" customWidth="1"/>
    <col min="11" max="11" width="8.77734375" bestFit="1" customWidth="1"/>
    <col min="12" max="13" width="21.109375" hidden="1" customWidth="1" outlineLevel="1"/>
    <col min="14" max="14" width="20.44140625" hidden="1" customWidth="1" outlineLevel="1"/>
    <col min="15" max="15" width="11.33203125" hidden="1" customWidth="1" outlineLevel="1"/>
    <col min="16" max="16" width="8.109375" hidden="1" customWidth="1" outlineLevel="1"/>
    <col min="17" max="17" width="8.88671875" collapsed="1"/>
  </cols>
  <sheetData>
    <row r="1" spans="1:17" hidden="1" outlineLevel="1" x14ac:dyDescent="0.3">
      <c r="B1" t="s">
        <v>34</v>
      </c>
      <c r="C1" s="7">
        <f>SUM('age_sex - splat calc'!$E$9:$E$40)</f>
        <v>31594</v>
      </c>
    </row>
    <row r="2" spans="1:17" hidden="1" outlineLevel="1" x14ac:dyDescent="0.3">
      <c r="B2" t="s">
        <v>35</v>
      </c>
      <c r="C2" s="7">
        <f>SUM('age_sex - splat calc'!G9:G40)</f>
        <v>31961.941558490253</v>
      </c>
    </row>
    <row r="3" spans="1:17" hidden="1" outlineLevel="1" x14ac:dyDescent="0.3">
      <c r="B3" s="7"/>
    </row>
    <row r="4" spans="1:17" collapsed="1" x14ac:dyDescent="0.3">
      <c r="B4" s="6" t="s">
        <v>9</v>
      </c>
      <c r="C4" s="6">
        <v>0.02</v>
      </c>
    </row>
    <row r="5" spans="1:17" x14ac:dyDescent="0.3">
      <c r="B5" t="s">
        <v>24</v>
      </c>
      <c r="C5" s="2">
        <f>SUM($Q$10:$Q$41)</f>
        <v>18.730141601072994</v>
      </c>
    </row>
    <row r="6" spans="1:17" x14ac:dyDescent="0.3">
      <c r="B6" s="6" t="s">
        <v>12</v>
      </c>
      <c r="C6" s="8">
        <f>C5/COUNTA(A10:A41)</f>
        <v>1.5608451334227496</v>
      </c>
    </row>
    <row r="7" spans="1:17" x14ac:dyDescent="0.3">
      <c r="B7" t="s">
        <v>22</v>
      </c>
      <c r="C7" s="5">
        <f>SUM($E$10:$E$40)/SUM($H$10:$H$40)</f>
        <v>0.98848813493332621</v>
      </c>
    </row>
    <row r="9" spans="1:17" x14ac:dyDescent="0.3">
      <c r="A9" s="3" t="s">
        <v>28</v>
      </c>
      <c r="B9" s="3" t="s">
        <v>27</v>
      </c>
      <c r="C9" s="3" t="s">
        <v>26</v>
      </c>
      <c r="D9" s="3" t="s">
        <v>33</v>
      </c>
      <c r="E9" s="3" t="s">
        <v>20</v>
      </c>
      <c r="F9" s="3" t="s">
        <v>7</v>
      </c>
      <c r="G9" s="3" t="s">
        <v>36</v>
      </c>
      <c r="H9" s="3" t="s">
        <v>8</v>
      </c>
      <c r="I9" s="3" t="s">
        <v>23</v>
      </c>
      <c r="J9" s="3" t="s">
        <v>21</v>
      </c>
      <c r="K9" s="3" t="s">
        <v>9</v>
      </c>
      <c r="L9" s="3" t="s">
        <v>15</v>
      </c>
      <c r="M9" s="3" t="s">
        <v>14</v>
      </c>
      <c r="N9" s="3" t="s">
        <v>16</v>
      </c>
      <c r="O9" s="3" t="s">
        <v>10</v>
      </c>
      <c r="P9" s="3" t="s">
        <v>11</v>
      </c>
      <c r="Q9" s="3" t="s">
        <v>12</v>
      </c>
    </row>
    <row r="10" spans="1:17" x14ac:dyDescent="0.3">
      <c r="A10">
        <v>2020</v>
      </c>
      <c r="B10" t="s">
        <v>29</v>
      </c>
      <c r="C10" t="s">
        <v>30</v>
      </c>
      <c r="D10" s="5">
        <v>5.7971014492753617E-2</v>
      </c>
      <c r="E10" s="7">
        <f>$C$1*D10</f>
        <v>1831.5362318840578</v>
      </c>
      <c r="F10" s="4">
        <v>-0.1</v>
      </c>
      <c r="G10">
        <f>E10*(1+F10)</f>
        <v>1648.3826086956519</v>
      </c>
      <c r="H10" s="7">
        <f>E10*(1+F10)</f>
        <v>1648.3826086956519</v>
      </c>
      <c r="I10" s="7">
        <f>E10-H10</f>
        <v>183.15362318840585</v>
      </c>
      <c r="J10" s="9">
        <f>E10/H10</f>
        <v>1.1111111111111112</v>
      </c>
      <c r="K10">
        <v>0.02</v>
      </c>
      <c r="L10" s="7">
        <f>E10*(1-K10)</f>
        <v>1794.9055072463766</v>
      </c>
      <c r="M10" s="7">
        <f>E10*(1+K10)</f>
        <v>1868.1669565217389</v>
      </c>
      <c r="N10" t="b">
        <f>OR(H10&lt;L10,H10&gt;M10)</f>
        <v>1</v>
      </c>
      <c r="O10">
        <f>-LOG(_xlfn.POISSON.DIST(ROUND(E10*(1+K10),0),E10,FALSE))</f>
        <v>2.1914002575326958</v>
      </c>
      <c r="P10">
        <f>-LOG(_xlfn.POISSON.DIST(E10,H10,FALSE))</f>
        <v>6.2698452920957557</v>
      </c>
      <c r="Q10" s="2">
        <f>P10/O10</f>
        <v>2.8611136968446802</v>
      </c>
    </row>
    <row r="11" spans="1:17" x14ac:dyDescent="0.3">
      <c r="A11">
        <v>2020</v>
      </c>
      <c r="B11" t="s">
        <v>31</v>
      </c>
      <c r="C11" t="s">
        <v>30</v>
      </c>
      <c r="D11" s="5">
        <v>8.6956521739130418E-2</v>
      </c>
      <c r="E11" s="7">
        <f>$C$1*D11</f>
        <v>2747.3043478260865</v>
      </c>
      <c r="F11" s="4">
        <v>0.02</v>
      </c>
      <c r="G11">
        <f t="shared" ref="G11:G21" si="0">E11*(1+F11)</f>
        <v>2802.2504347826084</v>
      </c>
      <c r="H11" s="7">
        <f t="shared" ref="H11:H20" si="1">E11*(1+F11)</f>
        <v>2802.2504347826084</v>
      </c>
      <c r="I11" s="7">
        <f>E11-H11</f>
        <v>-54.946086956521867</v>
      </c>
      <c r="J11" s="9">
        <f>E11/H11</f>
        <v>0.98039215686274506</v>
      </c>
      <c r="K11">
        <v>0.02</v>
      </c>
      <c r="L11" s="7">
        <f>E11*(1-K11)</f>
        <v>2692.3582608695647</v>
      </c>
      <c r="M11" s="7">
        <f>E11*(1+K11)</f>
        <v>2802.2504347826084</v>
      </c>
      <c r="N11" t="b">
        <f t="shared" ref="N11:N21" si="2">OR(H11&lt;L11,H11&gt;M11)</f>
        <v>0</v>
      </c>
      <c r="O11">
        <f>-LOG(_xlfn.POISSON.DIST(ROUND(E11*(1+K11),0),E11,FALSE))</f>
        <v>2.3577406855076219</v>
      </c>
      <c r="P11">
        <f>-LOG(_xlfn.POISSON.DIST(E11,H11,FALSE))</f>
        <v>2.3566502976728438</v>
      </c>
      <c r="Q11" s="2">
        <f t="shared" ref="Q11:Q21" si="3">P11/O11</f>
        <v>0.99953752851554867</v>
      </c>
    </row>
    <row r="12" spans="1:17" x14ac:dyDescent="0.3">
      <c r="A12">
        <v>2020</v>
      </c>
      <c r="B12" t="s">
        <v>29</v>
      </c>
      <c r="C12" t="s">
        <v>32</v>
      </c>
      <c r="D12" s="5">
        <v>0.10144927536231885</v>
      </c>
      <c r="E12" s="7">
        <f>$C$1*D12</f>
        <v>3205.1884057971015</v>
      </c>
      <c r="F12" s="4">
        <v>0.03</v>
      </c>
      <c r="G12">
        <f t="shared" si="0"/>
        <v>3301.3440579710145</v>
      </c>
      <c r="H12" s="7">
        <f t="shared" si="1"/>
        <v>3301.3440579710145</v>
      </c>
      <c r="I12" s="7">
        <f>E12-H12</f>
        <v>-96.15565217391304</v>
      </c>
      <c r="J12" s="9">
        <f>E12/H12</f>
        <v>0.970873786407767</v>
      </c>
      <c r="K12">
        <v>0.02</v>
      </c>
      <c r="L12" s="7">
        <f>E12*(1-K12)</f>
        <v>3141.0846376811596</v>
      </c>
      <c r="M12" s="7">
        <f>E12*(1+K12)</f>
        <v>3269.2921739130434</v>
      </c>
      <c r="N12" t="b">
        <f t="shared" si="2"/>
        <v>1</v>
      </c>
      <c r="O12">
        <f>-LOG(_xlfn.POISSON.DIST(ROUND(E12*(1+K12),0),E12,FALSE))</f>
        <v>2.4303628634255481</v>
      </c>
      <c r="P12">
        <f>-LOG(_xlfn.POISSON.DIST(E12,H12,FALSE))</f>
        <v>2.7685816109808195</v>
      </c>
      <c r="Q12" s="2">
        <f t="shared" si="3"/>
        <v>1.1391638889176239</v>
      </c>
    </row>
    <row r="13" spans="1:17" x14ac:dyDescent="0.3">
      <c r="A13">
        <v>2020</v>
      </c>
      <c r="B13" t="s">
        <v>31</v>
      </c>
      <c r="C13" t="s">
        <v>32</v>
      </c>
      <c r="D13" s="5">
        <v>0.14492753623188406</v>
      </c>
      <c r="E13" s="7">
        <f>$C$1*D13</f>
        <v>4578.840579710145</v>
      </c>
      <c r="F13" s="4">
        <v>0.04</v>
      </c>
      <c r="G13">
        <f t="shared" si="0"/>
        <v>4761.9942028985506</v>
      </c>
      <c r="H13" s="7">
        <f t="shared" si="1"/>
        <v>4761.9942028985506</v>
      </c>
      <c r="I13" s="7">
        <f>E13-H13</f>
        <v>-183.15362318840562</v>
      </c>
      <c r="J13" s="9">
        <f>E13/H13</f>
        <v>0.96153846153846156</v>
      </c>
      <c r="K13">
        <v>0.02</v>
      </c>
      <c r="L13" s="7">
        <f>E13*(1-K13)</f>
        <v>4487.2637681159422</v>
      </c>
      <c r="M13" s="7">
        <f>E13*(1+K13)</f>
        <v>4670.4173913043478</v>
      </c>
      <c r="N13" t="b">
        <f t="shared" si="2"/>
        <v>1</v>
      </c>
      <c r="O13">
        <f>-LOG(_xlfn.POISSON.DIST(ROUND(E13*(1+K13),0),E13,FALSE))</f>
        <v>2.6252624069328356</v>
      </c>
      <c r="P13">
        <f>-LOG(_xlfn.POISSON.DIST(E13,H13,FALSE))</f>
        <v>3.793449825981325</v>
      </c>
      <c r="Q13" s="2">
        <f t="shared" si="3"/>
        <v>1.4449792965318518</v>
      </c>
    </row>
    <row r="14" spans="1:17" x14ac:dyDescent="0.3">
      <c r="A14">
        <v>2019</v>
      </c>
      <c r="B14" t="s">
        <v>29</v>
      </c>
      <c r="C14" t="s">
        <v>30</v>
      </c>
      <c r="D14" s="5">
        <v>4.3478260869565209E-2</v>
      </c>
      <c r="E14" s="7">
        <f>$C$1*D14</f>
        <v>1373.6521739130433</v>
      </c>
      <c r="F14" s="4">
        <v>-0.04</v>
      </c>
      <c r="G14">
        <f t="shared" si="0"/>
        <v>1318.7060869565214</v>
      </c>
      <c r="H14" s="7">
        <f t="shared" si="1"/>
        <v>1318.7060869565214</v>
      </c>
      <c r="I14" s="7">
        <f>E14-H14</f>
        <v>54.946086956521867</v>
      </c>
      <c r="J14" s="9">
        <f>E14/H14</f>
        <v>1.0416666666666667</v>
      </c>
      <c r="K14">
        <v>0.02</v>
      </c>
      <c r="L14" s="7">
        <f>E14*(1-K14)</f>
        <v>1346.1791304347823</v>
      </c>
      <c r="M14" s="7">
        <f>E14*(1+K14)</f>
        <v>1401.1252173913042</v>
      </c>
      <c r="N14" t="b">
        <f t="shared" si="2"/>
        <v>1</v>
      </c>
      <c r="O14">
        <f>-LOG(_xlfn.POISSON.DIST(ROUND(E14*(1+K14),0),E14,FALSE))</f>
        <v>2.0897867190560993</v>
      </c>
      <c r="P14">
        <f>-LOG(_xlfn.POISSON.DIST(E14,H14,FALSE))</f>
        <v>2.4468334783269263</v>
      </c>
      <c r="Q14" s="2">
        <f t="shared" si="3"/>
        <v>1.1708532052649352</v>
      </c>
    </row>
    <row r="15" spans="1:17" x14ac:dyDescent="0.3">
      <c r="A15">
        <v>2019</v>
      </c>
      <c r="B15" t="s">
        <v>31</v>
      </c>
      <c r="C15" t="s">
        <v>30</v>
      </c>
      <c r="D15" s="5">
        <v>5.0724637681159424E-2</v>
      </c>
      <c r="E15" s="7">
        <f>$C$1*D15</f>
        <v>1602.5942028985507</v>
      </c>
      <c r="F15" s="4">
        <v>0.04</v>
      </c>
      <c r="G15">
        <f t="shared" si="0"/>
        <v>1666.6979710144929</v>
      </c>
      <c r="H15" s="7">
        <f t="shared" si="1"/>
        <v>1666.6979710144929</v>
      </c>
      <c r="I15" s="7">
        <f>E15-H15</f>
        <v>-64.103768115942103</v>
      </c>
      <c r="J15" s="9">
        <f>E15/H15</f>
        <v>0.96153846153846145</v>
      </c>
      <c r="K15">
        <v>0.02</v>
      </c>
      <c r="L15" s="7">
        <f>E15*(1-K15)</f>
        <v>1570.5423188405798</v>
      </c>
      <c r="M15" s="7">
        <f>E15*(1+K15)</f>
        <v>1634.6460869565217</v>
      </c>
      <c r="N15" t="b">
        <f t="shared" si="2"/>
        <v>1</v>
      </c>
      <c r="O15">
        <f>-LOG(_xlfn.POISSON.DIST(ROUND(E15*(1+K15),0),E15,FALSE))</f>
        <v>2.1472120353921551</v>
      </c>
      <c r="P15">
        <f>-LOG(_xlfn.POISSON.DIST(E15,H15,FALSE))</f>
        <v>2.5539948335484652</v>
      </c>
      <c r="Q15" s="2">
        <f t="shared" si="3"/>
        <v>1.1894469625967878</v>
      </c>
    </row>
    <row r="16" spans="1:17" x14ac:dyDescent="0.3">
      <c r="A16">
        <v>2019</v>
      </c>
      <c r="B16" t="s">
        <v>29</v>
      </c>
      <c r="C16" t="s">
        <v>32</v>
      </c>
      <c r="D16" s="5">
        <v>0.10144927536231885</v>
      </c>
      <c r="E16" s="7">
        <f>$C$1*D16</f>
        <v>3205.1884057971015</v>
      </c>
      <c r="F16" s="4">
        <v>0.01</v>
      </c>
      <c r="G16">
        <f t="shared" si="0"/>
        <v>3237.2402898550727</v>
      </c>
      <c r="H16" s="7">
        <f t="shared" si="1"/>
        <v>3237.2402898550727</v>
      </c>
      <c r="I16" s="7">
        <f>E16-H16</f>
        <v>-32.051884057971165</v>
      </c>
      <c r="J16" s="9">
        <f>E16/H16</f>
        <v>0.99009900990099009</v>
      </c>
      <c r="K16">
        <v>0.02</v>
      </c>
      <c r="L16" s="7">
        <f>E16*(1-K16)</f>
        <v>3141.0846376811596</v>
      </c>
      <c r="M16" s="7">
        <f>E16*(1+K16)</f>
        <v>3269.2921739130434</v>
      </c>
      <c r="N16" t="b">
        <f t="shared" si="2"/>
        <v>0</v>
      </c>
      <c r="O16">
        <f>-LOG(_xlfn.POISSON.DIST(ROUND(E16*(1+K16),0),E16,FALSE))</f>
        <v>2.4303628634255481</v>
      </c>
      <c r="P16">
        <f>-LOG(_xlfn.POISSON.DIST(E16,H16,FALSE))</f>
        <v>2.2219710557290475</v>
      </c>
      <c r="Q16" s="2">
        <f t="shared" si="3"/>
        <v>0.91425485846883936</v>
      </c>
    </row>
    <row r="17" spans="1:17" x14ac:dyDescent="0.3">
      <c r="A17">
        <v>2019</v>
      </c>
      <c r="B17" t="s">
        <v>31</v>
      </c>
      <c r="C17" t="s">
        <v>32</v>
      </c>
      <c r="D17" s="5">
        <v>0.13043478260869565</v>
      </c>
      <c r="E17" s="7">
        <f>$C$1*D17</f>
        <v>4120.95652173913</v>
      </c>
      <c r="F17" s="4">
        <v>0.02</v>
      </c>
      <c r="G17">
        <f t="shared" si="0"/>
        <v>4203.3756521739124</v>
      </c>
      <c r="H17" s="7">
        <f t="shared" si="1"/>
        <v>4203.3756521739124</v>
      </c>
      <c r="I17" s="7">
        <f>E17-H17</f>
        <v>-82.419130434782346</v>
      </c>
      <c r="J17" s="9">
        <f>E17/H17</f>
        <v>0.98039215686274517</v>
      </c>
      <c r="K17">
        <v>0.02</v>
      </c>
      <c r="L17" s="7">
        <f>E17*(1-K17)</f>
        <v>4038.5373913043472</v>
      </c>
      <c r="M17" s="7">
        <f>E17*(1+K17)</f>
        <v>4203.3756521739124</v>
      </c>
      <c r="N17" t="b">
        <f t="shared" si="2"/>
        <v>0</v>
      </c>
      <c r="O17">
        <f>-LOG(_xlfn.POISSON.DIST(ROUND(E17*(1+K17),0),E17,FALSE))</f>
        <v>2.5632338944580799</v>
      </c>
      <c r="P17">
        <f>-LOG(_xlfn.POISSON.DIST(E17,H17,FALSE))</f>
        <v>2.568061433171196</v>
      </c>
      <c r="Q17" s="2">
        <f t="shared" si="3"/>
        <v>1.0018833781511525</v>
      </c>
    </row>
    <row r="18" spans="1:17" x14ac:dyDescent="0.3">
      <c r="A18">
        <v>2018</v>
      </c>
      <c r="B18" t="s">
        <v>29</v>
      </c>
      <c r="C18" t="s">
        <v>30</v>
      </c>
      <c r="D18" s="5">
        <v>3.6231884057971016E-2</v>
      </c>
      <c r="E18" s="7">
        <f>$C$1*D18</f>
        <v>1144.7101449275362</v>
      </c>
      <c r="F18" s="4">
        <v>0.04</v>
      </c>
      <c r="G18">
        <f t="shared" si="0"/>
        <v>1190.4985507246377</v>
      </c>
      <c r="H18" s="7">
        <f t="shared" si="1"/>
        <v>1190.4985507246377</v>
      </c>
      <c r="I18" s="7">
        <f>E18-H18</f>
        <v>-45.788405797101404</v>
      </c>
      <c r="J18" s="9">
        <f>E18/H18</f>
        <v>0.96153846153846156</v>
      </c>
      <c r="K18">
        <v>0.02</v>
      </c>
      <c r="L18" s="7">
        <f>E18*(1-K18)</f>
        <v>1121.8159420289855</v>
      </c>
      <c r="M18" s="7">
        <f>E18*(1+K18)</f>
        <v>1167.604347826087</v>
      </c>
      <c r="N18" t="b">
        <f t="shared" si="2"/>
        <v>1</v>
      </c>
      <c r="O18">
        <f>-LOG(_xlfn.POISSON.DIST(ROUND(E18*(1+K18),0),E18,FALSE))</f>
        <v>2.0350460823238139</v>
      </c>
      <c r="P18">
        <f>-LOG(_xlfn.POISSON.DIST(E18,H18,FALSE))</f>
        <v>2.3279420818200478</v>
      </c>
      <c r="Q18" s="2">
        <f t="shared" si="3"/>
        <v>1.1439259788956606</v>
      </c>
    </row>
    <row r="19" spans="1:17" x14ac:dyDescent="0.3">
      <c r="A19">
        <v>2018</v>
      </c>
      <c r="B19" t="s">
        <v>31</v>
      </c>
      <c r="C19" t="s">
        <v>30</v>
      </c>
      <c r="D19" s="5">
        <v>4.3478260869565209E-2</v>
      </c>
      <c r="E19" s="7">
        <f>$C$1*D19</f>
        <v>1373.6521739130433</v>
      </c>
      <c r="F19" s="4">
        <v>-0.06</v>
      </c>
      <c r="G19">
        <f t="shared" si="0"/>
        <v>1291.2330434782607</v>
      </c>
      <c r="H19" s="7">
        <f t="shared" si="1"/>
        <v>1291.2330434782607</v>
      </c>
      <c r="I19" s="7">
        <f>E19-H19</f>
        <v>82.419130434782574</v>
      </c>
      <c r="J19" s="9">
        <f>E19/H19</f>
        <v>1.0638297872340425</v>
      </c>
      <c r="K19">
        <v>0.02</v>
      </c>
      <c r="L19" s="7">
        <f>E19*(1-K19)</f>
        <v>1346.1791304347823</v>
      </c>
      <c r="M19" s="7">
        <f>E19*(1+K19)</f>
        <v>1401.1252173913042</v>
      </c>
      <c r="N19" t="b">
        <f t="shared" si="2"/>
        <v>1</v>
      </c>
      <c r="O19">
        <f>-LOG(_xlfn.POISSON.DIST(ROUND(E19*(1+K19),0),E19,FALSE))</f>
        <v>2.0897867190560993</v>
      </c>
      <c r="P19">
        <f>-LOG(_xlfn.POISSON.DIST(E19,H19,FALSE))</f>
        <v>3.069302265571284</v>
      </c>
      <c r="Q19" s="2">
        <f t="shared" si="3"/>
        <v>1.4687155572304555</v>
      </c>
    </row>
    <row r="20" spans="1:17" x14ac:dyDescent="0.3">
      <c r="A20">
        <v>2018</v>
      </c>
      <c r="B20" t="s">
        <v>29</v>
      </c>
      <c r="C20" t="s">
        <v>32</v>
      </c>
      <c r="D20" s="5">
        <v>8.6956521739130418E-2</v>
      </c>
      <c r="E20" s="7">
        <f>$C$1*D20</f>
        <v>2747.3043478260865</v>
      </c>
      <c r="F20" s="4">
        <v>-7.0000000000000007E-2</v>
      </c>
      <c r="G20">
        <f t="shared" si="0"/>
        <v>2554.9930434782605</v>
      </c>
      <c r="H20" s="7">
        <f t="shared" si="1"/>
        <v>2554.9930434782605</v>
      </c>
      <c r="I20" s="7">
        <f>E20-H20</f>
        <v>192.31130434782608</v>
      </c>
      <c r="J20" s="9">
        <f>E20/H20</f>
        <v>1.075268817204301</v>
      </c>
      <c r="K20">
        <v>0.02</v>
      </c>
      <c r="L20" s="7">
        <f>E20*(1-K20)</f>
        <v>2692.3582608695647</v>
      </c>
      <c r="M20" s="7">
        <f>E20*(1+K20)</f>
        <v>2802.2504347826084</v>
      </c>
      <c r="N20" t="b">
        <f t="shared" si="2"/>
        <v>1</v>
      </c>
      <c r="O20">
        <f>-LOG(_xlfn.POISSON.DIST(ROUND(E20*(1+K20),0),E20,FALSE))</f>
        <v>2.3577406855076219</v>
      </c>
      <c r="P20">
        <f>-LOG(_xlfn.POISSON.DIST(E20,H20,FALSE))</f>
        <v>5.1761417967292944</v>
      </c>
      <c r="Q20" s="2">
        <f t="shared" si="3"/>
        <v>2.1953821421268263</v>
      </c>
    </row>
    <row r="21" spans="1:17" x14ac:dyDescent="0.3">
      <c r="A21">
        <v>2018</v>
      </c>
      <c r="B21" t="s">
        <v>31</v>
      </c>
      <c r="C21" t="s">
        <v>32</v>
      </c>
      <c r="D21" s="5">
        <v>0.11594202898550723</v>
      </c>
      <c r="E21" s="7">
        <f>$C$1*D21</f>
        <v>3663.0724637681155</v>
      </c>
      <c r="F21" s="4">
        <f>1-E21/H21</f>
        <v>8.0836866892171289E-2</v>
      </c>
      <c r="G21">
        <f t="shared" si="0"/>
        <v>3959.1837649381168</v>
      </c>
      <c r="H21" s="7">
        <f>C2-SUM(H10:H20)</f>
        <v>3985.2256164612663</v>
      </c>
      <c r="I21" s="7">
        <f>E21-H21</f>
        <v>-322.15315269315079</v>
      </c>
      <c r="J21" s="9">
        <f>E21/H21</f>
        <v>0.91916313310782871</v>
      </c>
      <c r="K21">
        <v>0.02</v>
      </c>
      <c r="L21" s="7">
        <f>E21*(1-K21)</f>
        <v>3589.8110144927532</v>
      </c>
      <c r="M21" s="7">
        <f>E21*(1+K21)</f>
        <v>3736.3339130434779</v>
      </c>
      <c r="N21" t="b">
        <f t="shared" si="2"/>
        <v>1</v>
      </c>
      <c r="O21">
        <f>-LOG(_xlfn.POISSON.DIST(ROUND(E21*(1+K21),0),E21,FALSE))</f>
        <v>2.4985080813100509</v>
      </c>
      <c r="P21">
        <f>-LOG(_xlfn.POISSON.DIST(E21,H21,FALSE))</f>
        <v>7.9974373085052823</v>
      </c>
      <c r="Q21" s="2">
        <f t="shared" si="3"/>
        <v>3.2008851075286335</v>
      </c>
    </row>
  </sheetData>
  <conditionalFormatting sqref="Q10:Q21">
    <cfRule type="colorScale" priority="1">
      <colorScale>
        <cfvo type="num" val="1"/>
        <cfvo type="num" val="1.1000000000000001"/>
        <cfvo type="percentile" val="90"/>
        <color theme="0"/>
        <color theme="0"/>
        <color rgb="FFFF8F75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94E9-66B8-4E2F-B46D-86C20F23E88B}">
  <dimension ref="B1:D4"/>
  <sheetViews>
    <sheetView showGridLines="0" tabSelected="1" workbookViewId="0">
      <selection activeCell="D1" sqref="D1"/>
    </sheetView>
  </sheetViews>
  <sheetFormatPr defaultRowHeight="14.4" x14ac:dyDescent="0.3"/>
  <cols>
    <col min="2" max="2" width="16.5546875" customWidth="1"/>
    <col min="3" max="3" width="10.88671875" customWidth="1"/>
    <col min="4" max="4" width="12.5546875" customWidth="1"/>
  </cols>
  <sheetData>
    <row r="1" spans="2:4" x14ac:dyDescent="0.3">
      <c r="C1" s="3" t="s">
        <v>40</v>
      </c>
      <c r="D1" s="3" t="s">
        <v>41</v>
      </c>
    </row>
    <row r="2" spans="2:4" x14ac:dyDescent="0.3">
      <c r="B2" t="s">
        <v>38</v>
      </c>
      <c r="C2" s="2">
        <f>'age_sex - splat calc'!C3</f>
        <v>34.554573025200042</v>
      </c>
      <c r="D2" s="4">
        <f>'age_sex - splat calc'!C4</f>
        <v>1.0798304070375013</v>
      </c>
    </row>
    <row r="3" spans="2:4" x14ac:dyDescent="0.3">
      <c r="B3" s="6" t="s">
        <v>39</v>
      </c>
      <c r="C3" s="16">
        <f>'uwclass_year - splat calc'!C5</f>
        <v>18.730141601072994</v>
      </c>
      <c r="D3" s="8">
        <f>'uwclass_year - splat calc'!C6</f>
        <v>1.5608451334227496</v>
      </c>
    </row>
    <row r="4" spans="2:4" x14ac:dyDescent="0.3">
      <c r="C4" s="2">
        <f>SUM(C2:C3)</f>
        <v>53.284714626273036</v>
      </c>
      <c r="D4" s="5">
        <f>SUM(D2:D3)</f>
        <v>2.6406755404602507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age_sex - data generator</vt:lpstr>
      <vt:lpstr>age_sex - splat calc</vt:lpstr>
      <vt:lpstr>uwclass_year - splat calc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Anderson</dc:creator>
  <cp:lastModifiedBy>Mike Anderson</cp:lastModifiedBy>
  <dcterms:created xsi:type="dcterms:W3CDTF">2023-09-21T20:09:09Z</dcterms:created>
  <dcterms:modified xsi:type="dcterms:W3CDTF">2023-09-22T15:42:25Z</dcterms:modified>
</cp:coreProperties>
</file>